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codeName="ThisWorkbook" defaultThemeVersion="124226"/>
  <mc:AlternateContent xmlns:mc="http://schemas.openxmlformats.org/markup-compatibility/2006">
    <mc:Choice Requires="x15">
      <x15ac:absPath xmlns:x15ac="http://schemas.microsoft.com/office/spreadsheetml/2010/11/ac" url="https://appriver3651005261.sharepoint.com/sites/FactBook2020updates/Shared Documents/FactBooks/6_RevsExpends/"/>
    </mc:Choice>
  </mc:AlternateContent>
  <xr:revisionPtr revIDLastSave="487" documentId="8_{5A8808AE-675B-47EB-997D-7820DCBC846E}" xr6:coauthVersionLast="47" xr6:coauthVersionMax="47" xr10:uidLastSave="{3E79666E-7084-4D8D-A8B0-FEA0A9B8F81D}"/>
  <bookViews>
    <workbookView xWindow="28680" yWindow="4755" windowWidth="29040" windowHeight="15840" tabRatio="834" activeTab="1" xr2:uid="{00000000-000D-0000-FFFF-FFFF00000000}"/>
  </bookViews>
  <sheets>
    <sheet name="TABLE 96" sheetId="18" r:id="rId1"/>
    <sheet name="TABLE 97" sheetId="19" r:id="rId2"/>
    <sheet name="T E&amp;G 4YR" sheetId="31" r:id="rId3"/>
    <sheet name="T E&amp;G 2YR" sheetId="11" r:id="rId4"/>
    <sheet name="Instruction-4YR" sheetId="20" r:id="rId5"/>
    <sheet name="INSTRUCTION-2YR" sheetId="1" r:id="rId6"/>
    <sheet name="RESEARCH 4yr" sheetId="21" r:id="rId7"/>
    <sheet name="RESEARCH 2yr" sheetId="2" r:id="rId8"/>
    <sheet name="PUBLIC SERVICE 4yr" sheetId="22" r:id="rId9"/>
    <sheet name="PUBLIC SERVICE 2yr" sheetId="3" r:id="rId10"/>
    <sheet name="ASptISptSSv 4yr" sheetId="23" r:id="rId11"/>
    <sheet name="ASptISptSSv 2yr" sheetId="4" r:id="rId12"/>
    <sheet name="ACADEMIC SUPP 4yr" sheetId="24" r:id="rId13"/>
    <sheet name="ACADEMIC SUPP 2yr" sheetId="5" r:id="rId14"/>
    <sheet name="STU SERVICES 4yr" sheetId="25" r:id="rId15"/>
    <sheet name="STU SERVICES 2yr" sheetId="6" r:id="rId16"/>
    <sheet name="INST SUPPORT 4yr" sheetId="26" r:id="rId17"/>
    <sheet name="INST SUPPORT 2yr" sheetId="7" r:id="rId18"/>
    <sheet name="SCHOLAR FELLOW 4yr" sheetId="28" r:id="rId19"/>
    <sheet name="SCHOLAR FELLOW 2yr" sheetId="9" r:id="rId20"/>
    <sheet name="All Other 4yr" sheetId="29" r:id="rId21"/>
    <sheet name="All Other 2yr" sheetId="10" r:id="rId22"/>
    <sheet name="PLANT OPER MAIN 4yr" sheetId="27" r:id="rId23"/>
    <sheet name="PLANT OPER MAIN 2yr" sheetId="8" r:id="rId24"/>
  </sheets>
  <definedNames>
    <definedName name="DATA">'INSTRUCTION-2YR'!$A$1</definedName>
    <definedName name="_xlnm.Print_Area" localSheetId="0">'TABLE 96'!$A$1:$N$71</definedName>
    <definedName name="_xlnm.Print_Area" localSheetId="1">'TABLE 97'!$A$1:$N$73</definedName>
    <definedName name="SOURCES">#REF!</definedName>
    <definedName name="T_77">#REF!</definedName>
    <definedName name="T_80">'TABLE 96'!$A$1:$N$72</definedName>
    <definedName name="T_81">'TABLE 97'!$A$1:$N$27</definedName>
    <definedName name="TABL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66" i="19" l="1"/>
  <c r="N66" i="19" s="1"/>
  <c r="M66" i="19"/>
  <c r="L66" i="19"/>
  <c r="K66" i="19"/>
  <c r="I66" i="19"/>
  <c r="D66" i="19"/>
  <c r="J66" i="19" s="1"/>
  <c r="V65" i="19"/>
  <c r="N65" i="19" s="1"/>
  <c r="M65" i="19"/>
  <c r="L65" i="19"/>
  <c r="K65" i="19"/>
  <c r="I65" i="19"/>
  <c r="D65" i="19"/>
  <c r="J65" i="19" s="1"/>
  <c r="V64" i="19"/>
  <c r="N64" i="19" s="1"/>
  <c r="M64" i="19"/>
  <c r="L64" i="19"/>
  <c r="K64" i="19"/>
  <c r="I64" i="19"/>
  <c r="D64" i="19"/>
  <c r="J64" i="19" s="1"/>
  <c r="V63" i="19"/>
  <c r="N63" i="19" s="1"/>
  <c r="M63" i="19"/>
  <c r="L63" i="19"/>
  <c r="K63" i="19"/>
  <c r="I63" i="19"/>
  <c r="D63" i="19"/>
  <c r="J63" i="19" s="1"/>
  <c r="V62" i="19"/>
  <c r="N62" i="19" s="1"/>
  <c r="M62" i="19"/>
  <c r="L62" i="19"/>
  <c r="K62" i="19"/>
  <c r="I62" i="19"/>
  <c r="D62" i="19"/>
  <c r="J62" i="19" s="1"/>
  <c r="V61" i="19"/>
  <c r="N61" i="19" s="1"/>
  <c r="M61" i="19"/>
  <c r="L61" i="19"/>
  <c r="K61" i="19"/>
  <c r="I61" i="19"/>
  <c r="D61" i="19"/>
  <c r="J61" i="19" s="1"/>
  <c r="V60" i="19"/>
  <c r="N60" i="19" s="1"/>
  <c r="M60" i="19"/>
  <c r="L60" i="19"/>
  <c r="K60" i="19"/>
  <c r="I60" i="19"/>
  <c r="D60" i="19"/>
  <c r="J60" i="19" s="1"/>
  <c r="V59" i="19"/>
  <c r="N59" i="19" s="1"/>
  <c r="M59" i="19"/>
  <c r="L59" i="19"/>
  <c r="K59" i="19"/>
  <c r="I59" i="19"/>
  <c r="D59" i="19"/>
  <c r="J59" i="19" s="1"/>
  <c r="V58" i="19"/>
  <c r="N58" i="19" s="1"/>
  <c r="M58" i="19"/>
  <c r="L58" i="19"/>
  <c r="K58" i="19"/>
  <c r="I58" i="19"/>
  <c r="D58" i="19"/>
  <c r="J58" i="19" s="1"/>
  <c r="V56" i="19"/>
  <c r="N56" i="19" s="1"/>
  <c r="M56" i="19"/>
  <c r="L56" i="19"/>
  <c r="K56" i="19"/>
  <c r="I56" i="19"/>
  <c r="D56" i="19"/>
  <c r="J56" i="19" s="1"/>
  <c r="V55" i="19"/>
  <c r="N55" i="19" s="1"/>
  <c r="M55" i="19"/>
  <c r="L55" i="19"/>
  <c r="K55" i="19"/>
  <c r="I55" i="19"/>
  <c r="D55" i="19"/>
  <c r="J55" i="19" s="1"/>
  <c r="V54" i="19"/>
  <c r="N54" i="19" s="1"/>
  <c r="M54" i="19"/>
  <c r="L54" i="19"/>
  <c r="K54" i="19"/>
  <c r="I54" i="19"/>
  <c r="D54" i="19"/>
  <c r="J54" i="19" s="1"/>
  <c r="V53" i="19"/>
  <c r="N53" i="19" s="1"/>
  <c r="M53" i="19"/>
  <c r="L53" i="19"/>
  <c r="K53" i="19"/>
  <c r="I53" i="19"/>
  <c r="D53" i="19"/>
  <c r="J53" i="19" s="1"/>
  <c r="V52" i="19"/>
  <c r="N52" i="19" s="1"/>
  <c r="M52" i="19"/>
  <c r="L52" i="19"/>
  <c r="K52" i="19"/>
  <c r="I52" i="19"/>
  <c r="D52" i="19"/>
  <c r="J52" i="19" s="1"/>
  <c r="V51" i="19"/>
  <c r="N51" i="19" s="1"/>
  <c r="M51" i="19"/>
  <c r="L51" i="19"/>
  <c r="K51" i="19"/>
  <c r="I51" i="19"/>
  <c r="D51" i="19"/>
  <c r="J51" i="19" s="1"/>
  <c r="V50" i="19"/>
  <c r="N50" i="19" s="1"/>
  <c r="M50" i="19"/>
  <c r="L50" i="19"/>
  <c r="K50" i="19"/>
  <c r="I50" i="19"/>
  <c r="D50" i="19"/>
  <c r="J50" i="19" s="1"/>
  <c r="V49" i="19"/>
  <c r="N49" i="19" s="1"/>
  <c r="M49" i="19"/>
  <c r="L49" i="19"/>
  <c r="K49" i="19"/>
  <c r="I49" i="19"/>
  <c r="D49" i="19"/>
  <c r="J49" i="19" s="1"/>
  <c r="V48" i="19"/>
  <c r="N48" i="19" s="1"/>
  <c r="M48" i="19"/>
  <c r="L48" i="19"/>
  <c r="K48" i="19"/>
  <c r="I48" i="19"/>
  <c r="D48" i="19"/>
  <c r="J48" i="19" s="1"/>
  <c r="V47" i="19"/>
  <c r="N47" i="19" s="1"/>
  <c r="M47" i="19"/>
  <c r="L47" i="19"/>
  <c r="K47" i="19"/>
  <c r="I47" i="19"/>
  <c r="D47" i="19"/>
  <c r="J47" i="19" s="1"/>
  <c r="V46" i="19"/>
  <c r="N46" i="19" s="1"/>
  <c r="M46" i="19"/>
  <c r="L46" i="19"/>
  <c r="K46" i="19"/>
  <c r="I46" i="19"/>
  <c r="D46" i="19"/>
  <c r="J46" i="19" s="1"/>
  <c r="V45" i="19"/>
  <c r="N45" i="19" s="1"/>
  <c r="M45" i="19"/>
  <c r="L45" i="19"/>
  <c r="K45" i="19"/>
  <c r="I45" i="19"/>
  <c r="D45" i="19"/>
  <c r="J45" i="19" s="1"/>
  <c r="V44" i="19"/>
  <c r="N44" i="19" s="1"/>
  <c r="M44" i="19"/>
  <c r="L44" i="19"/>
  <c r="K44" i="19"/>
  <c r="I44" i="19"/>
  <c r="D44" i="19"/>
  <c r="J44" i="19" s="1"/>
  <c r="V42" i="19"/>
  <c r="N42" i="19" s="1"/>
  <c r="M42" i="19"/>
  <c r="L42" i="19"/>
  <c r="K42" i="19"/>
  <c r="I42" i="19"/>
  <c r="D42" i="19"/>
  <c r="J42" i="19" s="1"/>
  <c r="V41" i="19"/>
  <c r="N41" i="19" s="1"/>
  <c r="M41" i="19"/>
  <c r="L41" i="19"/>
  <c r="K41" i="19"/>
  <c r="I41" i="19"/>
  <c r="D41" i="19"/>
  <c r="J41" i="19" s="1"/>
  <c r="V40" i="19"/>
  <c r="N40" i="19" s="1"/>
  <c r="M40" i="19"/>
  <c r="L40" i="19"/>
  <c r="K40" i="19"/>
  <c r="I40" i="19"/>
  <c r="D40" i="19"/>
  <c r="J40" i="19" s="1"/>
  <c r="V39" i="19"/>
  <c r="N39" i="19" s="1"/>
  <c r="M39" i="19"/>
  <c r="L39" i="19"/>
  <c r="K39" i="19"/>
  <c r="I39" i="19"/>
  <c r="D39" i="19"/>
  <c r="J39" i="19" s="1"/>
  <c r="V38" i="19"/>
  <c r="N38" i="19" s="1"/>
  <c r="M38" i="19"/>
  <c r="L38" i="19"/>
  <c r="K38" i="19"/>
  <c r="I38" i="19"/>
  <c r="D38" i="19"/>
  <c r="J38" i="19" s="1"/>
  <c r="V37" i="19"/>
  <c r="N37" i="19" s="1"/>
  <c r="M37" i="19"/>
  <c r="L37" i="19"/>
  <c r="K37" i="19"/>
  <c r="I37" i="19"/>
  <c r="D37" i="19"/>
  <c r="J37" i="19" s="1"/>
  <c r="V36" i="19"/>
  <c r="N36" i="19" s="1"/>
  <c r="M36" i="19"/>
  <c r="L36" i="19"/>
  <c r="K36" i="19"/>
  <c r="I36" i="19"/>
  <c r="D36" i="19"/>
  <c r="J36" i="19" s="1"/>
  <c r="V35" i="19"/>
  <c r="N35" i="19" s="1"/>
  <c r="M35" i="19"/>
  <c r="L35" i="19"/>
  <c r="K35" i="19"/>
  <c r="I35" i="19"/>
  <c r="D35" i="19"/>
  <c r="J35" i="19" s="1"/>
  <c r="V34" i="19"/>
  <c r="N34" i="19" s="1"/>
  <c r="M34" i="19"/>
  <c r="L34" i="19"/>
  <c r="K34" i="19"/>
  <c r="I34" i="19"/>
  <c r="D34" i="19"/>
  <c r="J34" i="19" s="1"/>
  <c r="V33" i="19"/>
  <c r="N33" i="19" s="1"/>
  <c r="M33" i="19"/>
  <c r="L33" i="19"/>
  <c r="K33" i="19"/>
  <c r="I33" i="19"/>
  <c r="D33" i="19"/>
  <c r="J33" i="19" s="1"/>
  <c r="V32" i="19"/>
  <c r="N32" i="19" s="1"/>
  <c r="M32" i="19"/>
  <c r="L32" i="19"/>
  <c r="K32" i="19"/>
  <c r="I32" i="19"/>
  <c r="D32" i="19"/>
  <c r="J32" i="19" s="1"/>
  <c r="V31" i="19"/>
  <c r="N31" i="19" s="1"/>
  <c r="M31" i="19"/>
  <c r="L31" i="19"/>
  <c r="K31" i="19"/>
  <c r="I31" i="19"/>
  <c r="D31" i="19"/>
  <c r="J31" i="19" s="1"/>
  <c r="V30" i="19"/>
  <c r="N30" i="19" s="1"/>
  <c r="M30" i="19"/>
  <c r="L30" i="19"/>
  <c r="K30" i="19"/>
  <c r="I30" i="19"/>
  <c r="D30" i="19"/>
  <c r="J30" i="19" s="1"/>
  <c r="V29" i="19"/>
  <c r="D29" i="19"/>
  <c r="V27" i="19"/>
  <c r="N27" i="19" s="1"/>
  <c r="M27" i="19"/>
  <c r="L27" i="19"/>
  <c r="K27" i="19"/>
  <c r="J27" i="19"/>
  <c r="I27" i="19"/>
  <c r="D27" i="19"/>
  <c r="V26" i="19"/>
  <c r="N26" i="19" s="1"/>
  <c r="M26" i="19"/>
  <c r="L26" i="19"/>
  <c r="K26" i="19"/>
  <c r="J26" i="19"/>
  <c r="I26" i="19"/>
  <c r="D26" i="19"/>
  <c r="V25" i="19"/>
  <c r="N25" i="19" s="1"/>
  <c r="M25" i="19"/>
  <c r="L25" i="19"/>
  <c r="K25" i="19"/>
  <c r="J25" i="19"/>
  <c r="I25" i="19"/>
  <c r="D25" i="19"/>
  <c r="V24" i="19"/>
  <c r="N24" i="19" s="1"/>
  <c r="M24" i="19"/>
  <c r="L24" i="19"/>
  <c r="K24" i="19"/>
  <c r="J24" i="19"/>
  <c r="I24" i="19"/>
  <c r="D24" i="19"/>
  <c r="V23" i="19"/>
  <c r="N23" i="19" s="1"/>
  <c r="M23" i="19"/>
  <c r="L23" i="19"/>
  <c r="K23" i="19"/>
  <c r="J23" i="19"/>
  <c r="I23" i="19"/>
  <c r="D23" i="19"/>
  <c r="V22" i="19"/>
  <c r="N22" i="19" s="1"/>
  <c r="M22" i="19"/>
  <c r="L22" i="19"/>
  <c r="K22" i="19"/>
  <c r="J22" i="19"/>
  <c r="I22" i="19"/>
  <c r="D22" i="19"/>
  <c r="V21" i="19"/>
  <c r="N21" i="19" s="1"/>
  <c r="M21" i="19"/>
  <c r="L21" i="19"/>
  <c r="K21" i="19"/>
  <c r="J21" i="19"/>
  <c r="I21" i="19"/>
  <c r="D21" i="19"/>
  <c r="V20" i="19"/>
  <c r="N20" i="19" s="1"/>
  <c r="M20" i="19"/>
  <c r="L20" i="19"/>
  <c r="K20" i="19"/>
  <c r="J20" i="19"/>
  <c r="I20" i="19"/>
  <c r="D20" i="19"/>
  <c r="V19" i="19"/>
  <c r="N19" i="19" s="1"/>
  <c r="M19" i="19"/>
  <c r="L19" i="19"/>
  <c r="K19" i="19"/>
  <c r="J19" i="19"/>
  <c r="I19" i="19"/>
  <c r="D19" i="19"/>
  <c r="V18" i="19"/>
  <c r="N18" i="19" s="1"/>
  <c r="M18" i="19"/>
  <c r="L18" i="19"/>
  <c r="K18" i="19"/>
  <c r="J18" i="19"/>
  <c r="I18" i="19"/>
  <c r="D18" i="19"/>
  <c r="V17" i="19"/>
  <c r="N17" i="19" s="1"/>
  <c r="M17" i="19"/>
  <c r="L17" i="19"/>
  <c r="K17" i="19"/>
  <c r="J17" i="19"/>
  <c r="I17" i="19"/>
  <c r="D17" i="19"/>
  <c r="V16" i="19"/>
  <c r="N16" i="19" s="1"/>
  <c r="M16" i="19"/>
  <c r="L16" i="19"/>
  <c r="K16" i="19"/>
  <c r="J16" i="19"/>
  <c r="I16" i="19"/>
  <c r="D16" i="19"/>
  <c r="V15" i="19"/>
  <c r="N15" i="19" s="1"/>
  <c r="M15" i="19"/>
  <c r="L15" i="19"/>
  <c r="K15" i="19"/>
  <c r="J15" i="19"/>
  <c r="I15" i="19"/>
  <c r="D15" i="19"/>
  <c r="V14" i="19"/>
  <c r="N14" i="19" s="1"/>
  <c r="M14" i="19"/>
  <c r="L14" i="19"/>
  <c r="K14" i="19"/>
  <c r="J14" i="19"/>
  <c r="I14" i="19"/>
  <c r="D14" i="19"/>
  <c r="V13" i="19"/>
  <c r="N13" i="19" s="1"/>
  <c r="M13" i="19"/>
  <c r="L13" i="19"/>
  <c r="K13" i="19"/>
  <c r="J13" i="19"/>
  <c r="I13" i="19"/>
  <c r="D13" i="19"/>
  <c r="V12" i="19"/>
  <c r="N12" i="19" s="1"/>
  <c r="M12" i="19"/>
  <c r="L12" i="19"/>
  <c r="K12" i="19"/>
  <c r="J12" i="19"/>
  <c r="I12" i="19"/>
  <c r="D12" i="19"/>
  <c r="V11" i="19"/>
  <c r="N11" i="19" s="1"/>
  <c r="M11" i="19"/>
  <c r="L11" i="19"/>
  <c r="K11" i="19"/>
  <c r="J11" i="19"/>
  <c r="I11" i="19"/>
  <c r="D11" i="19"/>
  <c r="V9" i="19"/>
  <c r="N9" i="19" s="1"/>
  <c r="M9" i="19"/>
  <c r="L9" i="19"/>
  <c r="K9" i="19"/>
  <c r="J9" i="19"/>
  <c r="I9" i="19"/>
  <c r="D9" i="19"/>
  <c r="V8" i="19"/>
  <c r="N8" i="19" s="1"/>
  <c r="M8" i="19"/>
  <c r="L8" i="19"/>
  <c r="K8" i="19"/>
  <c r="J8" i="19"/>
  <c r="I8" i="19"/>
  <c r="D8" i="19"/>
  <c r="I64" i="18"/>
  <c r="I52" i="18"/>
  <c r="I48" i="18"/>
  <c r="K44" i="18"/>
  <c r="K39" i="18"/>
  <c r="K27" i="18"/>
  <c r="K23" i="18"/>
  <c r="N11" i="18"/>
  <c r="V67" i="18"/>
  <c r="V66" i="18"/>
  <c r="V65" i="18"/>
  <c r="V64" i="18"/>
  <c r="V63" i="18"/>
  <c r="V62" i="18"/>
  <c r="V61" i="18"/>
  <c r="V60" i="18"/>
  <c r="V59" i="18"/>
  <c r="V58" i="18"/>
  <c r="V56" i="18"/>
  <c r="V55" i="18"/>
  <c r="V54" i="18"/>
  <c r="V53" i="18"/>
  <c r="V52" i="18"/>
  <c r="V51" i="18"/>
  <c r="V50" i="18"/>
  <c r="V49" i="18"/>
  <c r="V48" i="18"/>
  <c r="V47" i="18"/>
  <c r="V46" i="18"/>
  <c r="V45" i="18"/>
  <c r="V44" i="18"/>
  <c r="V42" i="18"/>
  <c r="V41" i="18"/>
  <c r="V40" i="18"/>
  <c r="V39" i="18"/>
  <c r="V38" i="18"/>
  <c r="V37" i="18"/>
  <c r="V36" i="18"/>
  <c r="V35" i="18"/>
  <c r="V34" i="18"/>
  <c r="V33" i="18"/>
  <c r="V32" i="18"/>
  <c r="V31" i="18"/>
  <c r="V30" i="18"/>
  <c r="V29" i="18"/>
  <c r="V27" i="18"/>
  <c r="V26" i="18"/>
  <c r="V25" i="18"/>
  <c r="V24" i="18"/>
  <c r="V23" i="18"/>
  <c r="V22" i="18"/>
  <c r="V21" i="18"/>
  <c r="V20" i="18"/>
  <c r="V19" i="18"/>
  <c r="V18" i="18"/>
  <c r="V17" i="18"/>
  <c r="V16" i="18"/>
  <c r="V15" i="18"/>
  <c r="V14" i="18"/>
  <c r="V13" i="18"/>
  <c r="V12" i="18"/>
  <c r="V11" i="18"/>
  <c r="V9" i="18"/>
  <c r="V8" i="18"/>
  <c r="C29" i="19"/>
  <c r="E29" i="19"/>
  <c r="F29" i="19"/>
  <c r="G29" i="19"/>
  <c r="H29" i="19"/>
  <c r="U66" i="19"/>
  <c r="T66" i="19"/>
  <c r="S66" i="19"/>
  <c r="R66" i="19"/>
  <c r="Q66" i="19"/>
  <c r="P66" i="19"/>
  <c r="U65" i="19"/>
  <c r="T65" i="19"/>
  <c r="S65" i="19"/>
  <c r="R65" i="19"/>
  <c r="Q65" i="19"/>
  <c r="P65" i="19"/>
  <c r="U64" i="19"/>
  <c r="T64" i="19"/>
  <c r="S64" i="19"/>
  <c r="R64" i="19"/>
  <c r="Q64" i="19"/>
  <c r="P64" i="19"/>
  <c r="U63" i="19"/>
  <c r="T63" i="19"/>
  <c r="S63" i="19"/>
  <c r="R63" i="19"/>
  <c r="Q63" i="19"/>
  <c r="P63" i="19"/>
  <c r="U62" i="19"/>
  <c r="T62" i="19"/>
  <c r="S62" i="19"/>
  <c r="R62" i="19"/>
  <c r="Q62" i="19"/>
  <c r="P62" i="19"/>
  <c r="U61" i="19"/>
  <c r="T61" i="19"/>
  <c r="S61" i="19"/>
  <c r="R61" i="19"/>
  <c r="Q61" i="19"/>
  <c r="P61" i="19"/>
  <c r="U60" i="19"/>
  <c r="T60" i="19"/>
  <c r="S60" i="19"/>
  <c r="R60" i="19"/>
  <c r="Q60" i="19"/>
  <c r="P60" i="19"/>
  <c r="U59" i="19"/>
  <c r="T59" i="19"/>
  <c r="S59" i="19"/>
  <c r="R59" i="19"/>
  <c r="Q59" i="19"/>
  <c r="P59" i="19"/>
  <c r="U58" i="19"/>
  <c r="T58" i="19"/>
  <c r="S58" i="19"/>
  <c r="R58" i="19"/>
  <c r="Q58" i="19"/>
  <c r="P58" i="19"/>
  <c r="U56" i="19"/>
  <c r="T56" i="19"/>
  <c r="S56" i="19"/>
  <c r="R56" i="19"/>
  <c r="Q56" i="19"/>
  <c r="P56" i="19"/>
  <c r="U55" i="19"/>
  <c r="T55" i="19"/>
  <c r="S55" i="19"/>
  <c r="R55" i="19"/>
  <c r="Q55" i="19"/>
  <c r="P55" i="19"/>
  <c r="U54" i="19"/>
  <c r="T54" i="19"/>
  <c r="S54" i="19"/>
  <c r="R54" i="19"/>
  <c r="Q54" i="19"/>
  <c r="P54" i="19"/>
  <c r="U53" i="19"/>
  <c r="T53" i="19"/>
  <c r="S53" i="19"/>
  <c r="R53" i="19"/>
  <c r="Q53" i="19"/>
  <c r="P53" i="19"/>
  <c r="U52" i="19"/>
  <c r="T52" i="19"/>
  <c r="S52" i="19"/>
  <c r="R52" i="19"/>
  <c r="Q52" i="19"/>
  <c r="P52" i="19"/>
  <c r="U51" i="19"/>
  <c r="T51" i="19"/>
  <c r="S51" i="19"/>
  <c r="R51" i="19"/>
  <c r="Q51" i="19"/>
  <c r="P51" i="19"/>
  <c r="U50" i="19"/>
  <c r="T50" i="19"/>
  <c r="S50" i="19"/>
  <c r="R50" i="19"/>
  <c r="Q50" i="19"/>
  <c r="P50" i="19"/>
  <c r="U49" i="19"/>
  <c r="T49" i="19"/>
  <c r="S49" i="19"/>
  <c r="R49" i="19"/>
  <c r="Q49" i="19"/>
  <c r="P49" i="19"/>
  <c r="U48" i="19"/>
  <c r="T48" i="19"/>
  <c r="S48" i="19"/>
  <c r="R48" i="19"/>
  <c r="Q48" i="19"/>
  <c r="P48" i="19"/>
  <c r="U47" i="19"/>
  <c r="T47" i="19"/>
  <c r="S47" i="19"/>
  <c r="R47" i="19"/>
  <c r="Q47" i="19"/>
  <c r="P47" i="19"/>
  <c r="U46" i="19"/>
  <c r="T46" i="19"/>
  <c r="S46" i="19"/>
  <c r="R46" i="19"/>
  <c r="Q46" i="19"/>
  <c r="P46" i="19"/>
  <c r="U45" i="19"/>
  <c r="T45" i="19"/>
  <c r="S45" i="19"/>
  <c r="R45" i="19"/>
  <c r="Q45" i="19"/>
  <c r="P45" i="19"/>
  <c r="U44" i="19"/>
  <c r="T44" i="19"/>
  <c r="S44" i="19"/>
  <c r="R44" i="19"/>
  <c r="Q44" i="19"/>
  <c r="P44" i="19"/>
  <c r="U42" i="19"/>
  <c r="T42" i="19"/>
  <c r="S42" i="19"/>
  <c r="R42" i="19"/>
  <c r="Q42" i="19"/>
  <c r="P42" i="19"/>
  <c r="U41" i="19"/>
  <c r="T41" i="19"/>
  <c r="S41" i="19"/>
  <c r="R41" i="19"/>
  <c r="Q41" i="19"/>
  <c r="P41" i="19"/>
  <c r="U40" i="19"/>
  <c r="T40" i="19"/>
  <c r="S40" i="19"/>
  <c r="R40" i="19"/>
  <c r="Q40" i="19"/>
  <c r="P40" i="19"/>
  <c r="U39" i="19"/>
  <c r="T39" i="19"/>
  <c r="S39" i="19"/>
  <c r="R39" i="19"/>
  <c r="Q39" i="19"/>
  <c r="P39" i="19"/>
  <c r="U38" i="19"/>
  <c r="T38" i="19"/>
  <c r="S38" i="19"/>
  <c r="R38" i="19"/>
  <c r="Q38" i="19"/>
  <c r="P38" i="19"/>
  <c r="U37" i="19"/>
  <c r="T37" i="19"/>
  <c r="S37" i="19"/>
  <c r="R37" i="19"/>
  <c r="Q37" i="19"/>
  <c r="P37" i="19"/>
  <c r="U36" i="19"/>
  <c r="T36" i="19"/>
  <c r="S36" i="19"/>
  <c r="R36" i="19"/>
  <c r="Q36" i="19"/>
  <c r="P36" i="19"/>
  <c r="U35" i="19"/>
  <c r="T35" i="19"/>
  <c r="S35" i="19"/>
  <c r="R35" i="19"/>
  <c r="Q35" i="19"/>
  <c r="P35" i="19"/>
  <c r="U34" i="19"/>
  <c r="T34" i="19"/>
  <c r="S34" i="19"/>
  <c r="R34" i="19"/>
  <c r="Q34" i="19"/>
  <c r="P34" i="19"/>
  <c r="U33" i="19"/>
  <c r="T33" i="19"/>
  <c r="S33" i="19"/>
  <c r="R33" i="19"/>
  <c r="Q33" i="19"/>
  <c r="P33" i="19"/>
  <c r="U32" i="19"/>
  <c r="T32" i="19"/>
  <c r="S32" i="19"/>
  <c r="R32" i="19"/>
  <c r="Q32" i="19"/>
  <c r="P32" i="19"/>
  <c r="U31" i="19"/>
  <c r="T31" i="19"/>
  <c r="S31" i="19"/>
  <c r="R31" i="19"/>
  <c r="Q31" i="19"/>
  <c r="P31" i="19"/>
  <c r="U30" i="19"/>
  <c r="T30" i="19"/>
  <c r="S30" i="19"/>
  <c r="R30" i="19"/>
  <c r="Q30" i="19"/>
  <c r="P30" i="19"/>
  <c r="U29" i="19"/>
  <c r="T29" i="19"/>
  <c r="S29" i="19"/>
  <c r="R29" i="19"/>
  <c r="Q29" i="19"/>
  <c r="P29" i="19"/>
  <c r="U27" i="19"/>
  <c r="T27" i="19"/>
  <c r="S27" i="19"/>
  <c r="R27" i="19"/>
  <c r="Q27" i="19"/>
  <c r="P27" i="19"/>
  <c r="U26" i="19"/>
  <c r="T26" i="19"/>
  <c r="S26" i="19"/>
  <c r="R26" i="19"/>
  <c r="Q26" i="19"/>
  <c r="P26" i="19"/>
  <c r="U25" i="19"/>
  <c r="T25" i="19"/>
  <c r="S25" i="19"/>
  <c r="R25" i="19"/>
  <c r="Q25" i="19"/>
  <c r="P25" i="19"/>
  <c r="U24" i="19"/>
  <c r="T24" i="19"/>
  <c r="S24" i="19"/>
  <c r="R24" i="19"/>
  <c r="Q24" i="19"/>
  <c r="P24" i="19"/>
  <c r="U23" i="19"/>
  <c r="T23" i="19"/>
  <c r="S23" i="19"/>
  <c r="R23" i="19"/>
  <c r="Q23" i="19"/>
  <c r="P23" i="19"/>
  <c r="U22" i="19"/>
  <c r="T22" i="19"/>
  <c r="S22" i="19"/>
  <c r="R22" i="19"/>
  <c r="Q22" i="19"/>
  <c r="P22" i="19"/>
  <c r="U21" i="19"/>
  <c r="T21" i="19"/>
  <c r="S21" i="19"/>
  <c r="R21" i="19"/>
  <c r="Q21" i="19"/>
  <c r="P21" i="19"/>
  <c r="U20" i="19"/>
  <c r="T20" i="19"/>
  <c r="S20" i="19"/>
  <c r="R20" i="19"/>
  <c r="Q20" i="19"/>
  <c r="P20" i="19"/>
  <c r="U19" i="19"/>
  <c r="T19" i="19"/>
  <c r="S19" i="19"/>
  <c r="R19" i="19"/>
  <c r="Q19" i="19"/>
  <c r="P19" i="19"/>
  <c r="U18" i="19"/>
  <c r="T18" i="19"/>
  <c r="S18" i="19"/>
  <c r="R18" i="19"/>
  <c r="Q18" i="19"/>
  <c r="P18" i="19"/>
  <c r="U17" i="19"/>
  <c r="T17" i="19"/>
  <c r="S17" i="19"/>
  <c r="R17" i="19"/>
  <c r="Q17" i="19"/>
  <c r="P17" i="19"/>
  <c r="U16" i="19"/>
  <c r="T16" i="19"/>
  <c r="S16" i="19"/>
  <c r="R16" i="19"/>
  <c r="Q16" i="19"/>
  <c r="P16" i="19"/>
  <c r="U15" i="19"/>
  <c r="T15" i="19"/>
  <c r="S15" i="19"/>
  <c r="R15" i="19"/>
  <c r="Q15" i="19"/>
  <c r="P15" i="19"/>
  <c r="U14" i="19"/>
  <c r="T14" i="19"/>
  <c r="S14" i="19"/>
  <c r="R14" i="19"/>
  <c r="Q14" i="19"/>
  <c r="P14" i="19"/>
  <c r="U13" i="19"/>
  <c r="T13" i="19"/>
  <c r="S13" i="19"/>
  <c r="R13" i="19"/>
  <c r="Q13" i="19"/>
  <c r="P13" i="19"/>
  <c r="U12" i="19"/>
  <c r="T12" i="19"/>
  <c r="S12" i="19"/>
  <c r="R12" i="19"/>
  <c r="Q12" i="19"/>
  <c r="P12" i="19"/>
  <c r="U11" i="19"/>
  <c r="T11" i="19"/>
  <c r="S11" i="19"/>
  <c r="R11" i="19"/>
  <c r="Q11" i="19"/>
  <c r="P11" i="19"/>
  <c r="U9" i="19"/>
  <c r="T9" i="19"/>
  <c r="S9" i="19"/>
  <c r="R9" i="19"/>
  <c r="Q9" i="19"/>
  <c r="P9" i="19"/>
  <c r="U8" i="19"/>
  <c r="T8" i="19"/>
  <c r="S8" i="19"/>
  <c r="R8" i="19"/>
  <c r="Q8" i="19"/>
  <c r="P8" i="19"/>
  <c r="U67" i="18"/>
  <c r="T67" i="18"/>
  <c r="S67" i="18"/>
  <c r="R67" i="18"/>
  <c r="Q67" i="18"/>
  <c r="P67" i="18"/>
  <c r="U66" i="18"/>
  <c r="T66" i="18"/>
  <c r="S66" i="18"/>
  <c r="R66" i="18"/>
  <c r="Q66" i="18"/>
  <c r="P66" i="18"/>
  <c r="U65" i="18"/>
  <c r="T65" i="18"/>
  <c r="S65" i="18"/>
  <c r="R65" i="18"/>
  <c r="Q65" i="18"/>
  <c r="P65" i="18"/>
  <c r="U64" i="18"/>
  <c r="T64" i="18"/>
  <c r="S64" i="18"/>
  <c r="R64" i="18"/>
  <c r="Q64" i="18"/>
  <c r="P64" i="18"/>
  <c r="U63" i="18"/>
  <c r="T63" i="18"/>
  <c r="S63" i="18"/>
  <c r="R63" i="18"/>
  <c r="Q63" i="18"/>
  <c r="P63" i="18"/>
  <c r="U62" i="18"/>
  <c r="T62" i="18"/>
  <c r="S62" i="18"/>
  <c r="R62" i="18"/>
  <c r="Q62" i="18"/>
  <c r="P62" i="18"/>
  <c r="U61" i="18"/>
  <c r="T61" i="18"/>
  <c r="S61" i="18"/>
  <c r="R61" i="18"/>
  <c r="Q61" i="18"/>
  <c r="P61" i="18"/>
  <c r="U60" i="18"/>
  <c r="T60" i="18"/>
  <c r="S60" i="18"/>
  <c r="R60" i="18"/>
  <c r="Q60" i="18"/>
  <c r="J60" i="18" s="1"/>
  <c r="P60" i="18"/>
  <c r="U59" i="18"/>
  <c r="T59" i="18"/>
  <c r="S59" i="18"/>
  <c r="R59" i="18"/>
  <c r="Q59" i="18"/>
  <c r="P59" i="18"/>
  <c r="U58" i="18"/>
  <c r="T58" i="18"/>
  <c r="S58" i="18"/>
  <c r="R58" i="18"/>
  <c r="Q58" i="18"/>
  <c r="P58" i="18"/>
  <c r="U56" i="18"/>
  <c r="T56" i="18"/>
  <c r="S56" i="18"/>
  <c r="R56" i="18"/>
  <c r="Q56" i="18"/>
  <c r="P56" i="18"/>
  <c r="U55" i="18"/>
  <c r="T55" i="18"/>
  <c r="S55" i="18"/>
  <c r="R55" i="18"/>
  <c r="Q55" i="18"/>
  <c r="J55" i="18" s="1"/>
  <c r="P55" i="18"/>
  <c r="U54" i="18"/>
  <c r="T54" i="18"/>
  <c r="S54" i="18"/>
  <c r="R54" i="18"/>
  <c r="Q54" i="18"/>
  <c r="P54" i="18"/>
  <c r="U53" i="18"/>
  <c r="T53" i="18"/>
  <c r="S53" i="18"/>
  <c r="R53" i="18"/>
  <c r="Q53" i="18"/>
  <c r="P53" i="18"/>
  <c r="U52" i="18"/>
  <c r="T52" i="18"/>
  <c r="S52" i="18"/>
  <c r="R52" i="18"/>
  <c r="Q52" i="18"/>
  <c r="P52" i="18"/>
  <c r="U51" i="18"/>
  <c r="T51" i="18"/>
  <c r="S51" i="18"/>
  <c r="R51" i="18"/>
  <c r="Q51" i="18"/>
  <c r="P51" i="18"/>
  <c r="U50" i="18"/>
  <c r="T50" i="18"/>
  <c r="S50" i="18"/>
  <c r="R50" i="18"/>
  <c r="Q50" i="18"/>
  <c r="P50" i="18"/>
  <c r="U49" i="18"/>
  <c r="T49" i="18"/>
  <c r="S49" i="18"/>
  <c r="R49" i="18"/>
  <c r="Q49" i="18"/>
  <c r="P49" i="18"/>
  <c r="U48" i="18"/>
  <c r="T48" i="18"/>
  <c r="S48" i="18"/>
  <c r="R48" i="18"/>
  <c r="Q48" i="18"/>
  <c r="P48" i="18"/>
  <c r="U47" i="18"/>
  <c r="T47" i="18"/>
  <c r="S47" i="18"/>
  <c r="R47" i="18"/>
  <c r="Q47" i="18"/>
  <c r="P47" i="18"/>
  <c r="U46" i="18"/>
  <c r="T46" i="18"/>
  <c r="S46" i="18"/>
  <c r="R46" i="18"/>
  <c r="Q46" i="18"/>
  <c r="P46" i="18"/>
  <c r="U45" i="18"/>
  <c r="T45" i="18"/>
  <c r="S45" i="18"/>
  <c r="R45" i="18"/>
  <c r="Q45" i="18"/>
  <c r="P45" i="18"/>
  <c r="U44" i="18"/>
  <c r="T44" i="18"/>
  <c r="S44" i="18"/>
  <c r="R44" i="18"/>
  <c r="Q44" i="18"/>
  <c r="P44" i="18"/>
  <c r="U42" i="18"/>
  <c r="T42" i="18"/>
  <c r="S42" i="18"/>
  <c r="R42" i="18"/>
  <c r="Q42" i="18"/>
  <c r="P42" i="18"/>
  <c r="U41" i="18"/>
  <c r="T41" i="18"/>
  <c r="S41" i="18"/>
  <c r="R41" i="18"/>
  <c r="Q41" i="18"/>
  <c r="P41" i="18"/>
  <c r="U40" i="18"/>
  <c r="T40" i="18"/>
  <c r="S40" i="18"/>
  <c r="R40" i="18"/>
  <c r="Q40" i="18"/>
  <c r="P40" i="18"/>
  <c r="U39" i="18"/>
  <c r="T39" i="18"/>
  <c r="S39" i="18"/>
  <c r="R39" i="18"/>
  <c r="Q39" i="18"/>
  <c r="P39" i="18"/>
  <c r="U38" i="18"/>
  <c r="T38" i="18"/>
  <c r="S38" i="18"/>
  <c r="R38" i="18"/>
  <c r="Q38" i="18"/>
  <c r="P38" i="18"/>
  <c r="U37" i="18"/>
  <c r="T37" i="18"/>
  <c r="S37" i="18"/>
  <c r="R37" i="18"/>
  <c r="Q37" i="18"/>
  <c r="P37" i="18"/>
  <c r="U36" i="18"/>
  <c r="T36" i="18"/>
  <c r="S36" i="18"/>
  <c r="R36" i="18"/>
  <c r="Q36" i="18"/>
  <c r="P36" i="18"/>
  <c r="U35" i="18"/>
  <c r="T35" i="18"/>
  <c r="S35" i="18"/>
  <c r="L35" i="18" s="1"/>
  <c r="R35" i="18"/>
  <c r="Q35" i="18"/>
  <c r="P35" i="18"/>
  <c r="U34" i="18"/>
  <c r="T34" i="18"/>
  <c r="S34" i="18"/>
  <c r="R34" i="18"/>
  <c r="Q34" i="18"/>
  <c r="P34" i="18"/>
  <c r="U33" i="18"/>
  <c r="T33" i="18"/>
  <c r="S33" i="18"/>
  <c r="R33" i="18"/>
  <c r="Q33" i="18"/>
  <c r="P33" i="18"/>
  <c r="U32" i="18"/>
  <c r="T32" i="18"/>
  <c r="S32" i="18"/>
  <c r="R32" i="18"/>
  <c r="Q32" i="18"/>
  <c r="P32" i="18"/>
  <c r="U31" i="18"/>
  <c r="T31" i="18"/>
  <c r="S31" i="18"/>
  <c r="L31" i="18" s="1"/>
  <c r="R31" i="18"/>
  <c r="Q31" i="18"/>
  <c r="P31" i="18"/>
  <c r="U30" i="18"/>
  <c r="T30" i="18"/>
  <c r="S30" i="18"/>
  <c r="R30" i="18"/>
  <c r="Q30" i="18"/>
  <c r="P30" i="18"/>
  <c r="U29" i="18"/>
  <c r="T29" i="18"/>
  <c r="S29" i="18"/>
  <c r="R29" i="18"/>
  <c r="Q29" i="18"/>
  <c r="P29" i="18"/>
  <c r="U27" i="18"/>
  <c r="T27" i="18"/>
  <c r="S27" i="18"/>
  <c r="R27" i="18"/>
  <c r="Q27" i="18"/>
  <c r="P27" i="18"/>
  <c r="U26" i="18"/>
  <c r="T26" i="18"/>
  <c r="S26" i="18"/>
  <c r="R26" i="18"/>
  <c r="Q26" i="18"/>
  <c r="P26" i="18"/>
  <c r="U25" i="18"/>
  <c r="T25" i="18"/>
  <c r="S25" i="18"/>
  <c r="R25" i="18"/>
  <c r="Q25" i="18"/>
  <c r="P25" i="18"/>
  <c r="U24" i="18"/>
  <c r="T24" i="18"/>
  <c r="S24" i="18"/>
  <c r="R24" i="18"/>
  <c r="Q24" i="18"/>
  <c r="P24" i="18"/>
  <c r="U23" i="18"/>
  <c r="T23" i="18"/>
  <c r="S23" i="18"/>
  <c r="R23" i="18"/>
  <c r="Q23" i="18"/>
  <c r="P23" i="18"/>
  <c r="U22" i="18"/>
  <c r="T22" i="18"/>
  <c r="S22" i="18"/>
  <c r="R22" i="18"/>
  <c r="Q22" i="18"/>
  <c r="P22" i="18"/>
  <c r="U21" i="18"/>
  <c r="T21" i="18"/>
  <c r="S21" i="18"/>
  <c r="R21" i="18"/>
  <c r="Q21" i="18"/>
  <c r="P21" i="18"/>
  <c r="U20" i="18"/>
  <c r="T20" i="18"/>
  <c r="S20" i="18"/>
  <c r="R20" i="18"/>
  <c r="Q20" i="18"/>
  <c r="P20" i="18"/>
  <c r="U19" i="18"/>
  <c r="M19" i="18" s="1"/>
  <c r="T19" i="18"/>
  <c r="S19" i="18"/>
  <c r="R19" i="18"/>
  <c r="Q19" i="18"/>
  <c r="P19" i="18"/>
  <c r="U18" i="18"/>
  <c r="T18" i="18"/>
  <c r="S18" i="18"/>
  <c r="R18" i="18"/>
  <c r="Q18" i="18"/>
  <c r="P18" i="18"/>
  <c r="U17" i="18"/>
  <c r="T17" i="18"/>
  <c r="S17" i="18"/>
  <c r="R17" i="18"/>
  <c r="Q17" i="18"/>
  <c r="P17" i="18"/>
  <c r="U16" i="18"/>
  <c r="T16" i="18"/>
  <c r="S16" i="18"/>
  <c r="R16" i="18"/>
  <c r="Q16" i="18"/>
  <c r="P16" i="18"/>
  <c r="U15" i="18"/>
  <c r="M15" i="18" s="1"/>
  <c r="T15" i="18"/>
  <c r="S15" i="18"/>
  <c r="R15" i="18"/>
  <c r="Q15" i="18"/>
  <c r="P15" i="18"/>
  <c r="U14" i="18"/>
  <c r="T14" i="18"/>
  <c r="S14" i="18"/>
  <c r="R14" i="18"/>
  <c r="Q14" i="18"/>
  <c r="P14" i="18"/>
  <c r="U13" i="18"/>
  <c r="T13" i="18"/>
  <c r="S13" i="18"/>
  <c r="R13" i="18"/>
  <c r="Q13" i="18"/>
  <c r="P13" i="18"/>
  <c r="U12" i="18"/>
  <c r="T12" i="18"/>
  <c r="S12" i="18"/>
  <c r="R12" i="18"/>
  <c r="Q12" i="18"/>
  <c r="P12" i="18"/>
  <c r="U11" i="18"/>
  <c r="T11" i="18"/>
  <c r="S11" i="18"/>
  <c r="R11" i="18"/>
  <c r="Q11" i="18"/>
  <c r="P11" i="18"/>
  <c r="U9" i="18"/>
  <c r="T9" i="18"/>
  <c r="S9" i="18"/>
  <c r="R9" i="18"/>
  <c r="Q9" i="18"/>
  <c r="P9" i="18"/>
  <c r="U8" i="18"/>
  <c r="T8" i="18"/>
  <c r="S8" i="18"/>
  <c r="R8" i="18"/>
  <c r="Q8" i="18"/>
  <c r="P8" i="18"/>
  <c r="H66" i="19"/>
  <c r="G66" i="19"/>
  <c r="F66" i="19"/>
  <c r="E66" i="19"/>
  <c r="C66" i="19"/>
  <c r="H65" i="19"/>
  <c r="G65" i="19"/>
  <c r="F65" i="19"/>
  <c r="E65" i="19"/>
  <c r="C65" i="19"/>
  <c r="H64" i="19"/>
  <c r="G64" i="19"/>
  <c r="F64" i="19"/>
  <c r="E64" i="19"/>
  <c r="C64" i="19"/>
  <c r="H63" i="19"/>
  <c r="G63" i="19"/>
  <c r="F63" i="19"/>
  <c r="E63" i="19"/>
  <c r="C63" i="19"/>
  <c r="H62" i="19"/>
  <c r="G62" i="19"/>
  <c r="F62" i="19"/>
  <c r="E62" i="19"/>
  <c r="C62" i="19"/>
  <c r="H61" i="19"/>
  <c r="G61" i="19"/>
  <c r="F61" i="19"/>
  <c r="E61" i="19"/>
  <c r="C61" i="19"/>
  <c r="H60" i="19"/>
  <c r="G60" i="19"/>
  <c r="F60" i="19"/>
  <c r="E60" i="19"/>
  <c r="C60" i="19"/>
  <c r="H59" i="19"/>
  <c r="G59" i="19"/>
  <c r="F59" i="19"/>
  <c r="E59" i="19"/>
  <c r="C59" i="19"/>
  <c r="H58" i="19"/>
  <c r="G58" i="19"/>
  <c r="F58" i="19"/>
  <c r="E58" i="19"/>
  <c r="C58" i="19"/>
  <c r="H56" i="19"/>
  <c r="G56" i="19"/>
  <c r="F56" i="19"/>
  <c r="E56" i="19"/>
  <c r="C56" i="19"/>
  <c r="H55" i="19"/>
  <c r="G55" i="19"/>
  <c r="F55" i="19"/>
  <c r="E55" i="19"/>
  <c r="C55" i="19"/>
  <c r="H54" i="19"/>
  <c r="G54" i="19"/>
  <c r="F54" i="19"/>
  <c r="E54" i="19"/>
  <c r="C54" i="19"/>
  <c r="H53" i="19"/>
  <c r="G53" i="19"/>
  <c r="F53" i="19"/>
  <c r="E53" i="19"/>
  <c r="C53" i="19"/>
  <c r="H52" i="19"/>
  <c r="G52" i="19"/>
  <c r="F52" i="19"/>
  <c r="E52" i="19"/>
  <c r="C52" i="19"/>
  <c r="H51" i="19"/>
  <c r="G51" i="19"/>
  <c r="F51" i="19"/>
  <c r="E51" i="19"/>
  <c r="C51" i="19"/>
  <c r="H50" i="19"/>
  <c r="G50" i="19"/>
  <c r="F50" i="19"/>
  <c r="E50" i="19"/>
  <c r="C50" i="19"/>
  <c r="H49" i="19"/>
  <c r="G49" i="19"/>
  <c r="F49" i="19"/>
  <c r="E49" i="19"/>
  <c r="C49" i="19"/>
  <c r="H48" i="19"/>
  <c r="G48" i="19"/>
  <c r="F48" i="19"/>
  <c r="E48" i="19"/>
  <c r="C48" i="19"/>
  <c r="H47" i="19"/>
  <c r="G47" i="19"/>
  <c r="F47" i="19"/>
  <c r="E47" i="19"/>
  <c r="C47" i="19"/>
  <c r="H46" i="19"/>
  <c r="G46" i="19"/>
  <c r="F46" i="19"/>
  <c r="E46" i="19"/>
  <c r="C46" i="19"/>
  <c r="H45" i="19"/>
  <c r="G45" i="19"/>
  <c r="F45" i="19"/>
  <c r="E45" i="19"/>
  <c r="C45" i="19"/>
  <c r="H44" i="19"/>
  <c r="G44" i="19"/>
  <c r="F44" i="19"/>
  <c r="E44" i="19"/>
  <c r="C44" i="19"/>
  <c r="H42" i="19"/>
  <c r="G42" i="19"/>
  <c r="F42" i="19"/>
  <c r="E42" i="19"/>
  <c r="C42" i="19"/>
  <c r="H41" i="19"/>
  <c r="G41" i="19"/>
  <c r="F41" i="19"/>
  <c r="E41" i="19"/>
  <c r="C41" i="19"/>
  <c r="H40" i="19"/>
  <c r="G40" i="19"/>
  <c r="F40" i="19"/>
  <c r="E40" i="19"/>
  <c r="C40" i="19"/>
  <c r="H39" i="19"/>
  <c r="G39" i="19"/>
  <c r="F39" i="19"/>
  <c r="E39" i="19"/>
  <c r="C39" i="19"/>
  <c r="H38" i="19"/>
  <c r="G38" i="19"/>
  <c r="F38" i="19"/>
  <c r="E38" i="19"/>
  <c r="C38" i="19"/>
  <c r="H37" i="19"/>
  <c r="G37" i="19"/>
  <c r="F37" i="19"/>
  <c r="E37" i="19"/>
  <c r="C37" i="19"/>
  <c r="H36" i="19"/>
  <c r="G36" i="19"/>
  <c r="F36" i="19"/>
  <c r="E36" i="19"/>
  <c r="C36" i="19"/>
  <c r="H35" i="19"/>
  <c r="G35" i="19"/>
  <c r="F35" i="19"/>
  <c r="E35" i="19"/>
  <c r="C35" i="19"/>
  <c r="H34" i="19"/>
  <c r="G34" i="19"/>
  <c r="F34" i="19"/>
  <c r="E34" i="19"/>
  <c r="C34" i="19"/>
  <c r="H33" i="19"/>
  <c r="G33" i="19"/>
  <c r="F33" i="19"/>
  <c r="E33" i="19"/>
  <c r="C33" i="19"/>
  <c r="H32" i="19"/>
  <c r="G32" i="19"/>
  <c r="F32" i="19"/>
  <c r="E32" i="19"/>
  <c r="C32" i="19"/>
  <c r="H31" i="19"/>
  <c r="G31" i="19"/>
  <c r="F31" i="19"/>
  <c r="E31" i="19"/>
  <c r="C31" i="19"/>
  <c r="H30" i="19"/>
  <c r="G30" i="19"/>
  <c r="F30" i="19"/>
  <c r="E30" i="19"/>
  <c r="C30" i="19"/>
  <c r="H27" i="19"/>
  <c r="G27" i="19"/>
  <c r="F27" i="19"/>
  <c r="E27" i="19"/>
  <c r="C27" i="19"/>
  <c r="H26" i="19"/>
  <c r="G26" i="19"/>
  <c r="F26" i="19"/>
  <c r="E26" i="19"/>
  <c r="C26" i="19"/>
  <c r="H25" i="19"/>
  <c r="G25" i="19"/>
  <c r="F25" i="19"/>
  <c r="E25" i="19"/>
  <c r="C25" i="19"/>
  <c r="H24" i="19"/>
  <c r="G24" i="19"/>
  <c r="F24" i="19"/>
  <c r="E24" i="19"/>
  <c r="C24" i="19"/>
  <c r="H23" i="19"/>
  <c r="G23" i="19"/>
  <c r="F23" i="19"/>
  <c r="E23" i="19"/>
  <c r="C23" i="19"/>
  <c r="H22" i="19"/>
  <c r="G22" i="19"/>
  <c r="F22" i="19"/>
  <c r="E22" i="19"/>
  <c r="C22" i="19"/>
  <c r="H21" i="19"/>
  <c r="G21" i="19"/>
  <c r="F21" i="19"/>
  <c r="E21" i="19"/>
  <c r="C21" i="19"/>
  <c r="H20" i="19"/>
  <c r="G20" i="19"/>
  <c r="F20" i="19"/>
  <c r="E20" i="19"/>
  <c r="C20" i="19"/>
  <c r="H19" i="19"/>
  <c r="G19" i="19"/>
  <c r="F19" i="19"/>
  <c r="E19" i="19"/>
  <c r="C19" i="19"/>
  <c r="H18" i="19"/>
  <c r="G18" i="19"/>
  <c r="F18" i="19"/>
  <c r="E18" i="19"/>
  <c r="C18" i="19"/>
  <c r="H17" i="19"/>
  <c r="G17" i="19"/>
  <c r="F17" i="19"/>
  <c r="E17" i="19"/>
  <c r="C17" i="19"/>
  <c r="H16" i="19"/>
  <c r="G16" i="19"/>
  <c r="F16" i="19"/>
  <c r="E16" i="19"/>
  <c r="C16" i="19"/>
  <c r="H15" i="19"/>
  <c r="G15" i="19"/>
  <c r="F15" i="19"/>
  <c r="E15" i="19"/>
  <c r="C15" i="19"/>
  <c r="H14" i="19"/>
  <c r="G14" i="19"/>
  <c r="F14" i="19"/>
  <c r="E14" i="19"/>
  <c r="C14" i="19"/>
  <c r="H13" i="19"/>
  <c r="G13" i="19"/>
  <c r="F13" i="19"/>
  <c r="E13" i="19"/>
  <c r="C13" i="19"/>
  <c r="H12" i="19"/>
  <c r="G12" i="19"/>
  <c r="F12" i="19"/>
  <c r="E12" i="19"/>
  <c r="C12" i="19"/>
  <c r="H11" i="19"/>
  <c r="G11" i="19"/>
  <c r="F11" i="19"/>
  <c r="E11" i="19"/>
  <c r="C11" i="19"/>
  <c r="H9" i="19"/>
  <c r="G9" i="19"/>
  <c r="F9" i="19"/>
  <c r="E9" i="19"/>
  <c r="C9" i="19"/>
  <c r="H8" i="19"/>
  <c r="G8" i="19"/>
  <c r="F8" i="19"/>
  <c r="E8" i="19"/>
  <c r="C8" i="19"/>
  <c r="H67" i="18"/>
  <c r="G67" i="18"/>
  <c r="M67" i="18" s="1"/>
  <c r="F67" i="18"/>
  <c r="L67" i="18" s="1"/>
  <c r="E67" i="18"/>
  <c r="K67" i="18" s="1"/>
  <c r="D67" i="18"/>
  <c r="J67" i="18" s="1"/>
  <c r="C67" i="18"/>
  <c r="I67" i="18" s="1"/>
  <c r="H66" i="18"/>
  <c r="G66" i="18"/>
  <c r="M66" i="18" s="1"/>
  <c r="F66" i="18"/>
  <c r="L66" i="18" s="1"/>
  <c r="E66" i="18"/>
  <c r="K66" i="18" s="1"/>
  <c r="D66" i="18"/>
  <c r="J66" i="18" s="1"/>
  <c r="C66" i="18"/>
  <c r="I66" i="18" s="1"/>
  <c r="H65" i="18"/>
  <c r="N65" i="18" s="1"/>
  <c r="G65" i="18"/>
  <c r="M65" i="18" s="1"/>
  <c r="F65" i="18"/>
  <c r="L65" i="18" s="1"/>
  <c r="E65" i="18"/>
  <c r="K65" i="18" s="1"/>
  <c r="D65" i="18"/>
  <c r="J65" i="18" s="1"/>
  <c r="C65" i="18"/>
  <c r="I65" i="18" s="1"/>
  <c r="H64" i="18"/>
  <c r="N64" i="18" s="1"/>
  <c r="G64" i="18"/>
  <c r="M64" i="18" s="1"/>
  <c r="F64" i="18"/>
  <c r="L64" i="18" s="1"/>
  <c r="E64" i="18"/>
  <c r="K64" i="18" s="1"/>
  <c r="D64" i="18"/>
  <c r="J64" i="18" s="1"/>
  <c r="C64" i="18"/>
  <c r="H63" i="18"/>
  <c r="N63" i="18" s="1"/>
  <c r="G63" i="18"/>
  <c r="M63" i="18" s="1"/>
  <c r="F63" i="18"/>
  <c r="L63" i="18" s="1"/>
  <c r="E63" i="18"/>
  <c r="K63" i="18" s="1"/>
  <c r="D63" i="18"/>
  <c r="J63" i="18" s="1"/>
  <c r="C63" i="18"/>
  <c r="I63" i="18" s="1"/>
  <c r="H62" i="18"/>
  <c r="N62" i="18" s="1"/>
  <c r="G62" i="18"/>
  <c r="M62" i="18" s="1"/>
  <c r="F62" i="18"/>
  <c r="L62" i="18" s="1"/>
  <c r="E62" i="18"/>
  <c r="K62" i="18" s="1"/>
  <c r="D62" i="18"/>
  <c r="J62" i="18" s="1"/>
  <c r="C62" i="18"/>
  <c r="I62" i="18" s="1"/>
  <c r="H61" i="18"/>
  <c r="N61" i="18" s="1"/>
  <c r="G61" i="18"/>
  <c r="M61" i="18" s="1"/>
  <c r="F61" i="18"/>
  <c r="L61" i="18" s="1"/>
  <c r="E61" i="18"/>
  <c r="K61" i="18" s="1"/>
  <c r="D61" i="18"/>
  <c r="J61" i="18" s="1"/>
  <c r="C61" i="18"/>
  <c r="I61" i="18" s="1"/>
  <c r="H60" i="18"/>
  <c r="N60" i="18" s="1"/>
  <c r="G60" i="18"/>
  <c r="M60" i="18" s="1"/>
  <c r="F60" i="18"/>
  <c r="L60" i="18" s="1"/>
  <c r="E60" i="18"/>
  <c r="K60" i="18" s="1"/>
  <c r="D60" i="18"/>
  <c r="C60" i="18"/>
  <c r="I60" i="18" s="1"/>
  <c r="H59" i="18"/>
  <c r="G59" i="18"/>
  <c r="M59" i="18" s="1"/>
  <c r="F59" i="18"/>
  <c r="L59" i="18" s="1"/>
  <c r="E59" i="18"/>
  <c r="K59" i="18" s="1"/>
  <c r="D59" i="18"/>
  <c r="J59" i="18" s="1"/>
  <c r="C59" i="18"/>
  <c r="I59" i="18" s="1"/>
  <c r="H58" i="18"/>
  <c r="G58" i="18"/>
  <c r="M58" i="18" s="1"/>
  <c r="F58" i="18"/>
  <c r="L58" i="18" s="1"/>
  <c r="E58" i="18"/>
  <c r="K58" i="18" s="1"/>
  <c r="D58" i="18"/>
  <c r="J58" i="18" s="1"/>
  <c r="C58" i="18"/>
  <c r="I58" i="18" s="1"/>
  <c r="H56" i="18"/>
  <c r="N56" i="18" s="1"/>
  <c r="G56" i="18"/>
  <c r="M56" i="18" s="1"/>
  <c r="F56" i="18"/>
  <c r="L56" i="18" s="1"/>
  <c r="E56" i="18"/>
  <c r="K56" i="18" s="1"/>
  <c r="D56" i="18"/>
  <c r="J56" i="18" s="1"/>
  <c r="C56" i="18"/>
  <c r="I56" i="18" s="1"/>
  <c r="H55" i="18"/>
  <c r="N55" i="18" s="1"/>
  <c r="G55" i="18"/>
  <c r="M55" i="18" s="1"/>
  <c r="F55" i="18"/>
  <c r="L55" i="18" s="1"/>
  <c r="E55" i="18"/>
  <c r="K55" i="18" s="1"/>
  <c r="D55" i="18"/>
  <c r="C55" i="18"/>
  <c r="I55" i="18" s="1"/>
  <c r="H54" i="18"/>
  <c r="N54" i="18" s="1"/>
  <c r="G54" i="18"/>
  <c r="M54" i="18" s="1"/>
  <c r="F54" i="18"/>
  <c r="L54" i="18" s="1"/>
  <c r="E54" i="18"/>
  <c r="K54" i="18" s="1"/>
  <c r="D54" i="18"/>
  <c r="J54" i="18" s="1"/>
  <c r="C54" i="18"/>
  <c r="I54" i="18" s="1"/>
  <c r="H53" i="18"/>
  <c r="N53" i="18" s="1"/>
  <c r="G53" i="18"/>
  <c r="M53" i="18" s="1"/>
  <c r="F53" i="18"/>
  <c r="L53" i="18" s="1"/>
  <c r="E53" i="18"/>
  <c r="K53" i="18" s="1"/>
  <c r="D53" i="18"/>
  <c r="J53" i="18" s="1"/>
  <c r="C53" i="18"/>
  <c r="I53" i="18" s="1"/>
  <c r="H52" i="18"/>
  <c r="N52" i="18" s="1"/>
  <c r="G52" i="18"/>
  <c r="M52" i="18" s="1"/>
  <c r="F52" i="18"/>
  <c r="L52" i="18" s="1"/>
  <c r="E52" i="18"/>
  <c r="K52" i="18" s="1"/>
  <c r="D52" i="18"/>
  <c r="J52" i="18" s="1"/>
  <c r="C52" i="18"/>
  <c r="H51" i="18"/>
  <c r="N51" i="18" s="1"/>
  <c r="G51" i="18"/>
  <c r="M51" i="18" s="1"/>
  <c r="F51" i="18"/>
  <c r="L51" i="18" s="1"/>
  <c r="E51" i="18"/>
  <c r="K51" i="18" s="1"/>
  <c r="D51" i="18"/>
  <c r="J51" i="18" s="1"/>
  <c r="C51" i="18"/>
  <c r="I51" i="18" s="1"/>
  <c r="H50" i="18"/>
  <c r="G50" i="18"/>
  <c r="M50" i="18" s="1"/>
  <c r="F50" i="18"/>
  <c r="L50" i="18" s="1"/>
  <c r="E50" i="18"/>
  <c r="K50" i="18" s="1"/>
  <c r="D50" i="18"/>
  <c r="J50" i="18" s="1"/>
  <c r="C50" i="18"/>
  <c r="I50" i="18" s="1"/>
  <c r="H49" i="18"/>
  <c r="G49" i="18"/>
  <c r="M49" i="18" s="1"/>
  <c r="F49" i="18"/>
  <c r="L49" i="18" s="1"/>
  <c r="E49" i="18"/>
  <c r="K49" i="18" s="1"/>
  <c r="D49" i="18"/>
  <c r="J49" i="18" s="1"/>
  <c r="C49" i="18"/>
  <c r="I49" i="18" s="1"/>
  <c r="H48" i="18"/>
  <c r="N48" i="18" s="1"/>
  <c r="G48" i="18"/>
  <c r="M48" i="18" s="1"/>
  <c r="F48" i="18"/>
  <c r="L48" i="18" s="1"/>
  <c r="E48" i="18"/>
  <c r="K48" i="18" s="1"/>
  <c r="D48" i="18"/>
  <c r="J48" i="18" s="1"/>
  <c r="C48" i="18"/>
  <c r="H47" i="18"/>
  <c r="N47" i="18" s="1"/>
  <c r="G47" i="18"/>
  <c r="M47" i="18" s="1"/>
  <c r="F47" i="18"/>
  <c r="L47" i="18" s="1"/>
  <c r="E47" i="18"/>
  <c r="K47" i="18" s="1"/>
  <c r="D47" i="18"/>
  <c r="J47" i="18" s="1"/>
  <c r="C47" i="18"/>
  <c r="I47" i="18" s="1"/>
  <c r="H46" i="18"/>
  <c r="N46" i="18" s="1"/>
  <c r="G46" i="18"/>
  <c r="M46" i="18" s="1"/>
  <c r="F46" i="18"/>
  <c r="L46" i="18" s="1"/>
  <c r="E46" i="18"/>
  <c r="K46" i="18" s="1"/>
  <c r="D46" i="18"/>
  <c r="J46" i="18" s="1"/>
  <c r="C46" i="18"/>
  <c r="I46" i="18" s="1"/>
  <c r="H45" i="18"/>
  <c r="N45" i="18" s="1"/>
  <c r="G45" i="18"/>
  <c r="M45" i="18" s="1"/>
  <c r="F45" i="18"/>
  <c r="L45" i="18" s="1"/>
  <c r="E45" i="18"/>
  <c r="K45" i="18" s="1"/>
  <c r="D45" i="18"/>
  <c r="J45" i="18" s="1"/>
  <c r="C45" i="18"/>
  <c r="I45" i="18" s="1"/>
  <c r="H44" i="18"/>
  <c r="N44" i="18" s="1"/>
  <c r="G44" i="18"/>
  <c r="M44" i="18" s="1"/>
  <c r="F44" i="18"/>
  <c r="L44" i="18" s="1"/>
  <c r="E44" i="18"/>
  <c r="D44" i="18"/>
  <c r="J44" i="18" s="1"/>
  <c r="C44" i="18"/>
  <c r="I44" i="18" s="1"/>
  <c r="H42" i="18"/>
  <c r="N42" i="18" s="1"/>
  <c r="G42" i="18"/>
  <c r="M42" i="18" s="1"/>
  <c r="F42" i="18"/>
  <c r="L42" i="18" s="1"/>
  <c r="E42" i="18"/>
  <c r="K42" i="18" s="1"/>
  <c r="D42" i="18"/>
  <c r="J42" i="18" s="1"/>
  <c r="C42" i="18"/>
  <c r="I42" i="18" s="1"/>
  <c r="H41" i="18"/>
  <c r="G41" i="18"/>
  <c r="M41" i="18" s="1"/>
  <c r="F41" i="18"/>
  <c r="L41" i="18" s="1"/>
  <c r="E41" i="18"/>
  <c r="K41" i="18" s="1"/>
  <c r="D41" i="18"/>
  <c r="J41" i="18" s="1"/>
  <c r="C41" i="18"/>
  <c r="I41" i="18" s="1"/>
  <c r="H40" i="18"/>
  <c r="G40" i="18"/>
  <c r="M40" i="18" s="1"/>
  <c r="F40" i="18"/>
  <c r="L40" i="18" s="1"/>
  <c r="E40" i="18"/>
  <c r="K40" i="18" s="1"/>
  <c r="D40" i="18"/>
  <c r="J40" i="18" s="1"/>
  <c r="C40" i="18"/>
  <c r="I40" i="18" s="1"/>
  <c r="H39" i="18"/>
  <c r="N39" i="18" s="1"/>
  <c r="G39" i="18"/>
  <c r="M39" i="18" s="1"/>
  <c r="F39" i="18"/>
  <c r="L39" i="18" s="1"/>
  <c r="E39" i="18"/>
  <c r="D39" i="18"/>
  <c r="J39" i="18" s="1"/>
  <c r="C39" i="18"/>
  <c r="I39" i="18" s="1"/>
  <c r="H38" i="18"/>
  <c r="N38" i="18" s="1"/>
  <c r="G38" i="18"/>
  <c r="M38" i="18" s="1"/>
  <c r="F38" i="18"/>
  <c r="L38" i="18" s="1"/>
  <c r="E38" i="18"/>
  <c r="K38" i="18" s="1"/>
  <c r="D38" i="18"/>
  <c r="J38" i="18" s="1"/>
  <c r="C38" i="18"/>
  <c r="I38" i="18" s="1"/>
  <c r="H37" i="18"/>
  <c r="N37" i="18" s="1"/>
  <c r="G37" i="18"/>
  <c r="M37" i="18" s="1"/>
  <c r="F37" i="18"/>
  <c r="L37" i="18" s="1"/>
  <c r="E37" i="18"/>
  <c r="K37" i="18" s="1"/>
  <c r="D37" i="18"/>
  <c r="J37" i="18" s="1"/>
  <c r="C37" i="18"/>
  <c r="I37" i="18" s="1"/>
  <c r="H36" i="18"/>
  <c r="N36" i="18" s="1"/>
  <c r="G36" i="18"/>
  <c r="M36" i="18" s="1"/>
  <c r="F36" i="18"/>
  <c r="L36" i="18" s="1"/>
  <c r="E36" i="18"/>
  <c r="K36" i="18" s="1"/>
  <c r="D36" i="18"/>
  <c r="J36" i="18" s="1"/>
  <c r="C36" i="18"/>
  <c r="I36" i="18" s="1"/>
  <c r="H35" i="18"/>
  <c r="N35" i="18" s="1"/>
  <c r="G35" i="18"/>
  <c r="M35" i="18" s="1"/>
  <c r="F35" i="18"/>
  <c r="E35" i="18"/>
  <c r="K35" i="18" s="1"/>
  <c r="D35" i="18"/>
  <c r="J35" i="18" s="1"/>
  <c r="C35" i="18"/>
  <c r="I35" i="18" s="1"/>
  <c r="H34" i="18"/>
  <c r="N34" i="18" s="1"/>
  <c r="G34" i="18"/>
  <c r="M34" i="18" s="1"/>
  <c r="F34" i="18"/>
  <c r="L34" i="18" s="1"/>
  <c r="E34" i="18"/>
  <c r="K34" i="18" s="1"/>
  <c r="D34" i="18"/>
  <c r="J34" i="18" s="1"/>
  <c r="C34" i="18"/>
  <c r="I34" i="18" s="1"/>
  <c r="H33" i="18"/>
  <c r="G33" i="18"/>
  <c r="M33" i="18" s="1"/>
  <c r="F33" i="18"/>
  <c r="L33" i="18" s="1"/>
  <c r="E33" i="18"/>
  <c r="K33" i="18" s="1"/>
  <c r="D33" i="18"/>
  <c r="J33" i="18" s="1"/>
  <c r="C33" i="18"/>
  <c r="I33" i="18" s="1"/>
  <c r="H32" i="18"/>
  <c r="G32" i="18"/>
  <c r="M32" i="18" s="1"/>
  <c r="F32" i="18"/>
  <c r="L32" i="18" s="1"/>
  <c r="E32" i="18"/>
  <c r="K32" i="18" s="1"/>
  <c r="D32" i="18"/>
  <c r="J32" i="18" s="1"/>
  <c r="C32" i="18"/>
  <c r="I32" i="18" s="1"/>
  <c r="H31" i="18"/>
  <c r="N31" i="18" s="1"/>
  <c r="G31" i="18"/>
  <c r="M31" i="18" s="1"/>
  <c r="F31" i="18"/>
  <c r="E31" i="18"/>
  <c r="K31" i="18" s="1"/>
  <c r="D31" i="18"/>
  <c r="J31" i="18" s="1"/>
  <c r="C31" i="18"/>
  <c r="I31" i="18" s="1"/>
  <c r="H30" i="18"/>
  <c r="N30" i="18" s="1"/>
  <c r="G30" i="18"/>
  <c r="M30" i="18" s="1"/>
  <c r="F30" i="18"/>
  <c r="L30" i="18" s="1"/>
  <c r="E30" i="18"/>
  <c r="K30" i="18" s="1"/>
  <c r="D30" i="18"/>
  <c r="J30" i="18" s="1"/>
  <c r="C30" i="18"/>
  <c r="I30" i="18" s="1"/>
  <c r="H29" i="18"/>
  <c r="N29" i="18" s="1"/>
  <c r="G29" i="18"/>
  <c r="M29" i="18" s="1"/>
  <c r="F29" i="18"/>
  <c r="L29" i="18" s="1"/>
  <c r="E29" i="18"/>
  <c r="K29" i="18" s="1"/>
  <c r="D29" i="18"/>
  <c r="J29" i="18" s="1"/>
  <c r="C29" i="18"/>
  <c r="I29" i="18" s="1"/>
  <c r="H27" i="18"/>
  <c r="N27" i="18" s="1"/>
  <c r="G27" i="18"/>
  <c r="M27" i="18" s="1"/>
  <c r="F27" i="18"/>
  <c r="L27" i="18" s="1"/>
  <c r="E27" i="18"/>
  <c r="D27" i="18"/>
  <c r="J27" i="18" s="1"/>
  <c r="C27" i="18"/>
  <c r="I27" i="18" s="1"/>
  <c r="H26" i="18"/>
  <c r="N26" i="18" s="1"/>
  <c r="G26" i="18"/>
  <c r="M26" i="18" s="1"/>
  <c r="F26" i="18"/>
  <c r="L26" i="18" s="1"/>
  <c r="E26" i="18"/>
  <c r="K26" i="18" s="1"/>
  <c r="D26" i="18"/>
  <c r="J26" i="18" s="1"/>
  <c r="C26" i="18"/>
  <c r="I26" i="18" s="1"/>
  <c r="H25" i="18"/>
  <c r="N25" i="18" s="1"/>
  <c r="G25" i="18"/>
  <c r="M25" i="18" s="1"/>
  <c r="F25" i="18"/>
  <c r="L25" i="18" s="1"/>
  <c r="E25" i="18"/>
  <c r="K25" i="18" s="1"/>
  <c r="D25" i="18"/>
  <c r="J25" i="18" s="1"/>
  <c r="C25" i="18"/>
  <c r="I25" i="18" s="1"/>
  <c r="H24" i="18"/>
  <c r="G24" i="18"/>
  <c r="M24" i="18" s="1"/>
  <c r="F24" i="18"/>
  <c r="L24" i="18" s="1"/>
  <c r="E24" i="18"/>
  <c r="K24" i="18" s="1"/>
  <c r="D24" i="18"/>
  <c r="J24" i="18" s="1"/>
  <c r="C24" i="18"/>
  <c r="I24" i="18" s="1"/>
  <c r="H23" i="18"/>
  <c r="G23" i="18"/>
  <c r="M23" i="18" s="1"/>
  <c r="F23" i="18"/>
  <c r="L23" i="18" s="1"/>
  <c r="E23" i="18"/>
  <c r="D23" i="18"/>
  <c r="J23" i="18" s="1"/>
  <c r="C23" i="18"/>
  <c r="I23" i="18" s="1"/>
  <c r="H22" i="18"/>
  <c r="N22" i="18" s="1"/>
  <c r="G22" i="18"/>
  <c r="M22" i="18" s="1"/>
  <c r="F22" i="18"/>
  <c r="L22" i="18" s="1"/>
  <c r="E22" i="18"/>
  <c r="K22" i="18" s="1"/>
  <c r="D22" i="18"/>
  <c r="J22" i="18" s="1"/>
  <c r="C22" i="18"/>
  <c r="I22" i="18" s="1"/>
  <c r="H21" i="18"/>
  <c r="N21" i="18" s="1"/>
  <c r="G21" i="18"/>
  <c r="M21" i="18" s="1"/>
  <c r="F21" i="18"/>
  <c r="L21" i="18" s="1"/>
  <c r="E21" i="18"/>
  <c r="K21" i="18" s="1"/>
  <c r="D21" i="18"/>
  <c r="J21" i="18" s="1"/>
  <c r="C21" i="18"/>
  <c r="I21" i="18" s="1"/>
  <c r="H20" i="18"/>
  <c r="N20" i="18" s="1"/>
  <c r="G20" i="18"/>
  <c r="M20" i="18" s="1"/>
  <c r="F20" i="18"/>
  <c r="L20" i="18" s="1"/>
  <c r="E20" i="18"/>
  <c r="K20" i="18" s="1"/>
  <c r="D20" i="18"/>
  <c r="J20" i="18" s="1"/>
  <c r="C20" i="18"/>
  <c r="I20" i="18" s="1"/>
  <c r="H19" i="18"/>
  <c r="N19" i="18" s="1"/>
  <c r="G19" i="18"/>
  <c r="F19" i="18"/>
  <c r="L19" i="18" s="1"/>
  <c r="E19" i="18"/>
  <c r="K19" i="18" s="1"/>
  <c r="D19" i="18"/>
  <c r="J19" i="18" s="1"/>
  <c r="C19" i="18"/>
  <c r="I19" i="18" s="1"/>
  <c r="H18" i="18"/>
  <c r="N18" i="18" s="1"/>
  <c r="G18" i="18"/>
  <c r="M18" i="18" s="1"/>
  <c r="F18" i="18"/>
  <c r="L18" i="18" s="1"/>
  <c r="E18" i="18"/>
  <c r="K18" i="18" s="1"/>
  <c r="D18" i="18"/>
  <c r="J18" i="18" s="1"/>
  <c r="C18" i="18"/>
  <c r="I18" i="18" s="1"/>
  <c r="H17" i="18"/>
  <c r="N17" i="18" s="1"/>
  <c r="G17" i="18"/>
  <c r="M17" i="18" s="1"/>
  <c r="F17" i="18"/>
  <c r="L17" i="18" s="1"/>
  <c r="E17" i="18"/>
  <c r="K17" i="18" s="1"/>
  <c r="D17" i="18"/>
  <c r="J17" i="18" s="1"/>
  <c r="C17" i="18"/>
  <c r="I17" i="18" s="1"/>
  <c r="H16" i="18"/>
  <c r="G16" i="18"/>
  <c r="M16" i="18" s="1"/>
  <c r="F16" i="18"/>
  <c r="L16" i="18" s="1"/>
  <c r="E16" i="18"/>
  <c r="K16" i="18" s="1"/>
  <c r="D16" i="18"/>
  <c r="J16" i="18" s="1"/>
  <c r="C16" i="18"/>
  <c r="I16" i="18" s="1"/>
  <c r="H15" i="18"/>
  <c r="G15" i="18"/>
  <c r="F15" i="18"/>
  <c r="L15" i="18" s="1"/>
  <c r="E15" i="18"/>
  <c r="K15" i="18" s="1"/>
  <c r="D15" i="18"/>
  <c r="J15" i="18" s="1"/>
  <c r="C15" i="18"/>
  <c r="I15" i="18" s="1"/>
  <c r="H14" i="18"/>
  <c r="N14" i="18" s="1"/>
  <c r="G14" i="18"/>
  <c r="M14" i="18" s="1"/>
  <c r="F14" i="18"/>
  <c r="L14" i="18" s="1"/>
  <c r="E14" i="18"/>
  <c r="K14" i="18" s="1"/>
  <c r="D14" i="18"/>
  <c r="J14" i="18" s="1"/>
  <c r="C14" i="18"/>
  <c r="I14" i="18" s="1"/>
  <c r="H13" i="18"/>
  <c r="N13" i="18" s="1"/>
  <c r="G13" i="18"/>
  <c r="M13" i="18" s="1"/>
  <c r="F13" i="18"/>
  <c r="L13" i="18" s="1"/>
  <c r="E13" i="18"/>
  <c r="K13" i="18" s="1"/>
  <c r="D13" i="18"/>
  <c r="J13" i="18" s="1"/>
  <c r="C13" i="18"/>
  <c r="I13" i="18" s="1"/>
  <c r="H12" i="18"/>
  <c r="N12" i="18" s="1"/>
  <c r="G12" i="18"/>
  <c r="M12" i="18" s="1"/>
  <c r="F12" i="18"/>
  <c r="L12" i="18" s="1"/>
  <c r="E12" i="18"/>
  <c r="K12" i="18" s="1"/>
  <c r="D12" i="18"/>
  <c r="J12" i="18" s="1"/>
  <c r="C12" i="18"/>
  <c r="I12" i="18" s="1"/>
  <c r="H11" i="18"/>
  <c r="G11" i="18"/>
  <c r="M11" i="18" s="1"/>
  <c r="F11" i="18"/>
  <c r="L11" i="18" s="1"/>
  <c r="E11" i="18"/>
  <c r="K11" i="18" s="1"/>
  <c r="D11" i="18"/>
  <c r="J11" i="18" s="1"/>
  <c r="C11" i="18"/>
  <c r="I11" i="18" s="1"/>
  <c r="H9" i="18"/>
  <c r="N9" i="18" s="1"/>
  <c r="G9" i="18"/>
  <c r="M9" i="18" s="1"/>
  <c r="F9" i="18"/>
  <c r="L9" i="18" s="1"/>
  <c r="E9" i="18"/>
  <c r="K9" i="18" s="1"/>
  <c r="D9" i="18"/>
  <c r="J9" i="18" s="1"/>
  <c r="C9" i="18"/>
  <c r="I9" i="18" s="1"/>
  <c r="H8" i="18"/>
  <c r="N8" i="18" s="1"/>
  <c r="G8" i="18"/>
  <c r="M8" i="18" s="1"/>
  <c r="F8" i="18"/>
  <c r="L8" i="18" s="1"/>
  <c r="E8" i="18"/>
  <c r="K8" i="18" s="1"/>
  <c r="D8" i="18"/>
  <c r="J8" i="18" s="1"/>
  <c r="C8" i="18"/>
  <c r="I8" i="18" s="1"/>
  <c r="AD6" i="4"/>
  <c r="AD7" i="4"/>
  <c r="AD8" i="4"/>
  <c r="AE8" i="4"/>
  <c r="AD9" i="4"/>
  <c r="BH9" i="11" s="1"/>
  <c r="AE9" i="4"/>
  <c r="BI9" i="11" s="1"/>
  <c r="AD10" i="4"/>
  <c r="AE10" i="4"/>
  <c r="BI10" i="11" s="1"/>
  <c r="AD11" i="4"/>
  <c r="AE11" i="4"/>
  <c r="BI11" i="11" s="1"/>
  <c r="AD12" i="4"/>
  <c r="AE12" i="4"/>
  <c r="BI12" i="11" s="1"/>
  <c r="AD13" i="4"/>
  <c r="BH13" i="11" s="1"/>
  <c r="AE13" i="4"/>
  <c r="BI13" i="11" s="1"/>
  <c r="AD14" i="4"/>
  <c r="AE14" i="4"/>
  <c r="BI14" i="11" s="1"/>
  <c r="AD15" i="4"/>
  <c r="AE15" i="4"/>
  <c r="BI15" i="11" s="1"/>
  <c r="AD16" i="4"/>
  <c r="AE16" i="4"/>
  <c r="BI16" i="11" s="1"/>
  <c r="AD17" i="4"/>
  <c r="BH17" i="11" s="1"/>
  <c r="AE17" i="4"/>
  <c r="BI17" i="11" s="1"/>
  <c r="AD18" i="4"/>
  <c r="AE18" i="4"/>
  <c r="BI18" i="11" s="1"/>
  <c r="AD19" i="4"/>
  <c r="AE19" i="4"/>
  <c r="BI19" i="11" s="1"/>
  <c r="AD20" i="4"/>
  <c r="AE20" i="4"/>
  <c r="BI20" i="11" s="1"/>
  <c r="AD21" i="4"/>
  <c r="BH21" i="11" s="1"/>
  <c r="AE21" i="4"/>
  <c r="BI21" i="11" s="1"/>
  <c r="AD22" i="4"/>
  <c r="AE22" i="4"/>
  <c r="BI22" i="11" s="1"/>
  <c r="AD23" i="4"/>
  <c r="AE23" i="4"/>
  <c r="BI23" i="11" s="1"/>
  <c r="AD24" i="4"/>
  <c r="AE24" i="4"/>
  <c r="BI24" i="11" s="1"/>
  <c r="AD25" i="4"/>
  <c r="BH25" i="11" s="1"/>
  <c r="AD26" i="4"/>
  <c r="AE26" i="4"/>
  <c r="AD27" i="4"/>
  <c r="AE27" i="4"/>
  <c r="BI27" i="11" s="1"/>
  <c r="AD28" i="4"/>
  <c r="AE28" i="4"/>
  <c r="BI28" i="11" s="1"/>
  <c r="AD29" i="4"/>
  <c r="BH29" i="11" s="1"/>
  <c r="AE29" i="4"/>
  <c r="BI29" i="11" s="1"/>
  <c r="AD30" i="4"/>
  <c r="AE30" i="4"/>
  <c r="BI30" i="11" s="1"/>
  <c r="AD31" i="4"/>
  <c r="AE31" i="4"/>
  <c r="BI31" i="11" s="1"/>
  <c r="AD32" i="4"/>
  <c r="AE32" i="4"/>
  <c r="BI32" i="11" s="1"/>
  <c r="AD33" i="4"/>
  <c r="BH33" i="11" s="1"/>
  <c r="AE33" i="4"/>
  <c r="BI33" i="11" s="1"/>
  <c r="AD34" i="4"/>
  <c r="AE34" i="4"/>
  <c r="BI34" i="11" s="1"/>
  <c r="AD35" i="4"/>
  <c r="AE35" i="4"/>
  <c r="BI35" i="11" s="1"/>
  <c r="AD36" i="4"/>
  <c r="AE36" i="4"/>
  <c r="BI36" i="11" s="1"/>
  <c r="AD37" i="4"/>
  <c r="BH37" i="11" s="1"/>
  <c r="AE37" i="4"/>
  <c r="BI37" i="11" s="1"/>
  <c r="AD38" i="4"/>
  <c r="AE38" i="4"/>
  <c r="BI38" i="11" s="1"/>
  <c r="AD39" i="4"/>
  <c r="AE39" i="4"/>
  <c r="BI39" i="11" s="1"/>
  <c r="AD40" i="4"/>
  <c r="AD41" i="4"/>
  <c r="AE41" i="4"/>
  <c r="AD42" i="4"/>
  <c r="AE42" i="4"/>
  <c r="BI42" i="11" s="1"/>
  <c r="AD43" i="4"/>
  <c r="AE43" i="4"/>
  <c r="BI43" i="11" s="1"/>
  <c r="AD44" i="4"/>
  <c r="AE44" i="4"/>
  <c r="BI44" i="11" s="1"/>
  <c r="AD45" i="4"/>
  <c r="BH45" i="11" s="1"/>
  <c r="AE45" i="4"/>
  <c r="BI45" i="11" s="1"/>
  <c r="AD46" i="4"/>
  <c r="AE46" i="4"/>
  <c r="BI46" i="11" s="1"/>
  <c r="AD47" i="4"/>
  <c r="AE47" i="4"/>
  <c r="BI47" i="11" s="1"/>
  <c r="AD48" i="4"/>
  <c r="AE48" i="4"/>
  <c r="BI48" i="11" s="1"/>
  <c r="AD49" i="4"/>
  <c r="BH49" i="11" s="1"/>
  <c r="AE49" i="4"/>
  <c r="BI49" i="11" s="1"/>
  <c r="AD50" i="4"/>
  <c r="AE50" i="4"/>
  <c r="BI50" i="11" s="1"/>
  <c r="AD51" i="4"/>
  <c r="AE51" i="4"/>
  <c r="BI51" i="11" s="1"/>
  <c r="AD52" i="4"/>
  <c r="AE52" i="4"/>
  <c r="BI52" i="11" s="1"/>
  <c r="AD53" i="4"/>
  <c r="BH53" i="11" s="1"/>
  <c r="AE53" i="4"/>
  <c r="BI53" i="11" s="1"/>
  <c r="AD54" i="4"/>
  <c r="AD55" i="4"/>
  <c r="AE55" i="4"/>
  <c r="AD56" i="4"/>
  <c r="AE56" i="4"/>
  <c r="AD57" i="4"/>
  <c r="AE57" i="4"/>
  <c r="BI57" i="11" s="1"/>
  <c r="AD58" i="4"/>
  <c r="AE58" i="4"/>
  <c r="BI58" i="11" s="1"/>
  <c r="AD59" i="4"/>
  <c r="AE59" i="4"/>
  <c r="BI59" i="11" s="1"/>
  <c r="AD60" i="4"/>
  <c r="AE60" i="4"/>
  <c r="BI60" i="11" s="1"/>
  <c r="AD61" i="4"/>
  <c r="AE61" i="4"/>
  <c r="BI61" i="11" s="1"/>
  <c r="AD62" i="4"/>
  <c r="AE62" i="4"/>
  <c r="BI62" i="11" s="1"/>
  <c r="AD63" i="4"/>
  <c r="AE63" i="4"/>
  <c r="BI63" i="11" s="1"/>
  <c r="AD64" i="4"/>
  <c r="AE64" i="4"/>
  <c r="BI64" i="11" s="1"/>
  <c r="BH6" i="11"/>
  <c r="BH7" i="11"/>
  <c r="BH10" i="11"/>
  <c r="BH11" i="11"/>
  <c r="BH12" i="11"/>
  <c r="BH14" i="11"/>
  <c r="BH15" i="11"/>
  <c r="BH16" i="11"/>
  <c r="BH18" i="11"/>
  <c r="BH19" i="11"/>
  <c r="BH20" i="11"/>
  <c r="BH22" i="11"/>
  <c r="BH23" i="11"/>
  <c r="BH24" i="11"/>
  <c r="BH27" i="11"/>
  <c r="BH28" i="11"/>
  <c r="BH30" i="11"/>
  <c r="BH31" i="11"/>
  <c r="BH32" i="11"/>
  <c r="BH34" i="11"/>
  <c r="BH35" i="11"/>
  <c r="BH36" i="11"/>
  <c r="BH38" i="11"/>
  <c r="BH39" i="11"/>
  <c r="BH40" i="11"/>
  <c r="BH42" i="11"/>
  <c r="BH43" i="11"/>
  <c r="BH44" i="11"/>
  <c r="BH46" i="11"/>
  <c r="BH47" i="11"/>
  <c r="BH48" i="11"/>
  <c r="BH50" i="11"/>
  <c r="BH51" i="11"/>
  <c r="BH52" i="11"/>
  <c r="BH54" i="11"/>
  <c r="BH56" i="11"/>
  <c r="BI56" i="11"/>
  <c r="BH57" i="11"/>
  <c r="BH58" i="11"/>
  <c r="BH59" i="11"/>
  <c r="BH60" i="11"/>
  <c r="BH61" i="11"/>
  <c r="BH62" i="11"/>
  <c r="BH63" i="11"/>
  <c r="BH64" i="11"/>
  <c r="BH65" i="11"/>
  <c r="BI65" i="11"/>
  <c r="AD6" i="23"/>
  <c r="AD7" i="23"/>
  <c r="AD9" i="23"/>
  <c r="AE9" i="23"/>
  <c r="BI9" i="31" s="1"/>
  <c r="AD10" i="23"/>
  <c r="AE10" i="23"/>
  <c r="BI10" i="31" s="1"/>
  <c r="AD11" i="23"/>
  <c r="AE11" i="23"/>
  <c r="BI11" i="31" s="1"/>
  <c r="AD12" i="23"/>
  <c r="AE12" i="23"/>
  <c r="BI12" i="31" s="1"/>
  <c r="AD13" i="23"/>
  <c r="AE13" i="23"/>
  <c r="BI13" i="31" s="1"/>
  <c r="AD14" i="23"/>
  <c r="AE14" i="23"/>
  <c r="BI14" i="31" s="1"/>
  <c r="AD15" i="23"/>
  <c r="AE15" i="23"/>
  <c r="BI15" i="31" s="1"/>
  <c r="AD16" i="23"/>
  <c r="AE16" i="23"/>
  <c r="BI16" i="31" s="1"/>
  <c r="AD17" i="23"/>
  <c r="AE17" i="23"/>
  <c r="BI17" i="31" s="1"/>
  <c r="AD18" i="23"/>
  <c r="AE18" i="23"/>
  <c r="BI18" i="31" s="1"/>
  <c r="AD19" i="23"/>
  <c r="AE19" i="23"/>
  <c r="BI19" i="31" s="1"/>
  <c r="AD20" i="23"/>
  <c r="AE20" i="23"/>
  <c r="BI20" i="31" s="1"/>
  <c r="AD21" i="23"/>
  <c r="AE21" i="23"/>
  <c r="BI21" i="31" s="1"/>
  <c r="AD22" i="23"/>
  <c r="AE22" i="23"/>
  <c r="BI22" i="31" s="1"/>
  <c r="AD23" i="23"/>
  <c r="AE23" i="23"/>
  <c r="BI23" i="31" s="1"/>
  <c r="AD24" i="23"/>
  <c r="AE24" i="23"/>
  <c r="BI24" i="31" s="1"/>
  <c r="AD25" i="23"/>
  <c r="AD27" i="23"/>
  <c r="AE27" i="23"/>
  <c r="BI27" i="31" s="1"/>
  <c r="AD28" i="23"/>
  <c r="AE28" i="23"/>
  <c r="BI28" i="31" s="1"/>
  <c r="AD29" i="23"/>
  <c r="AE29" i="23"/>
  <c r="BI29" i="31" s="1"/>
  <c r="AD30" i="23"/>
  <c r="AE30" i="23"/>
  <c r="BI30" i="31" s="1"/>
  <c r="AD31" i="23"/>
  <c r="AE31" i="23"/>
  <c r="BI31" i="31" s="1"/>
  <c r="AD32" i="23"/>
  <c r="AE32" i="23"/>
  <c r="BI32" i="31" s="1"/>
  <c r="AD33" i="23"/>
  <c r="AE33" i="23"/>
  <c r="BI33" i="31" s="1"/>
  <c r="AD34" i="23"/>
  <c r="AE34" i="23"/>
  <c r="BI34" i="31" s="1"/>
  <c r="AD35" i="23"/>
  <c r="AE35" i="23"/>
  <c r="BI35" i="31" s="1"/>
  <c r="AD36" i="23"/>
  <c r="AE36" i="23"/>
  <c r="BI36" i="31" s="1"/>
  <c r="AD37" i="23"/>
  <c r="AE37" i="23"/>
  <c r="BI37" i="31" s="1"/>
  <c r="AD38" i="23"/>
  <c r="AE38" i="23"/>
  <c r="BI38" i="31" s="1"/>
  <c r="AD39" i="23"/>
  <c r="AE39" i="23"/>
  <c r="BI39" i="31" s="1"/>
  <c r="AD40" i="23"/>
  <c r="AD42" i="23"/>
  <c r="AE42" i="23"/>
  <c r="BI42" i="31" s="1"/>
  <c r="AD43" i="23"/>
  <c r="AE43" i="23"/>
  <c r="AD44" i="23"/>
  <c r="AE44" i="23"/>
  <c r="AD45" i="23"/>
  <c r="AE45" i="23"/>
  <c r="AD46" i="23"/>
  <c r="AE46" i="23"/>
  <c r="BI46" i="31" s="1"/>
  <c r="AD47" i="23"/>
  <c r="AE47" i="23"/>
  <c r="BI47" i="31" s="1"/>
  <c r="AD48" i="23"/>
  <c r="AE48" i="23"/>
  <c r="BI48" i="31" s="1"/>
  <c r="AD49" i="23"/>
  <c r="AE49" i="23"/>
  <c r="BI49" i="31" s="1"/>
  <c r="AD50" i="23"/>
  <c r="AE50" i="23"/>
  <c r="BI50" i="31" s="1"/>
  <c r="AD51" i="23"/>
  <c r="AE51" i="23"/>
  <c r="BI51" i="31" s="1"/>
  <c r="AD52" i="23"/>
  <c r="AE52" i="23"/>
  <c r="BI52" i="31" s="1"/>
  <c r="AD53" i="23"/>
  <c r="AE53" i="23"/>
  <c r="BI53" i="31" s="1"/>
  <c r="AD54" i="23"/>
  <c r="AD56" i="23"/>
  <c r="AE56" i="23"/>
  <c r="BI56" i="31" s="1"/>
  <c r="AD57" i="23"/>
  <c r="AE57" i="23"/>
  <c r="BI57" i="31" s="1"/>
  <c r="AD58" i="23"/>
  <c r="AE58" i="23"/>
  <c r="BI58" i="31" s="1"/>
  <c r="AD59" i="23"/>
  <c r="AE59" i="23"/>
  <c r="BI59" i="31" s="1"/>
  <c r="AD60" i="23"/>
  <c r="AE60" i="23"/>
  <c r="BI60" i="31" s="1"/>
  <c r="AD61" i="23"/>
  <c r="AE61" i="23"/>
  <c r="BI61" i="31" s="1"/>
  <c r="AD62" i="23"/>
  <c r="AE62" i="23"/>
  <c r="BI62" i="31" s="1"/>
  <c r="AD63" i="23"/>
  <c r="AE63" i="23"/>
  <c r="BI63" i="31" s="1"/>
  <c r="AD64" i="23"/>
  <c r="AE64" i="23"/>
  <c r="BI64" i="31" s="1"/>
  <c r="AD65" i="23"/>
  <c r="AE65" i="23"/>
  <c r="BI65" i="31" s="1"/>
  <c r="BH9" i="31"/>
  <c r="BH10" i="31"/>
  <c r="BH11" i="31"/>
  <c r="BH12" i="31"/>
  <c r="BH13" i="31"/>
  <c r="BH14" i="31"/>
  <c r="BH15" i="31"/>
  <c r="BH16" i="31"/>
  <c r="BH17" i="31"/>
  <c r="BH18" i="31"/>
  <c r="BH19" i="31"/>
  <c r="BH20" i="31"/>
  <c r="BH21" i="31"/>
  <c r="BH22" i="31"/>
  <c r="BH23" i="31"/>
  <c r="BH24" i="31"/>
  <c r="BH27" i="31"/>
  <c r="BH28" i="31"/>
  <c r="BH29" i="31"/>
  <c r="BH30" i="31"/>
  <c r="BH31" i="31"/>
  <c r="BH32" i="31"/>
  <c r="BH33" i="31"/>
  <c r="BH34" i="31"/>
  <c r="BH35" i="31"/>
  <c r="BH36" i="31"/>
  <c r="BH37" i="31"/>
  <c r="BH38" i="31"/>
  <c r="BH39" i="31"/>
  <c r="BH42" i="31"/>
  <c r="BH43" i="31"/>
  <c r="BI43" i="31"/>
  <c r="BH44" i="31"/>
  <c r="BI44" i="31"/>
  <c r="BH45" i="31"/>
  <c r="BI45" i="31"/>
  <c r="BH46" i="31"/>
  <c r="BH47" i="31"/>
  <c r="BH48" i="31"/>
  <c r="BH49" i="31"/>
  <c r="BH50" i="31"/>
  <c r="BH51" i="31"/>
  <c r="BH52" i="31"/>
  <c r="BH53" i="31"/>
  <c r="BH56" i="31"/>
  <c r="BH57" i="31"/>
  <c r="BH58" i="31"/>
  <c r="BH59" i="31"/>
  <c r="BH60" i="31"/>
  <c r="BH61" i="31"/>
  <c r="BH62" i="31"/>
  <c r="BH63" i="31"/>
  <c r="BH64" i="31"/>
  <c r="BH65" i="31"/>
  <c r="AE54" i="29"/>
  <c r="AD54" i="29"/>
  <c r="AE40" i="29"/>
  <c r="AD40" i="29"/>
  <c r="AE25" i="29"/>
  <c r="AD25" i="29"/>
  <c r="AE7" i="29"/>
  <c r="AD7" i="29"/>
  <c r="AD6" i="29" s="1"/>
  <c r="AE54" i="10"/>
  <c r="AD54" i="10"/>
  <c r="AE40" i="10"/>
  <c r="AD40" i="10"/>
  <c r="AE25" i="10"/>
  <c r="AD25" i="10"/>
  <c r="AE7" i="10"/>
  <c r="AE6" i="10" s="1"/>
  <c r="AD7" i="10"/>
  <c r="AD6" i="10" s="1"/>
  <c r="AE54" i="9"/>
  <c r="AD54" i="9"/>
  <c r="AE40" i="9"/>
  <c r="AD40" i="9"/>
  <c r="AE25" i="9"/>
  <c r="AD25" i="9"/>
  <c r="AE7" i="9"/>
  <c r="AD7" i="9"/>
  <c r="AD6" i="9" s="1"/>
  <c r="AE54" i="28"/>
  <c r="AD54" i="28"/>
  <c r="AE40" i="28"/>
  <c r="AD40" i="28"/>
  <c r="AE25" i="28"/>
  <c r="AD25" i="28"/>
  <c r="AE7" i="28"/>
  <c r="AD7" i="28"/>
  <c r="AD6" i="28" s="1"/>
  <c r="AE54" i="7"/>
  <c r="AD54" i="7"/>
  <c r="AE40" i="7"/>
  <c r="AD40" i="7"/>
  <c r="AE25" i="7"/>
  <c r="AD25" i="7"/>
  <c r="AE7" i="7"/>
  <c r="AD7" i="7"/>
  <c r="AD6" i="7" s="1"/>
  <c r="AE54" i="26"/>
  <c r="AE54" i="23" s="1"/>
  <c r="AD54" i="26"/>
  <c r="AE40" i="26"/>
  <c r="AD40" i="26"/>
  <c r="AE25" i="26"/>
  <c r="AD25" i="26"/>
  <c r="AE7" i="26"/>
  <c r="AD7" i="26"/>
  <c r="AD6" i="26" s="1"/>
  <c r="AE54" i="6"/>
  <c r="AD54" i="6"/>
  <c r="AE40" i="6"/>
  <c r="AD40" i="6"/>
  <c r="AE25" i="6"/>
  <c r="AD25" i="6"/>
  <c r="AE7" i="6"/>
  <c r="AD7" i="6"/>
  <c r="AD6" i="6" s="1"/>
  <c r="AE54" i="25"/>
  <c r="AD54" i="25"/>
  <c r="AE40" i="25"/>
  <c r="AD40" i="25"/>
  <c r="AE25" i="25"/>
  <c r="AD25" i="25"/>
  <c r="AE7" i="25"/>
  <c r="AD7" i="25"/>
  <c r="AD6" i="25" s="1"/>
  <c r="AE54" i="5"/>
  <c r="AD54" i="5"/>
  <c r="AE40" i="5"/>
  <c r="AE40" i="4" s="1"/>
  <c r="AD40" i="5"/>
  <c r="AE25" i="5"/>
  <c r="AD25" i="5"/>
  <c r="AE7" i="5"/>
  <c r="AD7" i="5"/>
  <c r="AD6" i="5" s="1"/>
  <c r="AE54" i="24"/>
  <c r="AD54" i="24"/>
  <c r="AE40" i="24"/>
  <c r="AD40" i="24"/>
  <c r="AE25" i="24"/>
  <c r="AE25" i="23" s="1"/>
  <c r="AD25" i="24"/>
  <c r="AE7" i="24"/>
  <c r="AD7" i="24"/>
  <c r="AD6" i="24" s="1"/>
  <c r="AE54" i="3"/>
  <c r="AD54" i="3"/>
  <c r="AE40" i="3"/>
  <c r="AD40" i="3"/>
  <c r="AE25" i="3"/>
  <c r="AD25" i="3"/>
  <c r="AE7" i="3"/>
  <c r="AD7" i="3"/>
  <c r="AD6" i="3" s="1"/>
  <c r="AE54" i="22"/>
  <c r="AD54" i="22"/>
  <c r="AE40" i="22"/>
  <c r="AD40" i="22"/>
  <c r="AE25" i="22"/>
  <c r="AD25" i="22"/>
  <c r="AE7" i="22"/>
  <c r="AD7" i="22"/>
  <c r="AD6" i="22" s="1"/>
  <c r="AE54" i="2"/>
  <c r="AD54" i="2"/>
  <c r="AE40" i="2"/>
  <c r="AD40" i="2"/>
  <c r="AE25" i="2"/>
  <c r="AD25" i="2"/>
  <c r="AD6" i="2" s="1"/>
  <c r="AE7" i="2"/>
  <c r="AD7" i="2"/>
  <c r="AE54" i="21"/>
  <c r="AD54" i="21"/>
  <c r="AE40" i="21"/>
  <c r="AD40" i="21"/>
  <c r="AE25" i="21"/>
  <c r="AD25" i="21"/>
  <c r="AE7" i="21"/>
  <c r="AD7" i="21"/>
  <c r="AD6" i="21" s="1"/>
  <c r="AE54" i="1"/>
  <c r="AD54" i="1"/>
  <c r="AE40" i="1"/>
  <c r="AD40" i="1"/>
  <c r="AE25" i="1"/>
  <c r="AD25" i="1"/>
  <c r="AE7" i="1"/>
  <c r="AD7" i="1"/>
  <c r="AD6" i="1"/>
  <c r="AE54" i="20"/>
  <c r="AD54" i="20"/>
  <c r="AE40" i="20"/>
  <c r="AD40" i="20"/>
  <c r="AE25" i="20"/>
  <c r="AD25" i="20"/>
  <c r="AE7" i="20"/>
  <c r="AD7" i="20"/>
  <c r="AD6" i="20" s="1"/>
  <c r="AE54" i="11"/>
  <c r="AD54" i="11"/>
  <c r="AE40" i="11"/>
  <c r="AD40" i="11"/>
  <c r="AE25" i="11"/>
  <c r="AD25" i="11"/>
  <c r="AE7" i="11"/>
  <c r="AD7" i="11"/>
  <c r="AD6" i="11" s="1"/>
  <c r="AD54" i="31"/>
  <c r="AE54" i="31"/>
  <c r="AD40" i="31"/>
  <c r="AE40" i="31"/>
  <c r="AD25" i="31"/>
  <c r="AE25" i="31"/>
  <c r="AD7" i="31"/>
  <c r="AE7" i="31"/>
  <c r="AB54" i="10"/>
  <c r="AC54" i="10"/>
  <c r="AB40" i="10"/>
  <c r="AC40" i="10"/>
  <c r="AB25" i="10"/>
  <c r="AC25" i="10"/>
  <c r="AB7" i="10"/>
  <c r="AC7" i="10"/>
  <c r="AB25" i="29"/>
  <c r="AC25" i="29"/>
  <c r="AC40" i="29"/>
  <c r="AB40" i="29"/>
  <c r="AB54" i="29"/>
  <c r="AC54" i="29"/>
  <c r="AB7" i="29"/>
  <c r="AC7" i="29"/>
  <c r="AB25" i="9"/>
  <c r="AC25" i="9"/>
  <c r="AB40" i="9"/>
  <c r="AC40" i="9"/>
  <c r="AB54" i="9"/>
  <c r="AC54" i="9"/>
  <c r="AB7" i="9"/>
  <c r="AC7" i="9"/>
  <c r="AB54" i="28"/>
  <c r="AC54" i="28"/>
  <c r="AB40" i="28"/>
  <c r="AC40" i="28"/>
  <c r="AB25" i="28"/>
  <c r="AC25" i="28"/>
  <c r="AB7" i="28"/>
  <c r="AC7" i="28"/>
  <c r="AB54" i="7"/>
  <c r="AC54" i="7"/>
  <c r="AB40" i="7"/>
  <c r="AC40" i="7"/>
  <c r="AB25" i="7"/>
  <c r="AC25" i="7"/>
  <c r="AB7" i="7"/>
  <c r="AC7" i="7"/>
  <c r="AB54" i="26"/>
  <c r="AC54" i="26"/>
  <c r="AB40" i="26"/>
  <c r="AC40" i="26"/>
  <c r="AB25" i="26"/>
  <c r="AC25" i="26"/>
  <c r="AB7" i="26"/>
  <c r="AC7" i="26"/>
  <c r="AB54" i="6"/>
  <c r="AC54" i="6"/>
  <c r="AB40" i="6"/>
  <c r="AC40" i="6"/>
  <c r="AB25" i="6"/>
  <c r="AC25" i="6"/>
  <c r="AB7" i="6"/>
  <c r="AC7" i="6"/>
  <c r="AB54" i="25"/>
  <c r="AC54" i="25"/>
  <c r="AB40" i="25"/>
  <c r="AC40" i="25"/>
  <c r="AB25" i="25"/>
  <c r="AC25" i="25"/>
  <c r="AB7" i="25"/>
  <c r="AC7" i="25"/>
  <c r="AB54" i="5"/>
  <c r="AB54" i="4" s="1"/>
  <c r="AC54" i="5"/>
  <c r="AC54" i="4" s="1"/>
  <c r="AB40" i="5"/>
  <c r="AB40" i="4" s="1"/>
  <c r="AC40" i="5"/>
  <c r="AB25" i="5"/>
  <c r="AC25" i="5"/>
  <c r="AB7" i="5"/>
  <c r="AC7" i="5"/>
  <c r="AB54" i="24"/>
  <c r="AB54" i="23" s="1"/>
  <c r="AC54" i="24"/>
  <c r="AB40" i="24"/>
  <c r="AC40" i="24"/>
  <c r="AB25" i="24"/>
  <c r="AC25" i="24"/>
  <c r="AB7" i="24"/>
  <c r="AB7" i="23" s="1"/>
  <c r="AC7" i="24"/>
  <c r="AB8" i="4"/>
  <c r="AC8" i="4"/>
  <c r="AB9" i="4"/>
  <c r="BF9" i="11" s="1"/>
  <c r="AC9" i="4"/>
  <c r="BG9" i="11" s="1"/>
  <c r="AB10" i="4"/>
  <c r="BF10" i="11" s="1"/>
  <c r="AC10" i="4"/>
  <c r="BG10" i="11" s="1"/>
  <c r="AB11" i="4"/>
  <c r="BF11" i="11" s="1"/>
  <c r="AC11" i="4"/>
  <c r="BG11" i="11" s="1"/>
  <c r="AB12" i="4"/>
  <c r="BF12" i="11" s="1"/>
  <c r="AC12" i="4"/>
  <c r="BG12" i="11" s="1"/>
  <c r="AB13" i="4"/>
  <c r="BF13" i="11" s="1"/>
  <c r="AC13" i="4"/>
  <c r="BG13" i="11" s="1"/>
  <c r="AB14" i="4"/>
  <c r="BF14" i="11" s="1"/>
  <c r="AC14" i="4"/>
  <c r="BG14" i="11" s="1"/>
  <c r="AB15" i="4"/>
  <c r="BF15" i="11" s="1"/>
  <c r="AC15" i="4"/>
  <c r="BG15" i="11" s="1"/>
  <c r="AB16" i="4"/>
  <c r="BF16" i="11" s="1"/>
  <c r="AC16" i="4"/>
  <c r="BG16" i="11" s="1"/>
  <c r="AB17" i="4"/>
  <c r="BF17" i="11" s="1"/>
  <c r="AC17" i="4"/>
  <c r="BG17" i="11" s="1"/>
  <c r="AB18" i="4"/>
  <c r="BF18" i="11" s="1"/>
  <c r="AC18" i="4"/>
  <c r="BG18" i="11" s="1"/>
  <c r="AB19" i="4"/>
  <c r="BF19" i="11" s="1"/>
  <c r="AC19" i="4"/>
  <c r="BG19" i="11" s="1"/>
  <c r="AB20" i="4"/>
  <c r="BF20" i="11" s="1"/>
  <c r="AC20" i="4"/>
  <c r="BG20" i="11" s="1"/>
  <c r="AB21" i="4"/>
  <c r="BF21" i="11" s="1"/>
  <c r="AC21" i="4"/>
  <c r="BG21" i="11" s="1"/>
  <c r="AB22" i="4"/>
  <c r="BF22" i="11" s="1"/>
  <c r="AC22" i="4"/>
  <c r="BG22" i="11" s="1"/>
  <c r="AB23" i="4"/>
  <c r="BF23" i="11" s="1"/>
  <c r="AC23" i="4"/>
  <c r="BG23" i="11" s="1"/>
  <c r="AB24" i="4"/>
  <c r="BF24" i="11" s="1"/>
  <c r="AC24" i="4"/>
  <c r="BG24" i="11" s="1"/>
  <c r="AB25" i="4"/>
  <c r="AC25" i="4"/>
  <c r="AB26" i="4"/>
  <c r="AC26" i="4"/>
  <c r="AB27" i="4"/>
  <c r="BF27" i="11" s="1"/>
  <c r="AC27" i="4"/>
  <c r="BG27" i="11" s="1"/>
  <c r="AB28" i="4"/>
  <c r="BF28" i="11" s="1"/>
  <c r="AC28" i="4"/>
  <c r="BG28" i="11" s="1"/>
  <c r="AB29" i="4"/>
  <c r="BF29" i="11" s="1"/>
  <c r="AC29" i="4"/>
  <c r="BG29" i="11" s="1"/>
  <c r="AB30" i="4"/>
  <c r="BF30" i="11" s="1"/>
  <c r="AC30" i="4"/>
  <c r="BG30" i="11" s="1"/>
  <c r="AB31" i="4"/>
  <c r="BF31" i="11" s="1"/>
  <c r="AC31" i="4"/>
  <c r="BG31" i="11" s="1"/>
  <c r="AB32" i="4"/>
  <c r="BF32" i="11" s="1"/>
  <c r="AC32" i="4"/>
  <c r="BG32" i="11" s="1"/>
  <c r="AB33" i="4"/>
  <c r="BF33" i="11" s="1"/>
  <c r="AC33" i="4"/>
  <c r="BG33" i="11" s="1"/>
  <c r="AB34" i="4"/>
  <c r="BF34" i="11" s="1"/>
  <c r="AC34" i="4"/>
  <c r="BG34" i="11" s="1"/>
  <c r="AB35" i="4"/>
  <c r="BF35" i="11" s="1"/>
  <c r="AC35" i="4"/>
  <c r="BG35" i="11" s="1"/>
  <c r="AB36" i="4"/>
  <c r="BF36" i="11" s="1"/>
  <c r="AC36" i="4"/>
  <c r="BG36" i="11" s="1"/>
  <c r="AB37" i="4"/>
  <c r="BF37" i="11" s="1"/>
  <c r="AC37" i="4"/>
  <c r="BG37" i="11" s="1"/>
  <c r="AB38" i="4"/>
  <c r="BF38" i="11" s="1"/>
  <c r="AC38" i="4"/>
  <c r="BG38" i="11" s="1"/>
  <c r="AB39" i="4"/>
  <c r="BF39" i="11" s="1"/>
  <c r="AC39" i="4"/>
  <c r="BG39" i="11" s="1"/>
  <c r="AB41" i="4"/>
  <c r="AC41" i="4"/>
  <c r="AB42" i="4"/>
  <c r="BF42" i="11" s="1"/>
  <c r="AC42" i="4"/>
  <c r="BG42" i="11" s="1"/>
  <c r="AB43" i="4"/>
  <c r="BF43" i="11" s="1"/>
  <c r="AC43" i="4"/>
  <c r="BG43" i="11" s="1"/>
  <c r="AB44" i="4"/>
  <c r="BF44" i="11" s="1"/>
  <c r="AC44" i="4"/>
  <c r="BG44" i="11" s="1"/>
  <c r="AB45" i="4"/>
  <c r="BF45" i="11" s="1"/>
  <c r="AC45" i="4"/>
  <c r="BG45" i="11" s="1"/>
  <c r="AB46" i="4"/>
  <c r="BF46" i="11" s="1"/>
  <c r="AC46" i="4"/>
  <c r="BG46" i="11" s="1"/>
  <c r="AB47" i="4"/>
  <c r="BF47" i="11" s="1"/>
  <c r="AC47" i="4"/>
  <c r="BG47" i="11" s="1"/>
  <c r="AB48" i="4"/>
  <c r="BF48" i="11" s="1"/>
  <c r="AC48" i="4"/>
  <c r="BG48" i="11" s="1"/>
  <c r="AB49" i="4"/>
  <c r="BF49" i="11" s="1"/>
  <c r="AC49" i="4"/>
  <c r="BG49" i="11" s="1"/>
  <c r="AB50" i="4"/>
  <c r="BF50" i="11" s="1"/>
  <c r="AC50" i="4"/>
  <c r="BG50" i="11" s="1"/>
  <c r="AB51" i="4"/>
  <c r="BF51" i="11" s="1"/>
  <c r="AC51" i="4"/>
  <c r="BG51" i="11" s="1"/>
  <c r="AB52" i="4"/>
  <c r="BF52" i="11" s="1"/>
  <c r="AC52" i="4"/>
  <c r="BG52" i="11" s="1"/>
  <c r="AB53" i="4"/>
  <c r="BF53" i="11" s="1"/>
  <c r="AC53" i="4"/>
  <c r="BG53" i="11" s="1"/>
  <c r="AB55" i="4"/>
  <c r="AC55" i="4"/>
  <c r="AB56" i="4"/>
  <c r="BF56" i="11" s="1"/>
  <c r="AC56" i="4"/>
  <c r="BG56" i="11" s="1"/>
  <c r="AB57" i="4"/>
  <c r="BF57" i="11" s="1"/>
  <c r="AC57" i="4"/>
  <c r="BG57" i="11" s="1"/>
  <c r="AB58" i="4"/>
  <c r="BF58" i="11" s="1"/>
  <c r="AC58" i="4"/>
  <c r="BG58" i="11" s="1"/>
  <c r="AB59" i="4"/>
  <c r="BF59" i="11" s="1"/>
  <c r="AC59" i="4"/>
  <c r="BG59" i="11" s="1"/>
  <c r="AB60" i="4"/>
  <c r="BF60" i="11" s="1"/>
  <c r="AC60" i="4"/>
  <c r="BG60" i="11" s="1"/>
  <c r="AB61" i="4"/>
  <c r="BF61" i="11" s="1"/>
  <c r="AC61" i="4"/>
  <c r="BG61" i="11" s="1"/>
  <c r="AB62" i="4"/>
  <c r="BF62" i="11" s="1"/>
  <c r="AC62" i="4"/>
  <c r="BG62" i="11" s="1"/>
  <c r="AB63" i="4"/>
  <c r="BF63" i="11" s="1"/>
  <c r="AC63" i="4"/>
  <c r="BG63" i="11" s="1"/>
  <c r="AB64" i="4"/>
  <c r="BF64" i="11" s="1"/>
  <c r="AC64" i="4"/>
  <c r="BG64" i="11" s="1"/>
  <c r="AB9" i="23"/>
  <c r="BF9" i="31" s="1"/>
  <c r="AC9" i="23"/>
  <c r="BG9" i="31" s="1"/>
  <c r="AB10" i="23"/>
  <c r="BF10" i="31" s="1"/>
  <c r="AC10" i="23"/>
  <c r="BG10" i="31" s="1"/>
  <c r="AB11" i="23"/>
  <c r="BF11" i="31" s="1"/>
  <c r="AC11" i="23"/>
  <c r="BG11" i="31" s="1"/>
  <c r="AB12" i="23"/>
  <c r="BF12" i="31" s="1"/>
  <c r="AC12" i="23"/>
  <c r="BG12" i="31" s="1"/>
  <c r="AB13" i="23"/>
  <c r="BF13" i="31" s="1"/>
  <c r="AC13" i="23"/>
  <c r="BG13" i="31" s="1"/>
  <c r="AB14" i="23"/>
  <c r="BF14" i="31" s="1"/>
  <c r="AC14" i="23"/>
  <c r="BG14" i="31" s="1"/>
  <c r="AB15" i="23"/>
  <c r="BF15" i="31" s="1"/>
  <c r="AC15" i="23"/>
  <c r="BG15" i="31" s="1"/>
  <c r="AB16" i="23"/>
  <c r="BF16" i="31" s="1"/>
  <c r="AC16" i="23"/>
  <c r="BG16" i="31" s="1"/>
  <c r="AB17" i="23"/>
  <c r="BF17" i="31" s="1"/>
  <c r="AC17" i="23"/>
  <c r="BG17" i="31" s="1"/>
  <c r="AB18" i="23"/>
  <c r="BF18" i="31" s="1"/>
  <c r="AC18" i="23"/>
  <c r="BG18" i="31" s="1"/>
  <c r="AB19" i="23"/>
  <c r="BF19" i="31" s="1"/>
  <c r="AC19" i="23"/>
  <c r="BG19" i="31" s="1"/>
  <c r="AB20" i="23"/>
  <c r="BF20" i="31" s="1"/>
  <c r="AC20" i="23"/>
  <c r="BG20" i="31" s="1"/>
  <c r="AB21" i="23"/>
  <c r="BF21" i="31" s="1"/>
  <c r="AC21" i="23"/>
  <c r="BG21" i="31" s="1"/>
  <c r="AB22" i="23"/>
  <c r="BF22" i="31" s="1"/>
  <c r="AC22" i="23"/>
  <c r="BG22" i="31" s="1"/>
  <c r="AB23" i="23"/>
  <c r="BF23" i="31" s="1"/>
  <c r="AC23" i="23"/>
  <c r="BG23" i="31" s="1"/>
  <c r="AB24" i="23"/>
  <c r="BF24" i="31" s="1"/>
  <c r="AC24" i="23"/>
  <c r="AB25" i="23"/>
  <c r="AB27" i="23"/>
  <c r="BF27" i="31" s="1"/>
  <c r="AC27" i="23"/>
  <c r="BG27" i="31" s="1"/>
  <c r="AB28" i="23"/>
  <c r="BF28" i="31" s="1"/>
  <c r="AC28" i="23"/>
  <c r="BG28" i="31" s="1"/>
  <c r="AB29" i="23"/>
  <c r="AC29" i="23"/>
  <c r="BG29" i="31" s="1"/>
  <c r="AB30" i="23"/>
  <c r="BF30" i="31" s="1"/>
  <c r="AC30" i="23"/>
  <c r="BG30" i="31" s="1"/>
  <c r="AB31" i="23"/>
  <c r="BF31" i="31" s="1"/>
  <c r="AC31" i="23"/>
  <c r="BG31" i="31" s="1"/>
  <c r="AB32" i="23"/>
  <c r="BF32" i="31" s="1"/>
  <c r="AC32" i="23"/>
  <c r="BG32" i="31" s="1"/>
  <c r="AB33" i="23"/>
  <c r="BF33" i="31" s="1"/>
  <c r="AC33" i="23"/>
  <c r="BG33" i="31" s="1"/>
  <c r="AB34" i="23"/>
  <c r="BF34" i="31" s="1"/>
  <c r="AC34" i="23"/>
  <c r="BG34" i="31" s="1"/>
  <c r="AB35" i="23"/>
  <c r="BF35" i="31" s="1"/>
  <c r="AC35" i="23"/>
  <c r="BG35" i="31" s="1"/>
  <c r="AB36" i="23"/>
  <c r="BF36" i="31" s="1"/>
  <c r="AC36" i="23"/>
  <c r="BG36" i="31" s="1"/>
  <c r="AB37" i="23"/>
  <c r="BF37" i="31" s="1"/>
  <c r="AC37" i="23"/>
  <c r="BG37" i="31" s="1"/>
  <c r="AB38" i="23"/>
  <c r="BF38" i="31" s="1"/>
  <c r="AC38" i="23"/>
  <c r="BG38" i="31" s="1"/>
  <c r="AB39" i="23"/>
  <c r="BF39" i="31" s="1"/>
  <c r="AC39" i="23"/>
  <c r="BG39" i="31" s="1"/>
  <c r="AB42" i="23"/>
  <c r="BF42" i="31" s="1"/>
  <c r="AC42" i="23"/>
  <c r="BG42" i="31" s="1"/>
  <c r="AB43" i="23"/>
  <c r="BF43" i="31" s="1"/>
  <c r="AC43" i="23"/>
  <c r="BG43" i="31" s="1"/>
  <c r="AB44" i="23"/>
  <c r="BF44" i="31" s="1"/>
  <c r="AC44" i="23"/>
  <c r="BG44" i="31" s="1"/>
  <c r="AB45" i="23"/>
  <c r="BF45" i="31" s="1"/>
  <c r="AC45" i="23"/>
  <c r="BG45" i="31" s="1"/>
  <c r="AB46" i="23"/>
  <c r="BF46" i="31" s="1"/>
  <c r="AC46" i="23"/>
  <c r="BG46" i="31" s="1"/>
  <c r="AB47" i="23"/>
  <c r="BF47" i="31" s="1"/>
  <c r="AC47" i="23"/>
  <c r="BG47" i="31" s="1"/>
  <c r="AB48" i="23"/>
  <c r="BF48" i="31" s="1"/>
  <c r="AC48" i="23"/>
  <c r="BG48" i="31" s="1"/>
  <c r="AB49" i="23"/>
  <c r="BF49" i="31" s="1"/>
  <c r="AC49" i="23"/>
  <c r="BG49" i="31" s="1"/>
  <c r="AB50" i="23"/>
  <c r="BF50" i="31" s="1"/>
  <c r="AC50" i="23"/>
  <c r="BG50" i="31" s="1"/>
  <c r="AB51" i="23"/>
  <c r="BF51" i="31" s="1"/>
  <c r="AC51" i="23"/>
  <c r="BG51" i="31" s="1"/>
  <c r="AB52" i="23"/>
  <c r="BF52" i="31" s="1"/>
  <c r="AC52" i="23"/>
  <c r="BG52" i="31" s="1"/>
  <c r="AB53" i="23"/>
  <c r="BF53" i="31" s="1"/>
  <c r="AC53" i="23"/>
  <c r="BG53" i="31" s="1"/>
  <c r="AC54" i="23"/>
  <c r="AB56" i="23"/>
  <c r="BF56" i="31" s="1"/>
  <c r="AC56" i="23"/>
  <c r="BG56" i="31" s="1"/>
  <c r="AB57" i="23"/>
  <c r="BF57" i="31" s="1"/>
  <c r="AC57" i="23"/>
  <c r="BG57" i="31" s="1"/>
  <c r="AB58" i="23"/>
  <c r="BF58" i="31" s="1"/>
  <c r="AC58" i="23"/>
  <c r="BG58" i="31" s="1"/>
  <c r="AB59" i="23"/>
  <c r="BF59" i="31" s="1"/>
  <c r="AC59" i="23"/>
  <c r="BG59" i="31" s="1"/>
  <c r="AB60" i="23"/>
  <c r="BF60" i="31" s="1"/>
  <c r="AC60" i="23"/>
  <c r="BG60" i="31" s="1"/>
  <c r="AB61" i="23"/>
  <c r="BF61" i="31" s="1"/>
  <c r="AC61" i="23"/>
  <c r="BG61" i="31" s="1"/>
  <c r="AB62" i="23"/>
  <c r="BF62" i="31" s="1"/>
  <c r="AC62" i="23"/>
  <c r="BG62" i="31" s="1"/>
  <c r="AB63" i="23"/>
  <c r="BF63" i="31" s="1"/>
  <c r="AC63" i="23"/>
  <c r="BG63" i="31" s="1"/>
  <c r="AB64" i="23"/>
  <c r="BF64" i="31" s="1"/>
  <c r="AC64" i="23"/>
  <c r="BG64" i="31" s="1"/>
  <c r="AB65" i="23"/>
  <c r="BF65" i="31" s="1"/>
  <c r="AC65" i="23"/>
  <c r="BG65" i="31" s="1"/>
  <c r="AB54" i="3"/>
  <c r="AC54" i="3"/>
  <c r="AB40" i="3"/>
  <c r="AC40" i="3"/>
  <c r="AB25" i="3"/>
  <c r="AC25" i="3"/>
  <c r="AB7" i="3"/>
  <c r="AB6" i="3" s="1"/>
  <c r="AC7" i="3"/>
  <c r="AC6" i="3" s="1"/>
  <c r="AB54" i="22"/>
  <c r="AC54" i="22"/>
  <c r="AB40" i="22"/>
  <c r="AC40" i="22"/>
  <c r="AB25" i="22"/>
  <c r="AC25" i="22"/>
  <c r="AB7" i="22"/>
  <c r="AC7" i="22"/>
  <c r="AB54" i="2"/>
  <c r="AC54" i="2"/>
  <c r="AB40" i="2"/>
  <c r="AC40" i="2"/>
  <c r="AB25" i="2"/>
  <c r="AC25" i="2"/>
  <c r="AB7" i="2"/>
  <c r="AB6" i="2" s="1"/>
  <c r="AC7" i="2"/>
  <c r="AB54" i="21"/>
  <c r="AC54" i="21"/>
  <c r="AB40" i="21"/>
  <c r="AC40" i="21"/>
  <c r="AB25" i="21"/>
  <c r="AC25" i="21"/>
  <c r="AB7" i="21"/>
  <c r="AC7" i="21"/>
  <c r="AB54" i="1"/>
  <c r="AC54" i="1"/>
  <c r="AB40" i="1"/>
  <c r="AC40" i="1"/>
  <c r="AB25" i="1"/>
  <c r="AC25" i="1"/>
  <c r="AB7" i="1"/>
  <c r="AC7" i="1"/>
  <c r="AB54" i="20"/>
  <c r="AC54" i="20"/>
  <c r="AB40" i="20"/>
  <c r="AC40" i="20"/>
  <c r="AB25" i="20"/>
  <c r="AC25" i="20"/>
  <c r="AB7" i="20"/>
  <c r="AC7" i="20"/>
  <c r="BF65" i="11"/>
  <c r="BG65" i="11"/>
  <c r="AB54" i="11"/>
  <c r="AC54" i="11"/>
  <c r="AB40" i="11"/>
  <c r="AC40" i="11"/>
  <c r="AB25" i="11"/>
  <c r="AC25" i="11"/>
  <c r="AB7" i="11"/>
  <c r="AC7" i="11"/>
  <c r="BG24" i="31"/>
  <c r="BF29" i="31"/>
  <c r="AC54" i="31"/>
  <c r="AC40" i="31"/>
  <c r="AC25" i="31"/>
  <c r="AB54" i="31"/>
  <c r="AB40" i="31"/>
  <c r="AB25" i="31"/>
  <c r="N16" i="18" l="1"/>
  <c r="N24" i="18"/>
  <c r="N33" i="18"/>
  <c r="N41" i="18"/>
  <c r="N50" i="18"/>
  <c r="N59" i="18"/>
  <c r="N67" i="18"/>
  <c r="N15" i="18"/>
  <c r="N23" i="18"/>
  <c r="N32" i="18"/>
  <c r="N40" i="18"/>
  <c r="N49" i="18"/>
  <c r="N58" i="18"/>
  <c r="N66" i="18"/>
  <c r="AE6" i="9"/>
  <c r="AE25" i="4"/>
  <c r="AE6" i="7"/>
  <c r="AE54" i="4"/>
  <c r="AE6" i="6"/>
  <c r="BI40" i="11"/>
  <c r="AE6" i="5"/>
  <c r="AE7" i="4"/>
  <c r="BI7" i="11" s="1"/>
  <c r="BI25" i="11"/>
  <c r="BI54" i="11"/>
  <c r="AE6" i="3"/>
  <c r="AE6" i="2"/>
  <c r="AE6" i="1"/>
  <c r="AE6" i="11"/>
  <c r="AE6" i="29"/>
  <c r="AE6" i="28"/>
  <c r="AE6" i="26"/>
  <c r="AE40" i="23"/>
  <c r="AE6" i="25"/>
  <c r="AE6" i="24"/>
  <c r="AE7" i="23"/>
  <c r="AE6" i="22"/>
  <c r="AE6" i="21"/>
  <c r="AE6" i="20"/>
  <c r="BF40" i="11"/>
  <c r="BF54" i="11"/>
  <c r="AE6" i="31"/>
  <c r="AD6" i="31"/>
  <c r="AB40" i="23"/>
  <c r="AC6" i="24"/>
  <c r="AC6" i="23" s="1"/>
  <c r="AC6" i="25"/>
  <c r="AC6" i="6"/>
  <c r="AC6" i="26"/>
  <c r="AC6" i="28"/>
  <c r="AC6" i="9"/>
  <c r="AC6" i="10"/>
  <c r="AB6" i="26"/>
  <c r="AB6" i="29"/>
  <c r="AC25" i="23"/>
  <c r="AB6" i="25"/>
  <c r="AB6" i="7"/>
  <c r="AB6" i="9"/>
  <c r="AC6" i="11"/>
  <c r="AB6" i="5"/>
  <c r="AB6" i="6"/>
  <c r="AB6" i="28"/>
  <c r="AB6" i="11"/>
  <c r="AC40" i="4"/>
  <c r="AC40" i="23"/>
  <c r="AB6" i="10"/>
  <c r="AC6" i="29"/>
  <c r="AC6" i="7"/>
  <c r="AB6" i="4"/>
  <c r="AC7" i="23"/>
  <c r="AC6" i="5"/>
  <c r="BG54" i="11"/>
  <c r="AC7" i="4"/>
  <c r="AB7" i="4"/>
  <c r="BF7" i="11" s="1"/>
  <c r="AB6" i="24"/>
  <c r="AB6" i="23" s="1"/>
  <c r="BG25" i="11"/>
  <c r="BF25" i="11"/>
  <c r="AC6" i="22"/>
  <c r="AB6" i="22"/>
  <c r="AC6" i="2"/>
  <c r="AC6" i="21"/>
  <c r="AB6" i="21"/>
  <c r="AC6" i="1"/>
  <c r="AB6" i="1"/>
  <c r="AB6" i="20"/>
  <c r="AC6" i="20"/>
  <c r="AE6" i="4" l="1"/>
  <c r="BI6" i="11" s="1"/>
  <c r="AE6" i="23"/>
  <c r="BG40" i="11"/>
  <c r="BG7" i="11"/>
  <c r="AC6" i="4"/>
  <c r="BF6" i="11"/>
  <c r="AB7" i="31"/>
  <c r="AB6" i="31" s="1"/>
  <c r="AC7" i="31"/>
  <c r="AC6" i="31" l="1"/>
  <c r="BG6" i="11"/>
  <c r="AA25" i="31"/>
  <c r="Z54" i="29" l="1"/>
  <c r="AA54" i="29"/>
  <c r="Z40" i="29"/>
  <c r="AA40" i="29"/>
  <c r="Z25" i="29"/>
  <c r="AA25" i="29"/>
  <c r="Z7" i="29"/>
  <c r="AA7" i="29"/>
  <c r="Z54" i="10"/>
  <c r="AA54" i="10"/>
  <c r="AA6" i="10" s="1"/>
  <c r="AA40" i="10"/>
  <c r="Z40" i="10"/>
  <c r="Z25" i="10"/>
  <c r="AA25" i="10"/>
  <c r="Z7" i="10"/>
  <c r="AA7" i="10"/>
  <c r="Z8" i="4"/>
  <c r="AA8" i="4"/>
  <c r="Z9" i="4"/>
  <c r="BD9" i="11" s="1"/>
  <c r="AA9" i="4"/>
  <c r="Z10" i="4"/>
  <c r="BD10" i="11" s="1"/>
  <c r="AA10" i="4"/>
  <c r="BE10" i="11" s="1"/>
  <c r="Z11" i="4"/>
  <c r="BD11" i="11" s="1"/>
  <c r="AA11" i="4"/>
  <c r="Z12" i="4"/>
  <c r="BD12" i="11" s="1"/>
  <c r="AA12" i="4"/>
  <c r="Z13" i="4"/>
  <c r="BD13" i="11" s="1"/>
  <c r="AA13" i="4"/>
  <c r="Z14" i="4"/>
  <c r="AA14" i="4"/>
  <c r="BE14" i="11" s="1"/>
  <c r="Z15" i="4"/>
  <c r="BD15" i="11" s="1"/>
  <c r="AA15" i="4"/>
  <c r="Z16" i="4"/>
  <c r="BD16" i="11" s="1"/>
  <c r="AA16" i="4"/>
  <c r="Z17" i="4"/>
  <c r="BD17" i="11" s="1"/>
  <c r="AA17" i="4"/>
  <c r="Z18" i="4"/>
  <c r="AA18" i="4"/>
  <c r="Z19" i="4"/>
  <c r="BD19" i="11" s="1"/>
  <c r="AA19" i="4"/>
  <c r="Z20" i="4"/>
  <c r="AA20" i="4"/>
  <c r="Z21" i="4"/>
  <c r="BD21" i="11" s="1"/>
  <c r="AA21" i="4"/>
  <c r="Z22" i="4"/>
  <c r="AA22" i="4"/>
  <c r="BE22" i="11" s="1"/>
  <c r="Z23" i="4"/>
  <c r="BD23" i="11" s="1"/>
  <c r="AA23" i="4"/>
  <c r="Z24" i="4"/>
  <c r="BD24" i="11" s="1"/>
  <c r="AA24" i="4"/>
  <c r="Z26" i="4"/>
  <c r="AA26" i="4"/>
  <c r="Z27" i="4"/>
  <c r="AA27" i="4"/>
  <c r="BE27" i="11" s="1"/>
  <c r="Z28" i="4"/>
  <c r="BD28" i="11" s="1"/>
  <c r="AA28" i="4"/>
  <c r="Z29" i="4"/>
  <c r="BD29" i="11" s="1"/>
  <c r="AA29" i="4"/>
  <c r="BE29" i="11" s="1"/>
  <c r="Z30" i="4"/>
  <c r="BD30" i="11" s="1"/>
  <c r="AA30" i="4"/>
  <c r="Z31" i="4"/>
  <c r="BD31" i="11" s="1"/>
  <c r="AA31" i="4"/>
  <c r="Z32" i="4"/>
  <c r="AA32" i="4"/>
  <c r="Z33" i="4"/>
  <c r="BD33" i="11" s="1"/>
  <c r="AA33" i="4"/>
  <c r="Z34" i="4"/>
  <c r="AA34" i="4"/>
  <c r="Z35" i="4"/>
  <c r="BD35" i="11" s="1"/>
  <c r="AA35" i="4"/>
  <c r="Z36" i="4"/>
  <c r="BD36" i="11" s="1"/>
  <c r="AA36" i="4"/>
  <c r="Z37" i="4"/>
  <c r="BD37" i="11" s="1"/>
  <c r="AA37" i="4"/>
  <c r="Z38" i="4"/>
  <c r="BD38" i="11" s="1"/>
  <c r="AA38" i="4"/>
  <c r="Z39" i="4"/>
  <c r="AA39" i="4"/>
  <c r="BE39" i="11" s="1"/>
  <c r="Z41" i="4"/>
  <c r="AA41" i="4"/>
  <c r="Z42" i="4"/>
  <c r="BD42" i="11" s="1"/>
  <c r="AA42" i="4"/>
  <c r="Z43" i="4"/>
  <c r="BD43" i="11" s="1"/>
  <c r="AA43" i="4"/>
  <c r="Z44" i="4"/>
  <c r="BD44" i="11" s="1"/>
  <c r="AA44" i="4"/>
  <c r="Z45" i="4"/>
  <c r="BD45" i="11" s="1"/>
  <c r="AA45" i="4"/>
  <c r="Z46" i="4"/>
  <c r="BD46" i="11" s="1"/>
  <c r="AA46" i="4"/>
  <c r="Z47" i="4"/>
  <c r="AA47" i="4"/>
  <c r="BE47" i="11" s="1"/>
  <c r="Z48" i="4"/>
  <c r="AA48" i="4"/>
  <c r="Z49" i="4"/>
  <c r="BD49" i="11" s="1"/>
  <c r="AA49" i="4"/>
  <c r="Z50" i="4"/>
  <c r="AA50" i="4"/>
  <c r="Z51" i="4"/>
  <c r="BD51" i="11" s="1"/>
  <c r="AA51" i="4"/>
  <c r="BE51" i="11" s="1"/>
  <c r="Z52" i="4"/>
  <c r="BD52" i="11" s="1"/>
  <c r="AA52" i="4"/>
  <c r="Z53" i="4"/>
  <c r="BD53" i="11" s="1"/>
  <c r="AA53" i="4"/>
  <c r="Z54" i="4"/>
  <c r="Z55" i="4"/>
  <c r="AA55" i="4"/>
  <c r="Z56" i="4"/>
  <c r="BD56" i="11" s="1"/>
  <c r="AA56" i="4"/>
  <c r="Z57" i="4"/>
  <c r="BD57" i="11" s="1"/>
  <c r="AA57" i="4"/>
  <c r="Z58" i="4"/>
  <c r="BD58" i="11" s="1"/>
  <c r="AA58" i="4"/>
  <c r="Z59" i="4"/>
  <c r="AA59" i="4"/>
  <c r="Z60" i="4"/>
  <c r="BD60" i="11" s="1"/>
  <c r="AA60" i="4"/>
  <c r="Z61" i="4"/>
  <c r="BD61" i="11" s="1"/>
  <c r="AA61" i="4"/>
  <c r="Z62" i="4"/>
  <c r="BD62" i="11" s="1"/>
  <c r="AA62" i="4"/>
  <c r="BE62" i="11" s="1"/>
  <c r="Z63" i="4"/>
  <c r="AA63" i="4"/>
  <c r="Z64" i="4"/>
  <c r="BD64" i="11" s="1"/>
  <c r="AA64" i="4"/>
  <c r="Z9" i="23"/>
  <c r="BD9" i="31" s="1"/>
  <c r="AA9" i="23"/>
  <c r="Z10" i="23"/>
  <c r="BD10" i="31" s="1"/>
  <c r="AA10" i="23"/>
  <c r="Z11" i="23"/>
  <c r="BD11" i="31" s="1"/>
  <c r="AA11" i="23"/>
  <c r="Z12" i="23"/>
  <c r="BD12" i="31" s="1"/>
  <c r="AA12" i="23"/>
  <c r="Z13" i="23"/>
  <c r="BD13" i="31" s="1"/>
  <c r="AA13" i="23"/>
  <c r="Z14" i="23"/>
  <c r="BD14" i="31" s="1"/>
  <c r="AA14" i="23"/>
  <c r="Z15" i="23"/>
  <c r="BD15" i="31" s="1"/>
  <c r="AA15" i="23"/>
  <c r="Z16" i="23"/>
  <c r="BD16" i="31" s="1"/>
  <c r="AA16" i="23"/>
  <c r="Z17" i="23"/>
  <c r="BD17" i="31" s="1"/>
  <c r="AA17" i="23"/>
  <c r="Z18" i="23"/>
  <c r="BD18" i="31" s="1"/>
  <c r="AA18" i="23"/>
  <c r="Z19" i="23"/>
  <c r="BD19" i="31" s="1"/>
  <c r="AA19" i="23"/>
  <c r="Z20" i="23"/>
  <c r="BD20" i="31" s="1"/>
  <c r="AA20" i="23"/>
  <c r="Z21" i="23"/>
  <c r="BD21" i="31" s="1"/>
  <c r="AA21" i="23"/>
  <c r="Z22" i="23"/>
  <c r="BD22" i="31" s="1"/>
  <c r="AA22" i="23"/>
  <c r="BE22" i="31" s="1"/>
  <c r="Z23" i="23"/>
  <c r="BD23" i="31" s="1"/>
  <c r="AA23" i="23"/>
  <c r="Z24" i="23"/>
  <c r="BD24" i="31" s="1"/>
  <c r="AA24" i="23"/>
  <c r="Z27" i="23"/>
  <c r="BD27" i="31" s="1"/>
  <c r="AA27" i="23"/>
  <c r="Z28" i="23"/>
  <c r="AA28" i="23"/>
  <c r="Z29" i="23"/>
  <c r="BD29" i="31" s="1"/>
  <c r="AA29" i="23"/>
  <c r="Z30" i="23"/>
  <c r="BD30" i="31" s="1"/>
  <c r="AA30" i="23"/>
  <c r="Z31" i="23"/>
  <c r="AA31" i="23"/>
  <c r="Z32" i="23"/>
  <c r="AA32" i="23"/>
  <c r="Z33" i="23"/>
  <c r="BD33" i="31" s="1"/>
  <c r="AA33" i="23"/>
  <c r="Z34" i="23"/>
  <c r="AA34" i="23"/>
  <c r="Z35" i="23"/>
  <c r="BD35" i="31" s="1"/>
  <c r="AA35" i="23"/>
  <c r="Z36" i="23"/>
  <c r="BD36" i="31" s="1"/>
  <c r="AA36" i="23"/>
  <c r="Z37" i="23"/>
  <c r="BD37" i="31" s="1"/>
  <c r="AA37" i="23"/>
  <c r="Z38" i="23"/>
  <c r="BD38" i="31" s="1"/>
  <c r="AA38" i="23"/>
  <c r="Z39" i="23"/>
  <c r="BD39" i="31" s="1"/>
  <c r="AA39" i="23"/>
  <c r="Z42" i="23"/>
  <c r="BD42" i="31" s="1"/>
  <c r="AA42" i="23"/>
  <c r="Z43" i="23"/>
  <c r="BD43" i="31" s="1"/>
  <c r="AA43" i="23"/>
  <c r="Z44" i="23"/>
  <c r="BD44" i="31" s="1"/>
  <c r="AA44" i="23"/>
  <c r="Z45" i="23"/>
  <c r="AA45" i="23"/>
  <c r="Z46" i="23"/>
  <c r="BD46" i="31" s="1"/>
  <c r="AA46" i="23"/>
  <c r="Z47" i="23"/>
  <c r="BD47" i="31" s="1"/>
  <c r="AA47" i="23"/>
  <c r="Z48" i="23"/>
  <c r="BD48" i="31" s="1"/>
  <c r="AA48" i="23"/>
  <c r="Z49" i="23"/>
  <c r="AA49" i="23"/>
  <c r="Z50" i="23"/>
  <c r="BD50" i="31" s="1"/>
  <c r="AA50" i="23"/>
  <c r="Z51" i="23"/>
  <c r="BD51" i="31" s="1"/>
  <c r="AA51" i="23"/>
  <c r="Z52" i="23"/>
  <c r="BD52" i="31" s="1"/>
  <c r="AA52" i="23"/>
  <c r="Z53" i="23"/>
  <c r="BD53" i="31" s="1"/>
  <c r="AA53" i="23"/>
  <c r="Z56" i="23"/>
  <c r="BD56" i="31" s="1"/>
  <c r="AA56" i="23"/>
  <c r="Z57" i="23"/>
  <c r="BD57" i="31" s="1"/>
  <c r="AA57" i="23"/>
  <c r="Z58" i="23"/>
  <c r="BD58" i="31" s="1"/>
  <c r="AA58" i="23"/>
  <c r="Z59" i="23"/>
  <c r="BD59" i="31" s="1"/>
  <c r="AA59" i="23"/>
  <c r="Z60" i="23"/>
  <c r="BD60" i="31" s="1"/>
  <c r="AA60" i="23"/>
  <c r="Z61" i="23"/>
  <c r="BD61" i="31" s="1"/>
  <c r="AA61" i="23"/>
  <c r="Z62" i="23"/>
  <c r="BD62" i="31" s="1"/>
  <c r="AA62" i="23"/>
  <c r="Z63" i="23"/>
  <c r="AA63" i="23"/>
  <c r="Z64" i="23"/>
  <c r="BD64" i="31" s="1"/>
  <c r="AA64" i="23"/>
  <c r="Z65" i="23"/>
  <c r="BD65" i="31" s="1"/>
  <c r="AA65" i="23"/>
  <c r="Z54" i="9"/>
  <c r="AA54" i="9"/>
  <c r="AA40" i="9"/>
  <c r="Z40" i="9"/>
  <c r="Z25" i="9"/>
  <c r="AA25" i="9"/>
  <c r="Z7" i="9"/>
  <c r="AA7" i="9"/>
  <c r="Z54" i="28"/>
  <c r="AA54" i="28"/>
  <c r="Z40" i="28"/>
  <c r="AA40" i="28"/>
  <c r="Z25" i="28"/>
  <c r="AA25" i="28"/>
  <c r="Z7" i="28"/>
  <c r="AA7" i="28"/>
  <c r="Z54" i="7"/>
  <c r="AA54" i="7"/>
  <c r="Z40" i="7"/>
  <c r="AA40" i="7"/>
  <c r="Z25" i="7"/>
  <c r="AA25" i="7"/>
  <c r="Z7" i="7"/>
  <c r="AA7" i="7"/>
  <c r="Z54" i="26"/>
  <c r="AA54" i="26"/>
  <c r="Z40" i="26"/>
  <c r="AA40" i="26"/>
  <c r="Z25" i="26"/>
  <c r="AA25" i="26"/>
  <c r="Z7" i="26"/>
  <c r="AA7" i="26"/>
  <c r="Z54" i="6"/>
  <c r="AA54" i="6"/>
  <c r="Z40" i="6"/>
  <c r="AA40" i="6"/>
  <c r="Z25" i="6"/>
  <c r="AA25" i="6"/>
  <c r="Z7" i="6"/>
  <c r="AA7" i="6"/>
  <c r="Z54" i="25"/>
  <c r="AA54" i="25"/>
  <c r="Z40" i="25"/>
  <c r="AA40" i="25"/>
  <c r="Z25" i="25"/>
  <c r="AA25" i="25"/>
  <c r="Z7" i="25"/>
  <c r="AA7" i="25"/>
  <c r="Z54" i="5"/>
  <c r="AA54" i="5"/>
  <c r="AA54" i="4" s="1"/>
  <c r="Z40" i="5"/>
  <c r="Z40" i="4" s="1"/>
  <c r="AA40" i="5"/>
  <c r="AA40" i="4" s="1"/>
  <c r="Z25" i="5"/>
  <c r="Z25" i="4" s="1"/>
  <c r="AA25" i="5"/>
  <c r="AA25" i="4" s="1"/>
  <c r="Z7" i="5"/>
  <c r="Z7" i="4" s="1"/>
  <c r="AA7" i="5"/>
  <c r="AA7" i="4" s="1"/>
  <c r="Z54" i="24"/>
  <c r="Z54" i="23" s="1"/>
  <c r="AA54" i="24"/>
  <c r="AA54" i="23" s="1"/>
  <c r="Z40" i="24"/>
  <c r="Z40" i="23" s="1"/>
  <c r="AA40" i="24"/>
  <c r="AA40" i="23" s="1"/>
  <c r="Z25" i="24"/>
  <c r="Z25" i="23" s="1"/>
  <c r="AA25" i="24"/>
  <c r="AA25" i="23" s="1"/>
  <c r="Z7" i="24"/>
  <c r="Z7" i="23" s="1"/>
  <c r="AA7" i="24"/>
  <c r="AA7" i="23" s="1"/>
  <c r="Z54" i="3"/>
  <c r="AA54" i="3"/>
  <c r="Z40" i="3"/>
  <c r="AA40" i="3"/>
  <c r="Z25" i="3"/>
  <c r="AA25" i="3"/>
  <c r="Z7" i="3"/>
  <c r="AA7" i="3"/>
  <c r="Z54" i="22"/>
  <c r="AA54" i="22"/>
  <c r="Z40" i="22"/>
  <c r="AA40" i="22"/>
  <c r="Z25" i="22"/>
  <c r="AA25" i="22"/>
  <c r="Z7" i="22"/>
  <c r="AA7" i="22"/>
  <c r="Z54" i="2"/>
  <c r="AA54" i="2"/>
  <c r="Z40" i="2"/>
  <c r="AA40" i="2"/>
  <c r="Z25" i="2"/>
  <c r="AA25" i="2"/>
  <c r="Z7" i="2"/>
  <c r="AA7" i="2"/>
  <c r="Z54" i="21"/>
  <c r="AA54" i="21"/>
  <c r="Z40" i="21"/>
  <c r="AA40" i="21"/>
  <c r="Z25" i="21"/>
  <c r="AA25" i="21"/>
  <c r="Z7" i="21"/>
  <c r="AA7" i="21"/>
  <c r="Z54" i="1"/>
  <c r="AA54" i="1"/>
  <c r="Z40" i="1"/>
  <c r="AA40" i="1"/>
  <c r="Z25" i="1"/>
  <c r="AA25" i="1"/>
  <c r="Z7" i="1"/>
  <c r="AA7" i="1"/>
  <c r="Z54" i="20"/>
  <c r="AA54" i="20"/>
  <c r="Z40" i="20"/>
  <c r="AA40" i="20"/>
  <c r="Z25" i="20"/>
  <c r="AA25" i="20"/>
  <c r="AA7" i="20"/>
  <c r="Z7" i="20"/>
  <c r="BE65" i="11"/>
  <c r="BE63" i="11"/>
  <c r="BE58" i="11"/>
  <c r="BE57" i="11"/>
  <c r="BE50" i="11"/>
  <c r="BE46" i="11"/>
  <c r="BE42" i="11"/>
  <c r="BE38" i="11"/>
  <c r="BE37" i="11"/>
  <c r="BE34" i="11"/>
  <c r="BE30" i="11"/>
  <c r="BE23" i="11"/>
  <c r="BE19" i="11"/>
  <c r="BE18" i="11"/>
  <c r="BE11" i="11"/>
  <c r="Z54" i="11"/>
  <c r="AA54" i="11"/>
  <c r="Z40" i="11"/>
  <c r="AA40" i="11"/>
  <c r="Z25" i="11"/>
  <c r="AA25" i="11"/>
  <c r="Z7" i="11"/>
  <c r="AA7" i="11"/>
  <c r="BD14" i="11"/>
  <c r="BD18" i="11"/>
  <c r="BD20" i="11"/>
  <c r="BD22" i="11"/>
  <c r="BD27" i="11"/>
  <c r="BD32" i="11"/>
  <c r="BD34" i="11"/>
  <c r="BD39" i="11"/>
  <c r="BD47" i="11"/>
  <c r="BD48" i="11"/>
  <c r="BD50" i="11"/>
  <c r="BD59" i="11"/>
  <c r="BD63" i="11"/>
  <c r="BD65" i="11"/>
  <c r="BE10" i="31"/>
  <c r="BE14" i="31"/>
  <c r="BE18" i="31"/>
  <c r="BD28" i="31"/>
  <c r="BD31" i="31"/>
  <c r="BD32" i="31"/>
  <c r="BD34" i="31"/>
  <c r="BE43" i="31"/>
  <c r="BE44" i="31"/>
  <c r="BD45" i="31"/>
  <c r="BE47" i="31"/>
  <c r="BE48" i="31"/>
  <c r="BD49" i="31"/>
  <c r="BE51" i="31"/>
  <c r="BE52" i="31"/>
  <c r="BE57" i="31"/>
  <c r="BE58" i="31"/>
  <c r="BE61" i="31"/>
  <c r="BE62" i="31"/>
  <c r="BD63" i="31"/>
  <c r="BE65" i="31"/>
  <c r="AA6" i="9" l="1"/>
  <c r="BE37" i="31"/>
  <c r="BE20" i="31"/>
  <c r="BE64" i="11"/>
  <c r="BE32" i="11"/>
  <c r="BE53" i="31"/>
  <c r="BE49" i="31"/>
  <c r="BE45" i="31"/>
  <c r="BE36" i="31"/>
  <c r="BE28" i="31"/>
  <c r="BE19" i="31"/>
  <c r="BE11" i="31"/>
  <c r="BE15" i="11"/>
  <c r="BE43" i="11"/>
  <c r="BE59" i="11"/>
  <c r="BE59" i="31"/>
  <c r="BE46" i="31"/>
  <c r="BE33" i="31"/>
  <c r="BE24" i="31"/>
  <c r="BE12" i="31"/>
  <c r="BE60" i="11"/>
  <c r="BE52" i="11"/>
  <c r="BE44" i="11"/>
  <c r="BE36" i="11"/>
  <c r="BE24" i="11"/>
  <c r="BE16" i="11"/>
  <c r="BE12" i="11"/>
  <c r="BE32" i="31"/>
  <c r="BE23" i="31"/>
  <c r="BE15" i="31"/>
  <c r="BE31" i="11"/>
  <c r="BE39" i="31"/>
  <c r="BE35" i="31"/>
  <c r="BE31" i="31"/>
  <c r="BE27" i="31"/>
  <c r="AA6" i="29"/>
  <c r="BE63" i="31"/>
  <c r="BE50" i="31"/>
  <c r="BE42" i="31"/>
  <c r="BE29" i="31"/>
  <c r="BE16" i="31"/>
  <c r="BE56" i="11"/>
  <c r="BE28" i="11"/>
  <c r="BE20" i="11"/>
  <c r="BE35" i="11"/>
  <c r="BE48" i="11"/>
  <c r="BD54" i="11"/>
  <c r="BE54" i="11"/>
  <c r="BE64" i="31"/>
  <c r="BE60" i="31"/>
  <c r="BE56" i="31"/>
  <c r="BE38" i="31"/>
  <c r="BE34" i="31"/>
  <c r="BE30" i="31"/>
  <c r="BE21" i="31"/>
  <c r="BE17" i="31"/>
  <c r="BE13" i="31"/>
  <c r="BE9" i="31"/>
  <c r="BE61" i="11"/>
  <c r="BE53" i="11"/>
  <c r="BE49" i="11"/>
  <c r="BE45" i="11"/>
  <c r="BE33" i="11"/>
  <c r="BE21" i="11"/>
  <c r="BE17" i="11"/>
  <c r="BE13" i="11"/>
  <c r="BE9" i="11"/>
  <c r="Z6" i="29"/>
  <c r="Z6" i="10"/>
  <c r="Z6" i="9"/>
  <c r="AA6" i="28"/>
  <c r="Z6" i="28"/>
  <c r="Z6" i="7"/>
  <c r="AA6" i="7"/>
  <c r="AA6" i="26"/>
  <c r="Z6" i="26"/>
  <c r="AA6" i="6"/>
  <c r="Z6" i="6"/>
  <c r="AA6" i="25"/>
  <c r="Z6" i="25"/>
  <c r="AA6" i="5"/>
  <c r="Z6" i="5"/>
  <c r="AA6" i="24"/>
  <c r="Z6" i="24"/>
  <c r="AA6" i="3"/>
  <c r="Z6" i="3"/>
  <c r="AA6" i="22"/>
  <c r="Z6" i="22"/>
  <c r="BE25" i="11"/>
  <c r="BE7" i="11"/>
  <c r="AA6" i="2"/>
  <c r="Z6" i="2"/>
  <c r="AA6" i="21"/>
  <c r="Z6" i="21"/>
  <c r="Z6" i="1"/>
  <c r="BD40" i="11"/>
  <c r="BD25" i="11"/>
  <c r="BD7" i="11"/>
  <c r="AA6" i="1"/>
  <c r="BE40" i="11"/>
  <c r="AA6" i="20"/>
  <c r="Z6" i="20"/>
  <c r="AA6" i="11"/>
  <c r="Z6" i="11"/>
  <c r="AA6" i="23" l="1"/>
  <c r="Z6" i="4"/>
  <c r="AA6" i="4"/>
  <c r="BE6" i="11"/>
  <c r="Z6" i="23"/>
  <c r="BD6" i="11"/>
  <c r="Z54" i="31" l="1"/>
  <c r="AA54" i="31"/>
  <c r="Z40" i="31"/>
  <c r="AA40" i="31"/>
  <c r="Z25" i="31"/>
  <c r="Z7" i="31"/>
  <c r="AA7" i="31"/>
  <c r="Z6" i="31" l="1"/>
  <c r="AA6" i="31"/>
  <c r="BB5" i="11" l="1"/>
  <c r="BC5" i="11"/>
  <c r="BB65" i="11"/>
  <c r="BC65" i="11"/>
  <c r="BC59" i="31"/>
  <c r="X7" i="11"/>
  <c r="Y7" i="11"/>
  <c r="X25" i="11"/>
  <c r="Y25" i="11"/>
  <c r="X40" i="11"/>
  <c r="Y40" i="11"/>
  <c r="X54" i="11"/>
  <c r="Y54" i="11"/>
  <c r="Y8" i="23"/>
  <c r="Y9" i="23"/>
  <c r="Y10" i="23"/>
  <c r="BC10" i="31" s="1"/>
  <c r="Y11" i="23"/>
  <c r="BC11" i="31" s="1"/>
  <c r="Y12" i="23"/>
  <c r="BC12" i="31" s="1"/>
  <c r="Y13" i="23"/>
  <c r="Y14" i="23"/>
  <c r="BC14" i="31" s="1"/>
  <c r="Y15" i="23"/>
  <c r="BC15" i="31" s="1"/>
  <c r="Y16" i="23"/>
  <c r="Y17" i="23"/>
  <c r="Y18" i="23"/>
  <c r="BC18" i="31" s="1"/>
  <c r="Y19" i="23"/>
  <c r="BC19" i="31" s="1"/>
  <c r="Y20" i="23"/>
  <c r="BC20" i="31" s="1"/>
  <c r="Y21" i="23"/>
  <c r="Y22" i="23"/>
  <c r="BC22" i="31" s="1"/>
  <c r="Y23" i="23"/>
  <c r="BC23" i="31" s="1"/>
  <c r="Y24" i="23"/>
  <c r="Y27" i="23"/>
  <c r="Y28" i="23"/>
  <c r="BC28" i="31" s="1"/>
  <c r="Y29" i="23"/>
  <c r="BC29" i="31" s="1"/>
  <c r="Y30" i="23"/>
  <c r="BC30" i="31" s="1"/>
  <c r="Y31" i="23"/>
  <c r="BC31" i="31" s="1"/>
  <c r="Y32" i="23"/>
  <c r="Y33" i="23"/>
  <c r="Y34" i="23"/>
  <c r="Y35" i="23"/>
  <c r="BC35" i="31" s="1"/>
  <c r="Y36" i="23"/>
  <c r="BC36" i="31" s="1"/>
  <c r="Y37" i="23"/>
  <c r="Y38" i="23"/>
  <c r="BC38" i="31" s="1"/>
  <c r="Y39" i="23"/>
  <c r="BC39" i="31" s="1"/>
  <c r="Y42" i="23"/>
  <c r="Y43" i="23"/>
  <c r="BC43" i="31" s="1"/>
  <c r="Y44" i="23"/>
  <c r="Y45" i="23"/>
  <c r="Y46" i="23"/>
  <c r="BC46" i="31" s="1"/>
  <c r="Y47" i="23"/>
  <c r="BC47" i="31" s="1"/>
  <c r="Y48" i="23"/>
  <c r="BC48" i="31" s="1"/>
  <c r="Y49" i="23"/>
  <c r="Y50" i="23"/>
  <c r="BC50" i="31" s="1"/>
  <c r="Y51" i="23"/>
  <c r="Y52" i="23"/>
  <c r="Y53" i="23"/>
  <c r="Y56" i="23"/>
  <c r="Y57" i="23"/>
  <c r="Y58" i="23"/>
  <c r="BC58" i="31" s="1"/>
  <c r="Y59" i="23"/>
  <c r="Y60" i="23"/>
  <c r="Y61" i="23"/>
  <c r="BC61" i="31" s="1"/>
  <c r="Y62" i="23"/>
  <c r="Y63" i="23"/>
  <c r="BC63" i="31" s="1"/>
  <c r="Y64" i="23"/>
  <c r="BC64" i="31" s="1"/>
  <c r="Y65" i="23"/>
  <c r="BC65" i="31" s="1"/>
  <c r="Y8" i="4"/>
  <c r="Y9" i="4"/>
  <c r="BC9" i="11" s="1"/>
  <c r="Y10" i="4"/>
  <c r="BC10" i="11" s="1"/>
  <c r="Y11" i="4"/>
  <c r="Y12" i="4"/>
  <c r="Y13" i="4"/>
  <c r="Y14" i="4"/>
  <c r="BC14" i="11" s="1"/>
  <c r="Y15" i="4"/>
  <c r="BC15" i="11" s="1"/>
  <c r="Y16" i="4"/>
  <c r="Y17" i="4"/>
  <c r="BC17" i="11" s="1"/>
  <c r="Y18" i="4"/>
  <c r="BC18" i="11" s="1"/>
  <c r="Y19" i="4"/>
  <c r="Y20" i="4"/>
  <c r="Y21" i="4"/>
  <c r="Y22" i="4"/>
  <c r="BC22" i="11" s="1"/>
  <c r="Y23" i="4"/>
  <c r="Y24" i="4"/>
  <c r="Y26" i="4"/>
  <c r="Y27" i="4"/>
  <c r="BC27" i="11" s="1"/>
  <c r="Y28" i="4"/>
  <c r="Y29" i="4"/>
  <c r="Y30" i="4"/>
  <c r="BC30" i="11" s="1"/>
  <c r="Y31" i="4"/>
  <c r="Y32" i="4"/>
  <c r="Y33" i="4"/>
  <c r="BC33" i="11" s="1"/>
  <c r="Y34" i="4"/>
  <c r="BC34" i="11" s="1"/>
  <c r="Y35" i="4"/>
  <c r="BC35" i="11" s="1"/>
  <c r="Y36" i="4"/>
  <c r="Y37" i="4"/>
  <c r="Y38" i="4"/>
  <c r="BC38" i="11" s="1"/>
  <c r="Y39" i="4"/>
  <c r="Y41" i="4"/>
  <c r="Y42" i="4"/>
  <c r="BC42" i="11" s="1"/>
  <c r="Y43" i="4"/>
  <c r="BC43" i="11" s="1"/>
  <c r="Y44" i="4"/>
  <c r="BC44" i="11" s="1"/>
  <c r="Y45" i="4"/>
  <c r="Y46" i="4"/>
  <c r="Y47" i="4"/>
  <c r="Y48" i="4"/>
  <c r="Y49" i="4"/>
  <c r="BC49" i="11" s="1"/>
  <c r="Y50" i="4"/>
  <c r="BC50" i="11" s="1"/>
  <c r="Y51" i="4"/>
  <c r="BC51" i="11" s="1"/>
  <c r="Y52" i="4"/>
  <c r="BC52" i="11" s="1"/>
  <c r="Y53" i="4"/>
  <c r="Y55" i="4"/>
  <c r="Y56" i="4"/>
  <c r="Y57" i="4"/>
  <c r="BC57" i="11" s="1"/>
  <c r="Y58" i="4"/>
  <c r="Y59" i="4"/>
  <c r="BC59" i="11" s="1"/>
  <c r="Y60" i="4"/>
  <c r="Y61" i="4"/>
  <c r="BC61" i="11" s="1"/>
  <c r="Y62" i="4"/>
  <c r="Y63" i="4"/>
  <c r="Y64" i="4"/>
  <c r="Y7" i="10"/>
  <c r="Y25" i="10"/>
  <c r="Y40" i="10"/>
  <c r="Y54" i="10"/>
  <c r="Y7" i="9"/>
  <c r="Y25" i="9"/>
  <c r="Y40" i="9"/>
  <c r="Y54" i="9"/>
  <c r="Y26" i="9"/>
  <c r="Y41" i="9"/>
  <c r="Y55" i="9"/>
  <c r="Y7" i="7"/>
  <c r="Y54" i="7"/>
  <c r="Y40" i="7"/>
  <c r="Y25" i="7"/>
  <c r="Y7" i="6"/>
  <c r="Y25" i="6"/>
  <c r="Y40" i="6"/>
  <c r="Y54" i="6"/>
  <c r="Y7" i="5"/>
  <c r="Y25" i="5"/>
  <c r="Y40" i="5"/>
  <c r="Y54" i="5"/>
  <c r="Y7" i="3"/>
  <c r="Y25" i="3"/>
  <c r="Y40" i="3"/>
  <c r="Y54" i="3"/>
  <c r="Y7" i="2"/>
  <c r="Y25" i="2"/>
  <c r="Y40" i="2"/>
  <c r="Y54" i="2"/>
  <c r="Y26" i="2"/>
  <c r="Y55" i="2"/>
  <c r="Y7" i="1"/>
  <c r="Y25" i="1"/>
  <c r="Y40" i="1"/>
  <c r="Y54" i="1"/>
  <c r="Y7" i="31"/>
  <c r="Y25" i="31"/>
  <c r="Y40" i="31"/>
  <c r="Y54" i="31"/>
  <c r="Y7" i="28"/>
  <c r="Y25" i="28"/>
  <c r="Y40" i="28"/>
  <c r="Y54" i="28"/>
  <c r="Y7" i="29"/>
  <c r="X25" i="29"/>
  <c r="Y25" i="29"/>
  <c r="Y40" i="29"/>
  <c r="Y54" i="29"/>
  <c r="Y26" i="26"/>
  <c r="Y41" i="26"/>
  <c r="Y55" i="26"/>
  <c r="Y7" i="25"/>
  <c r="Y25" i="25"/>
  <c r="Y40" i="25"/>
  <c r="Y54" i="25"/>
  <c r="Y7" i="24"/>
  <c r="Y25" i="24"/>
  <c r="Y40" i="24"/>
  <c r="Y54" i="24"/>
  <c r="Y25" i="22"/>
  <c r="X7" i="21"/>
  <c r="Y7" i="21"/>
  <c r="X25" i="21"/>
  <c r="Y25" i="21"/>
  <c r="X40" i="21"/>
  <c r="Y40" i="21"/>
  <c r="X54" i="21"/>
  <c r="Y54" i="21"/>
  <c r="Y7" i="20"/>
  <c r="Y25" i="20"/>
  <c r="Y40" i="20"/>
  <c r="Y54" i="20"/>
  <c r="Y40" i="4" l="1"/>
  <c r="Y7" i="4"/>
  <c r="BC40" i="11"/>
  <c r="Y25" i="4"/>
  <c r="BC25" i="11" s="1"/>
  <c r="BC7" i="11"/>
  <c r="BC49" i="31"/>
  <c r="BC62" i="11"/>
  <c r="BC11" i="11"/>
  <c r="BC53" i="31"/>
  <c r="BC27" i="31"/>
  <c r="BC45" i="31"/>
  <c r="BC21" i="31"/>
  <c r="BC58" i="11"/>
  <c r="BC32" i="11"/>
  <c r="BC53" i="11"/>
  <c r="X6" i="21"/>
  <c r="BC37" i="31"/>
  <c r="BC23" i="11"/>
  <c r="BC13" i="31"/>
  <c r="BC19" i="11"/>
  <c r="Y54" i="4"/>
  <c r="BC54" i="11" s="1"/>
  <c r="BC37" i="11"/>
  <c r="BC29" i="11"/>
  <c r="BC20" i="11"/>
  <c r="BC12" i="11"/>
  <c r="BC45" i="11"/>
  <c r="BC36" i="11"/>
  <c r="BC28" i="11"/>
  <c r="BC16" i="11"/>
  <c r="BC34" i="31"/>
  <c r="BC24" i="11"/>
  <c r="Y6" i="7"/>
  <c r="BC60" i="11"/>
  <c r="BC24" i="31"/>
  <c r="BC16" i="31"/>
  <c r="BC51" i="31"/>
  <c r="BC33" i="31"/>
  <c r="BC42" i="31"/>
  <c r="BC64" i="11"/>
  <c r="BC56" i="11"/>
  <c r="BC47" i="11"/>
  <c r="BC39" i="11"/>
  <c r="BC31" i="11"/>
  <c r="BC57" i="31"/>
  <c r="BC60" i="31"/>
  <c r="BC48" i="11"/>
  <c r="Y6" i="31"/>
  <c r="BC63" i="11"/>
  <c r="BC21" i="11"/>
  <c r="BC13" i="11"/>
  <c r="BC56" i="31"/>
  <c r="BC17" i="31"/>
  <c r="BC9" i="31"/>
  <c r="BC62" i="31"/>
  <c r="BC52" i="31"/>
  <c r="BC44" i="31"/>
  <c r="BC32" i="31"/>
  <c r="BC46" i="11"/>
  <c r="Y6" i="21"/>
  <c r="Y6" i="11"/>
  <c r="X6" i="11"/>
  <c r="Y6" i="10"/>
  <c r="Y6" i="9"/>
  <c r="Y6" i="6"/>
  <c r="Y6" i="5"/>
  <c r="X55" i="4"/>
  <c r="Y6" i="3"/>
  <c r="Y6" i="2"/>
  <c r="Y6" i="1"/>
  <c r="Y6" i="28"/>
  <c r="Y6" i="29"/>
  <c r="Y25" i="26"/>
  <c r="Y25" i="23" s="1"/>
  <c r="Y40" i="26"/>
  <c r="Y40" i="23" s="1"/>
  <c r="Y7" i="26"/>
  <c r="Y7" i="23" s="1"/>
  <c r="Y54" i="26"/>
  <c r="Y54" i="23" s="1"/>
  <c r="Y6" i="25"/>
  <c r="Y6" i="24"/>
  <c r="Y54" i="22"/>
  <c r="Y40" i="22"/>
  <c r="Y7" i="22"/>
  <c r="Y6" i="20"/>
  <c r="X8" i="23"/>
  <c r="X9" i="23"/>
  <c r="X10" i="23"/>
  <c r="X11" i="23"/>
  <c r="X12" i="23"/>
  <c r="X13" i="23"/>
  <c r="X14" i="23"/>
  <c r="X15" i="23"/>
  <c r="X16" i="23"/>
  <c r="X17" i="23"/>
  <c r="X18" i="23"/>
  <c r="X19" i="23"/>
  <c r="X20" i="23"/>
  <c r="X21" i="23"/>
  <c r="X22" i="23"/>
  <c r="X23" i="23"/>
  <c r="X24" i="23"/>
  <c r="X26" i="23"/>
  <c r="X27" i="23"/>
  <c r="X28" i="23"/>
  <c r="X29" i="23"/>
  <c r="X30" i="23"/>
  <c r="X31" i="23"/>
  <c r="X32" i="23"/>
  <c r="X33" i="23"/>
  <c r="X34" i="23"/>
  <c r="X35" i="23"/>
  <c r="X36" i="23"/>
  <c r="X37" i="23"/>
  <c r="X38" i="23"/>
  <c r="X39" i="23"/>
  <c r="X41" i="23"/>
  <c r="X42" i="23"/>
  <c r="X43" i="23"/>
  <c r="X44" i="23"/>
  <c r="X45" i="23"/>
  <c r="X46" i="23"/>
  <c r="X47" i="23"/>
  <c r="X48" i="23"/>
  <c r="X49" i="23"/>
  <c r="X50" i="23"/>
  <c r="X51" i="23"/>
  <c r="X52" i="23"/>
  <c r="X53" i="23"/>
  <c r="X55" i="23"/>
  <c r="X56" i="23"/>
  <c r="X57" i="23"/>
  <c r="X58" i="23"/>
  <c r="X59" i="23"/>
  <c r="X60" i="23"/>
  <c r="X61" i="23"/>
  <c r="X62" i="23"/>
  <c r="X63" i="23"/>
  <c r="X64" i="23"/>
  <c r="X65" i="23"/>
  <c r="X8" i="4"/>
  <c r="X9" i="4"/>
  <c r="X10" i="4"/>
  <c r="X11" i="4"/>
  <c r="X12" i="4"/>
  <c r="X13" i="4"/>
  <c r="X14" i="4"/>
  <c r="X15" i="4"/>
  <c r="X16" i="4"/>
  <c r="X17" i="4"/>
  <c r="X18" i="4"/>
  <c r="X19" i="4"/>
  <c r="X20" i="4"/>
  <c r="X21" i="4"/>
  <c r="X22" i="4"/>
  <c r="X23" i="4"/>
  <c r="X24" i="4"/>
  <c r="X26" i="4"/>
  <c r="X27" i="4"/>
  <c r="X28" i="4"/>
  <c r="X29" i="4"/>
  <c r="X30" i="4"/>
  <c r="X31" i="4"/>
  <c r="X32" i="4"/>
  <c r="X33" i="4"/>
  <c r="X34" i="4"/>
  <c r="X35" i="4"/>
  <c r="X36" i="4"/>
  <c r="X37" i="4"/>
  <c r="X38" i="4"/>
  <c r="X39" i="4"/>
  <c r="X41" i="4"/>
  <c r="X42" i="4"/>
  <c r="X43" i="4"/>
  <c r="X44" i="4"/>
  <c r="X45" i="4"/>
  <c r="X46" i="4"/>
  <c r="X47" i="4"/>
  <c r="X48" i="4"/>
  <c r="X49" i="4"/>
  <c r="X50" i="4"/>
  <c r="X51" i="4"/>
  <c r="X52" i="4"/>
  <c r="X53" i="4"/>
  <c r="X57" i="4"/>
  <c r="X58" i="4"/>
  <c r="X60" i="4"/>
  <c r="X61" i="4"/>
  <c r="X62" i="4"/>
  <c r="X63" i="4"/>
  <c r="X64" i="4"/>
  <c r="X54" i="7"/>
  <c r="X40" i="7"/>
  <c r="X25" i="7"/>
  <c r="X7" i="7"/>
  <c r="X54" i="28"/>
  <c r="X40" i="28"/>
  <c r="X25" i="28"/>
  <c r="X7" i="28"/>
  <c r="X54" i="9"/>
  <c r="X40" i="9"/>
  <c r="X25" i="9"/>
  <c r="X7" i="9"/>
  <c r="BB53" i="11" l="1"/>
  <c r="BB28" i="11"/>
  <c r="BB61" i="31"/>
  <c r="BB35" i="31"/>
  <c r="BB10" i="31"/>
  <c r="BB44" i="11"/>
  <c r="BB10" i="11"/>
  <c r="BB43" i="31"/>
  <c r="BB43" i="11"/>
  <c r="BB9" i="11"/>
  <c r="BB50" i="11"/>
  <c r="BB24" i="11"/>
  <c r="BB49" i="31"/>
  <c r="BB49" i="11"/>
  <c r="BB23" i="11"/>
  <c r="BB39" i="31"/>
  <c r="BB14" i="31"/>
  <c r="BB60" i="11"/>
  <c r="BB48" i="11"/>
  <c r="BB39" i="11"/>
  <c r="BB31" i="11"/>
  <c r="BB22" i="11"/>
  <c r="BB14" i="11"/>
  <c r="BB64" i="31"/>
  <c r="BB56" i="31"/>
  <c r="BB47" i="31"/>
  <c r="BB38" i="31"/>
  <c r="BB30" i="31"/>
  <c r="BB21" i="31"/>
  <c r="X23" i="18"/>
  <c r="BB13" i="31"/>
  <c r="BB45" i="11"/>
  <c r="BB19" i="11"/>
  <c r="BB52" i="31"/>
  <c r="BB27" i="31"/>
  <c r="BB64" i="11"/>
  <c r="BB35" i="11"/>
  <c r="BB18" i="11"/>
  <c r="BB51" i="31"/>
  <c r="BB34" i="31"/>
  <c r="BB9" i="31"/>
  <c r="BB63" i="11"/>
  <c r="BB34" i="11"/>
  <c r="BB17" i="11"/>
  <c r="BB59" i="31"/>
  <c r="BB42" i="31"/>
  <c r="BB24" i="31"/>
  <c r="BB16" i="31"/>
  <c r="BB62" i="11"/>
  <c r="BB33" i="11"/>
  <c r="BB32" i="31"/>
  <c r="BB15" i="31"/>
  <c r="BB15" i="11"/>
  <c r="BB57" i="31"/>
  <c r="BB31" i="31"/>
  <c r="BB58" i="11"/>
  <c r="BB47" i="11"/>
  <c r="BB38" i="11"/>
  <c r="BB30" i="11"/>
  <c r="BB21" i="11"/>
  <c r="BB13" i="11"/>
  <c r="BB63" i="31"/>
  <c r="BB46" i="31"/>
  <c r="BB37" i="31"/>
  <c r="BB29" i="31"/>
  <c r="BB20" i="31"/>
  <c r="BB12" i="31"/>
  <c r="BB36" i="11"/>
  <c r="BB11" i="11"/>
  <c r="BB44" i="31"/>
  <c r="BB18" i="31"/>
  <c r="BB52" i="11"/>
  <c r="BB27" i="11"/>
  <c r="BB60" i="31"/>
  <c r="BB17" i="31"/>
  <c r="BB51" i="11"/>
  <c r="BB50" i="31"/>
  <c r="BB33" i="31"/>
  <c r="BB42" i="11"/>
  <c r="BB16" i="11"/>
  <c r="BB58" i="31"/>
  <c r="BB23" i="31"/>
  <c r="BB61" i="11"/>
  <c r="BB32" i="11"/>
  <c r="BB65" i="31"/>
  <c r="BB48" i="31"/>
  <c r="BB22" i="31"/>
  <c r="BB57" i="11"/>
  <c r="BB46" i="11"/>
  <c r="BB37" i="11"/>
  <c r="BB29" i="11"/>
  <c r="BB20" i="11"/>
  <c r="BB12" i="11"/>
  <c r="BB62" i="31"/>
  <c r="BB53" i="31"/>
  <c r="BB45" i="31"/>
  <c r="BB36" i="31"/>
  <c r="BB28" i="31"/>
  <c r="BB19" i="31"/>
  <c r="BB11" i="31"/>
  <c r="Y6" i="4"/>
  <c r="X6" i="7"/>
  <c r="X56" i="4"/>
  <c r="X59" i="4"/>
  <c r="Y6" i="26"/>
  <c r="Y6" i="23" s="1"/>
  <c r="Y6" i="22"/>
  <c r="X6" i="28"/>
  <c r="X6" i="9"/>
  <c r="BB59" i="11" l="1"/>
  <c r="BB56" i="11"/>
  <c r="BC6" i="11"/>
  <c r="X54" i="10"/>
  <c r="X40" i="10"/>
  <c r="X25" i="10"/>
  <c r="X7" i="10"/>
  <c r="X6" i="10" l="1"/>
  <c r="X7" i="6"/>
  <c r="X25" i="6"/>
  <c r="X40" i="6"/>
  <c r="X54" i="6"/>
  <c r="X6" i="6" l="1"/>
  <c r="X54" i="5"/>
  <c r="X54" i="4" s="1"/>
  <c r="X40" i="5"/>
  <c r="X40" i="4" s="1"/>
  <c r="X25" i="5"/>
  <c r="X25" i="4" s="1"/>
  <c r="X7" i="5"/>
  <c r="X7" i="4" s="1"/>
  <c r="X54" i="3"/>
  <c r="X40" i="3"/>
  <c r="X25" i="3"/>
  <c r="X7" i="3"/>
  <c r="X25" i="2"/>
  <c r="X40" i="2"/>
  <c r="X54" i="2"/>
  <c r="X7" i="2"/>
  <c r="X7" i="1"/>
  <c r="BB54" i="11" l="1"/>
  <c r="BB40" i="11"/>
  <c r="BB7" i="11"/>
  <c r="BB25" i="11"/>
  <c r="X6" i="5"/>
  <c r="X6" i="4" s="1"/>
  <c r="X6" i="3"/>
  <c r="X6" i="2"/>
  <c r="X6" i="1"/>
  <c r="X54" i="31"/>
  <c r="X40" i="31"/>
  <c r="X25" i="31"/>
  <c r="X7" i="31"/>
  <c r="X54" i="29"/>
  <c r="X40" i="29"/>
  <c r="X7" i="29"/>
  <c r="X54" i="26"/>
  <c r="X40" i="26"/>
  <c r="X25" i="26"/>
  <c r="X7" i="26"/>
  <c r="X54" i="25"/>
  <c r="X40" i="25"/>
  <c r="X25" i="25"/>
  <c r="X7" i="25"/>
  <c r="X54" i="24"/>
  <c r="X40" i="24"/>
  <c r="X25" i="24"/>
  <c r="X7" i="24"/>
  <c r="X54" i="22"/>
  <c r="X40" i="22"/>
  <c r="X25" i="22"/>
  <c r="X7" i="22"/>
  <c r="X54" i="20"/>
  <c r="X40" i="20"/>
  <c r="X25" i="20"/>
  <c r="X7" i="20"/>
  <c r="X7" i="23" l="1"/>
  <c r="BB6" i="11"/>
  <c r="X6" i="20"/>
  <c r="X25" i="23"/>
  <c r="X40" i="23"/>
  <c r="X54" i="23"/>
  <c r="X6" i="31"/>
  <c r="X6" i="29"/>
  <c r="X6" i="26"/>
  <c r="X6" i="25"/>
  <c r="X6" i="24"/>
  <c r="X6" i="22"/>
  <c r="X6" i="23" l="1"/>
  <c r="W54" i="6"/>
  <c r="V54" i="6"/>
  <c r="U54" i="6"/>
  <c r="T54" i="6"/>
  <c r="S54" i="6"/>
  <c r="R54" i="6"/>
  <c r="Q54" i="6"/>
  <c r="P54" i="6"/>
  <c r="O54" i="6"/>
  <c r="N54" i="6"/>
  <c r="M54" i="6"/>
  <c r="L54" i="6"/>
  <c r="K54" i="6"/>
  <c r="I54" i="6"/>
  <c r="F54" i="6"/>
  <c r="F54" i="25"/>
  <c r="F54" i="5"/>
  <c r="F54" i="3"/>
  <c r="F54" i="2"/>
  <c r="T54" i="11"/>
  <c r="W54" i="11"/>
  <c r="W54" i="10" l="1"/>
  <c r="W40" i="10"/>
  <c r="W25" i="10"/>
  <c r="W7" i="10"/>
  <c r="W54" i="29"/>
  <c r="W40" i="29"/>
  <c r="W25" i="29"/>
  <c r="W7" i="29"/>
  <c r="W54" i="9"/>
  <c r="W40" i="9"/>
  <c r="W25" i="9"/>
  <c r="W7" i="9"/>
  <c r="W6" i="29" l="1"/>
  <c r="W6" i="10"/>
  <c r="W6" i="9"/>
  <c r="W54" i="28"/>
  <c r="W40" i="28"/>
  <c r="W25" i="28"/>
  <c r="W7" i="28"/>
  <c r="W54" i="7"/>
  <c r="W40" i="7"/>
  <c r="W25" i="7"/>
  <c r="W7" i="7"/>
  <c r="W54" i="26"/>
  <c r="W40" i="26"/>
  <c r="W25" i="26"/>
  <c r="W7" i="26"/>
  <c r="W40" i="6"/>
  <c r="W25" i="6"/>
  <c r="W7" i="6"/>
  <c r="W54" i="25"/>
  <c r="W40" i="25"/>
  <c r="W25" i="25"/>
  <c r="W7" i="25"/>
  <c r="W54" i="5"/>
  <c r="W40" i="5"/>
  <c r="W25" i="5"/>
  <c r="W7" i="5"/>
  <c r="W54" i="24"/>
  <c r="W40" i="24"/>
  <c r="W25" i="24"/>
  <c r="W7" i="24"/>
  <c r="W8" i="4"/>
  <c r="W9" i="4"/>
  <c r="W10" i="4"/>
  <c r="W11" i="4"/>
  <c r="W12" i="4"/>
  <c r="W13" i="4"/>
  <c r="W14" i="4"/>
  <c r="W15" i="4"/>
  <c r="W16" i="4"/>
  <c r="W17" i="4"/>
  <c r="W18" i="4"/>
  <c r="W19" i="4"/>
  <c r="W20" i="4"/>
  <c r="W21" i="4"/>
  <c r="W22" i="4"/>
  <c r="W23" i="4"/>
  <c r="W24" i="4"/>
  <c r="W26" i="4"/>
  <c r="W27" i="4"/>
  <c r="W28" i="4"/>
  <c r="W29" i="4"/>
  <c r="W30" i="4"/>
  <c r="W31" i="4"/>
  <c r="W32" i="4"/>
  <c r="W33" i="4"/>
  <c r="W34" i="4"/>
  <c r="W35" i="4"/>
  <c r="W36" i="4"/>
  <c r="W37" i="4"/>
  <c r="W38" i="4"/>
  <c r="W39" i="4"/>
  <c r="W41" i="4"/>
  <c r="W42" i="4"/>
  <c r="W43" i="4"/>
  <c r="W44" i="4"/>
  <c r="W45" i="4"/>
  <c r="W46" i="4"/>
  <c r="W47" i="4"/>
  <c r="W48" i="4"/>
  <c r="W49" i="4"/>
  <c r="W50" i="4"/>
  <c r="W51" i="4"/>
  <c r="W52" i="4"/>
  <c r="W53" i="4"/>
  <c r="W55" i="4"/>
  <c r="W56" i="4"/>
  <c r="W57" i="4"/>
  <c r="W58" i="4"/>
  <c r="W59" i="4"/>
  <c r="W60" i="4"/>
  <c r="W61" i="4"/>
  <c r="W62" i="4"/>
  <c r="W63" i="4"/>
  <c r="W64" i="4"/>
  <c r="W65" i="4"/>
  <c r="BA65" i="11" s="1"/>
  <c r="W8" i="23"/>
  <c r="W9" i="23"/>
  <c r="W10" i="23"/>
  <c r="W11" i="23"/>
  <c r="W12" i="23"/>
  <c r="W13" i="23"/>
  <c r="W14" i="23"/>
  <c r="W15" i="23"/>
  <c r="W16" i="23"/>
  <c r="W17" i="23"/>
  <c r="W18" i="23"/>
  <c r="W19" i="23"/>
  <c r="W20" i="23"/>
  <c r="W21" i="23"/>
  <c r="W22" i="23"/>
  <c r="W23" i="23"/>
  <c r="W24" i="23"/>
  <c r="W26" i="23"/>
  <c r="W27" i="23"/>
  <c r="W28" i="23"/>
  <c r="W29" i="23"/>
  <c r="W30" i="23"/>
  <c r="W31" i="23"/>
  <c r="W32" i="23"/>
  <c r="W33" i="23"/>
  <c r="W34" i="23"/>
  <c r="W35" i="23"/>
  <c r="W36" i="23"/>
  <c r="W37" i="23"/>
  <c r="W38" i="23"/>
  <c r="W39" i="23"/>
  <c r="W41" i="23"/>
  <c r="W42" i="23"/>
  <c r="W43" i="23"/>
  <c r="W44" i="23"/>
  <c r="W45" i="23"/>
  <c r="W46" i="23"/>
  <c r="W47" i="23"/>
  <c r="W48" i="23"/>
  <c r="W49" i="23"/>
  <c r="W50" i="23"/>
  <c r="W51" i="23"/>
  <c r="W52" i="23"/>
  <c r="W53" i="23"/>
  <c r="W55" i="23"/>
  <c r="W56" i="23"/>
  <c r="W57" i="23"/>
  <c r="W58" i="23"/>
  <c r="W59" i="23"/>
  <c r="W60" i="23"/>
  <c r="W61" i="23"/>
  <c r="W62" i="23"/>
  <c r="W63" i="23"/>
  <c r="W64" i="23"/>
  <c r="W65" i="23"/>
  <c r="BA5" i="11"/>
  <c r="W40" i="11"/>
  <c r="W25" i="11"/>
  <c r="W7" i="11"/>
  <c r="BA5" i="31"/>
  <c r="W54" i="31"/>
  <c r="W40" i="31"/>
  <c r="W25" i="31"/>
  <c r="W7" i="31"/>
  <c r="W54" i="3"/>
  <c r="W40" i="3"/>
  <c r="W25" i="3"/>
  <c r="W7" i="3"/>
  <c r="W54" i="22"/>
  <c r="W40" i="22"/>
  <c r="W25" i="22"/>
  <c r="W7" i="22"/>
  <c r="W54" i="2"/>
  <c r="W40" i="2"/>
  <c r="W25" i="2"/>
  <c r="W7" i="2"/>
  <c r="W54" i="21"/>
  <c r="W40" i="21"/>
  <c r="W25" i="21"/>
  <c r="W7" i="21"/>
  <c r="W54" i="1"/>
  <c r="W40" i="1"/>
  <c r="W25" i="1"/>
  <c r="W7" i="1"/>
  <c r="W54" i="20"/>
  <c r="W40" i="20"/>
  <c r="W25" i="20"/>
  <c r="W7" i="20"/>
  <c r="V8" i="4"/>
  <c r="V9" i="4"/>
  <c r="V10" i="4"/>
  <c r="V11" i="4"/>
  <c r="V12" i="4"/>
  <c r="V13" i="4"/>
  <c r="V14" i="4"/>
  <c r="V15" i="4"/>
  <c r="V16" i="4"/>
  <c r="V17" i="4"/>
  <c r="V18" i="4"/>
  <c r="V19" i="4"/>
  <c r="V20" i="4"/>
  <c r="V21" i="4"/>
  <c r="V22" i="4"/>
  <c r="V23" i="4"/>
  <c r="V24" i="4"/>
  <c r="V26" i="4"/>
  <c r="V27" i="4"/>
  <c r="V28" i="4"/>
  <c r="V29" i="4"/>
  <c r="V30" i="4"/>
  <c r="V31" i="4"/>
  <c r="V32" i="4"/>
  <c r="V33" i="4"/>
  <c r="V34" i="4"/>
  <c r="V35" i="4"/>
  <c r="V36" i="4"/>
  <c r="V37" i="4"/>
  <c r="V38" i="4"/>
  <c r="V39" i="4"/>
  <c r="V41" i="4"/>
  <c r="V42" i="4"/>
  <c r="V43" i="4"/>
  <c r="V44" i="4"/>
  <c r="V45" i="4"/>
  <c r="V46" i="4"/>
  <c r="V47" i="4"/>
  <c r="V48" i="4"/>
  <c r="V49" i="4"/>
  <c r="V50" i="4"/>
  <c r="V51" i="4"/>
  <c r="V52" i="4"/>
  <c r="V53" i="4"/>
  <c r="V55" i="4"/>
  <c r="V56" i="4"/>
  <c r="V57" i="4"/>
  <c r="V58" i="4"/>
  <c r="V59" i="4"/>
  <c r="V60" i="4"/>
  <c r="V61" i="4"/>
  <c r="V62" i="4"/>
  <c r="V63" i="4"/>
  <c r="V64" i="4"/>
  <c r="V65" i="4"/>
  <c r="AZ65" i="11" s="1"/>
  <c r="V8" i="23"/>
  <c r="V9" i="23"/>
  <c r="V10" i="23"/>
  <c r="V11" i="23"/>
  <c r="V12" i="23"/>
  <c r="V13" i="23"/>
  <c r="V14" i="23"/>
  <c r="V15" i="23"/>
  <c r="V16" i="23"/>
  <c r="V17" i="23"/>
  <c r="V18" i="23"/>
  <c r="V19" i="23"/>
  <c r="V20" i="23"/>
  <c r="V21" i="23"/>
  <c r="V22" i="23"/>
  <c r="V23" i="23"/>
  <c r="V24" i="23"/>
  <c r="V26" i="23"/>
  <c r="V27" i="23"/>
  <c r="V28" i="23"/>
  <c r="V29" i="23"/>
  <c r="V30" i="23"/>
  <c r="V31" i="23"/>
  <c r="V32" i="23"/>
  <c r="V33" i="23"/>
  <c r="V34" i="23"/>
  <c r="V35" i="23"/>
  <c r="V36" i="23"/>
  <c r="V37" i="23"/>
  <c r="V38" i="23"/>
  <c r="V39" i="23"/>
  <c r="V41" i="23"/>
  <c r="V42" i="23"/>
  <c r="V43" i="23"/>
  <c r="V44" i="23"/>
  <c r="V45" i="23"/>
  <c r="V46" i="23"/>
  <c r="V47" i="23"/>
  <c r="V48" i="23"/>
  <c r="V49" i="23"/>
  <c r="V50" i="23"/>
  <c r="V51" i="23"/>
  <c r="V52" i="23"/>
  <c r="V53" i="23"/>
  <c r="V55" i="23"/>
  <c r="V56" i="23"/>
  <c r="V57" i="23"/>
  <c r="V58" i="23"/>
  <c r="V59" i="23"/>
  <c r="V60" i="23"/>
  <c r="V61" i="23"/>
  <c r="V62" i="23"/>
  <c r="V63" i="23"/>
  <c r="V64" i="23"/>
  <c r="V65" i="23"/>
  <c r="V54" i="10"/>
  <c r="V40" i="10"/>
  <c r="V25" i="10"/>
  <c r="V7" i="10"/>
  <c r="V54" i="29"/>
  <c r="V40" i="29"/>
  <c r="V25" i="29"/>
  <c r="V7" i="29"/>
  <c r="V54" i="9"/>
  <c r="V40" i="9"/>
  <c r="V25" i="9"/>
  <c r="V7" i="9"/>
  <c r="V54" i="28"/>
  <c r="V40" i="28"/>
  <c r="V25" i="28"/>
  <c r="V7" i="28"/>
  <c r="V54" i="8"/>
  <c r="V40" i="8"/>
  <c r="V25" i="8"/>
  <c r="V7" i="8"/>
  <c r="V54" i="27"/>
  <c r="V40" i="27"/>
  <c r="V25" i="27"/>
  <c r="V7" i="27"/>
  <c r="V54" i="7"/>
  <c r="V40" i="7"/>
  <c r="V25" i="7"/>
  <c r="V7" i="7"/>
  <c r="V54" i="26"/>
  <c r="V40" i="26"/>
  <c r="V25" i="26"/>
  <c r="V7" i="26"/>
  <c r="V40" i="6"/>
  <c r="V25" i="6"/>
  <c r="V7" i="6"/>
  <c r="V54" i="25"/>
  <c r="V40" i="25"/>
  <c r="V25" i="25"/>
  <c r="V7" i="25"/>
  <c r="V54" i="5"/>
  <c r="V40" i="5"/>
  <c r="V25" i="5"/>
  <c r="V7" i="5"/>
  <c r="V54" i="24"/>
  <c r="V40" i="24"/>
  <c r="V40" i="23" s="1"/>
  <c r="V25" i="24"/>
  <c r="V7" i="24"/>
  <c r="V54" i="3"/>
  <c r="V40" i="3"/>
  <c r="V25" i="3"/>
  <c r="V7" i="3"/>
  <c r="V54" i="22"/>
  <c r="V40" i="22"/>
  <c r="V25" i="22"/>
  <c r="V7" i="22"/>
  <c r="V54" i="2"/>
  <c r="V40" i="2"/>
  <c r="V25" i="2"/>
  <c r="V7" i="2"/>
  <c r="V54" i="21"/>
  <c r="V40" i="21"/>
  <c r="V25" i="21"/>
  <c r="V7" i="21"/>
  <c r="V54" i="1"/>
  <c r="V40" i="1"/>
  <c r="V25" i="1"/>
  <c r="V7" i="1"/>
  <c r="V54" i="20"/>
  <c r="V40" i="20"/>
  <c r="V25" i="20"/>
  <c r="V7" i="20"/>
  <c r="AZ5" i="31"/>
  <c r="AZ37" i="31"/>
  <c r="AZ46" i="31"/>
  <c r="AZ5" i="11"/>
  <c r="AZ11" i="11"/>
  <c r="AZ19" i="11"/>
  <c r="AZ28" i="11"/>
  <c r="AZ36" i="11"/>
  <c r="V54" i="31"/>
  <c r="V40" i="31"/>
  <c r="V25" i="31"/>
  <c r="V7" i="31"/>
  <c r="V54" i="11"/>
  <c r="V40" i="11"/>
  <c r="V25" i="11"/>
  <c r="V7" i="11"/>
  <c r="AZ31" i="31" l="1"/>
  <c r="AZ62" i="31"/>
  <c r="AZ45" i="31"/>
  <c r="AZ27" i="11"/>
  <c r="AZ10" i="11"/>
  <c r="AZ61" i="31"/>
  <c r="AZ44" i="31"/>
  <c r="AZ27" i="31"/>
  <c r="AZ9" i="11"/>
  <c r="AZ51" i="31"/>
  <c r="AZ43" i="31"/>
  <c r="AZ50" i="11"/>
  <c r="AZ33" i="11"/>
  <c r="AZ59" i="31"/>
  <c r="AZ50" i="31"/>
  <c r="AZ42" i="31"/>
  <c r="AZ24" i="31"/>
  <c r="AZ16" i="31"/>
  <c r="AZ58" i="11"/>
  <c r="AZ49" i="11"/>
  <c r="AZ32" i="11"/>
  <c r="AZ23" i="11"/>
  <c r="AZ15" i="11"/>
  <c r="AZ48" i="31"/>
  <c r="AZ53" i="31"/>
  <c r="AZ36" i="31"/>
  <c r="AZ28" i="31"/>
  <c r="AZ35" i="11"/>
  <c r="AZ18" i="11"/>
  <c r="AZ52" i="31"/>
  <c r="AZ35" i="31"/>
  <c r="AZ18" i="31"/>
  <c r="AZ10" i="31"/>
  <c r="AZ34" i="11"/>
  <c r="AZ17" i="11"/>
  <c r="AZ60" i="31"/>
  <c r="AZ34" i="31"/>
  <c r="AZ59" i="11"/>
  <c r="AZ42" i="11"/>
  <c r="AZ24" i="11"/>
  <c r="AZ16" i="11"/>
  <c r="AZ13" i="31"/>
  <c r="AZ58" i="31"/>
  <c r="AZ32" i="31"/>
  <c r="AZ23" i="31"/>
  <c r="AZ15" i="31"/>
  <c r="AZ57" i="11"/>
  <c r="AZ48" i="11"/>
  <c r="AZ39" i="11"/>
  <c r="AZ31" i="11"/>
  <c r="AZ22" i="11"/>
  <c r="AZ14" i="11"/>
  <c r="AZ39" i="31"/>
  <c r="AZ22" i="31"/>
  <c r="AZ14" i="31"/>
  <c r="AZ64" i="11"/>
  <c r="AZ56" i="11"/>
  <c r="AZ47" i="11"/>
  <c r="AZ38" i="11"/>
  <c r="AZ30" i="11"/>
  <c r="AZ64" i="31"/>
  <c r="AZ56" i="31"/>
  <c r="AZ38" i="31"/>
  <c r="AZ30" i="31"/>
  <c r="AZ21" i="31"/>
  <c r="AZ63" i="11"/>
  <c r="AZ46" i="11"/>
  <c r="AZ20" i="11"/>
  <c r="AZ12" i="11"/>
  <c r="AZ63" i="31"/>
  <c r="AZ29" i="31"/>
  <c r="AZ20" i="31"/>
  <c r="AZ12" i="31"/>
  <c r="AZ62" i="11"/>
  <c r="V54" i="4"/>
  <c r="W7" i="4"/>
  <c r="BA7" i="11" s="1"/>
  <c r="W25" i="4"/>
  <c r="BA25" i="11" s="1"/>
  <c r="V7" i="23"/>
  <c r="V25" i="23"/>
  <c r="V25" i="4"/>
  <c r="V40" i="4"/>
  <c r="V7" i="4"/>
  <c r="BA59" i="11"/>
  <c r="BA50" i="11"/>
  <c r="BA42" i="11"/>
  <c r="BA33" i="11"/>
  <c r="BA24" i="11"/>
  <c r="BA16" i="11"/>
  <c r="BA58" i="11"/>
  <c r="BA49" i="11"/>
  <c r="BA32" i="11"/>
  <c r="BA23" i="11"/>
  <c r="BA15" i="11"/>
  <c r="BA60" i="11"/>
  <c r="BA34" i="11"/>
  <c r="BA9" i="11"/>
  <c r="BA48" i="11"/>
  <c r="BA22" i="11"/>
  <c r="BA30" i="11"/>
  <c r="BA63" i="11"/>
  <c r="BA46" i="11"/>
  <c r="BA37" i="11"/>
  <c r="BA29" i="11"/>
  <c r="BA20" i="11"/>
  <c r="BA12" i="11"/>
  <c r="BA43" i="11"/>
  <c r="BA57" i="11"/>
  <c r="BA39" i="11"/>
  <c r="BA14" i="11"/>
  <c r="BA56" i="11"/>
  <c r="BA47" i="11"/>
  <c r="BA38" i="11"/>
  <c r="BA13" i="11"/>
  <c r="BA62" i="11"/>
  <c r="BA53" i="11"/>
  <c r="BA45" i="11"/>
  <c r="BA36" i="11"/>
  <c r="BA28" i="11"/>
  <c r="BA19" i="11"/>
  <c r="BA11" i="11"/>
  <c r="BA51" i="11"/>
  <c r="BA17" i="11"/>
  <c r="BA31" i="11"/>
  <c r="BA64" i="11"/>
  <c r="BA21" i="11"/>
  <c r="BA61" i="11"/>
  <c r="BA52" i="11"/>
  <c r="BA44" i="11"/>
  <c r="BA35" i="11"/>
  <c r="BA27" i="11"/>
  <c r="BA18" i="11"/>
  <c r="BA10" i="11"/>
  <c r="V54" i="23"/>
  <c r="BA52" i="31"/>
  <c r="BA27" i="31"/>
  <c r="BA51" i="31"/>
  <c r="BA9" i="31"/>
  <c r="BA49" i="31"/>
  <c r="BA65" i="31"/>
  <c r="BA57" i="31"/>
  <c r="BA48" i="31"/>
  <c r="BA39" i="31"/>
  <c r="BA31" i="31"/>
  <c r="BA22" i="31"/>
  <c r="BA14" i="31"/>
  <c r="BA44" i="31"/>
  <c r="BA35" i="31"/>
  <c r="BA10" i="31"/>
  <c r="BA43" i="31"/>
  <c r="BA17" i="31"/>
  <c r="BA50" i="31"/>
  <c r="BA33" i="31"/>
  <c r="BA23" i="31"/>
  <c r="BA15" i="31"/>
  <c r="BA64" i="31"/>
  <c r="BA56" i="31"/>
  <c r="BA47" i="31"/>
  <c r="BA38" i="31"/>
  <c r="BA30" i="31"/>
  <c r="BA21" i="31"/>
  <c r="BA13" i="31"/>
  <c r="BA34" i="31"/>
  <c r="BA59" i="31"/>
  <c r="BA24" i="31"/>
  <c r="BA58" i="31"/>
  <c r="BA63" i="31"/>
  <c r="BA46" i="31"/>
  <c r="BA37" i="31"/>
  <c r="BA29" i="31"/>
  <c r="BA20" i="31"/>
  <c r="BA12" i="31"/>
  <c r="BA61" i="31"/>
  <c r="BA18" i="31"/>
  <c r="BA60" i="31"/>
  <c r="BA42" i="31"/>
  <c r="BA16" i="31"/>
  <c r="BA32" i="31"/>
  <c r="BA62" i="31"/>
  <c r="BA53" i="31"/>
  <c r="BA45" i="31"/>
  <c r="BA36" i="31"/>
  <c r="BA28" i="31"/>
  <c r="BA19" i="31"/>
  <c r="BA11" i="31"/>
  <c r="W25" i="23"/>
  <c r="W40" i="4"/>
  <c r="W54" i="4"/>
  <c r="BA54" i="11" s="1"/>
  <c r="W54" i="23"/>
  <c r="W40" i="23"/>
  <c r="W7" i="23"/>
  <c r="W6" i="28"/>
  <c r="W6" i="7"/>
  <c r="W6" i="26"/>
  <c r="W6" i="6"/>
  <c r="W6" i="25"/>
  <c r="W6" i="5"/>
  <c r="W6" i="24"/>
  <c r="W6" i="11"/>
  <c r="W6" i="31"/>
  <c r="W6" i="3"/>
  <c r="W6" i="22"/>
  <c r="W6" i="2"/>
  <c r="W6" i="21"/>
  <c r="W6" i="1"/>
  <c r="W6" i="20"/>
  <c r="AZ37" i="11"/>
  <c r="AZ29" i="11"/>
  <c r="AZ53" i="11"/>
  <c r="AZ45" i="11"/>
  <c r="AZ61" i="11"/>
  <c r="AZ33" i="31"/>
  <c r="AZ13" i="11"/>
  <c r="AZ49" i="31"/>
  <c r="AZ17" i="31"/>
  <c r="AZ9" i="31"/>
  <c r="AZ65" i="31"/>
  <c r="AZ57" i="31"/>
  <c r="AZ21" i="11"/>
  <c r="AZ44" i="11"/>
  <c r="AZ52" i="11"/>
  <c r="AZ51" i="11"/>
  <c r="AZ43" i="11"/>
  <c r="AZ47" i="31"/>
  <c r="AZ19" i="31"/>
  <c r="AZ11" i="31"/>
  <c r="V6" i="8"/>
  <c r="AZ60" i="11"/>
  <c r="V6" i="10"/>
  <c r="V6" i="29"/>
  <c r="V6" i="9"/>
  <c r="V6" i="28"/>
  <c r="V6" i="27"/>
  <c r="V6" i="7"/>
  <c r="V6" i="26"/>
  <c r="V6" i="6"/>
  <c r="V6" i="25"/>
  <c r="V6" i="5"/>
  <c r="V6" i="24"/>
  <c r="V6" i="3"/>
  <c r="V6" i="22"/>
  <c r="V6" i="2"/>
  <c r="V6" i="21"/>
  <c r="V6" i="1"/>
  <c r="V6" i="20"/>
  <c r="V6" i="31"/>
  <c r="V6" i="11"/>
  <c r="AZ40" i="11" l="1"/>
  <c r="AZ54" i="11"/>
  <c r="AZ25" i="11"/>
  <c r="AZ7" i="11"/>
  <c r="BA40" i="11"/>
  <c r="V6" i="4"/>
  <c r="V6" i="23"/>
  <c r="W6" i="4"/>
  <c r="BA6" i="11" s="1"/>
  <c r="W6" i="23"/>
  <c r="AY5" i="11"/>
  <c r="AG5" i="11"/>
  <c r="AH5" i="11"/>
  <c r="AI5" i="11"/>
  <c r="AJ5" i="11"/>
  <c r="AK5" i="11"/>
  <c r="AL5" i="11"/>
  <c r="AM5" i="11"/>
  <c r="AN5" i="11"/>
  <c r="AO5" i="11"/>
  <c r="AP5" i="11"/>
  <c r="AQ5" i="11"/>
  <c r="AR5" i="11"/>
  <c r="AS5" i="11"/>
  <c r="AT5" i="11"/>
  <c r="AU5" i="11"/>
  <c r="AV5" i="11"/>
  <c r="AW5" i="11"/>
  <c r="AX5" i="11"/>
  <c r="AF5" i="11"/>
  <c r="AF5" i="31"/>
  <c r="AG5" i="31"/>
  <c r="AH5" i="31"/>
  <c r="AI5" i="31"/>
  <c r="AJ5" i="31"/>
  <c r="AK5" i="31"/>
  <c r="AL5" i="31"/>
  <c r="AM5" i="31"/>
  <c r="AN5" i="31"/>
  <c r="AO5" i="31"/>
  <c r="AP5" i="31"/>
  <c r="AQ5" i="31"/>
  <c r="AR5" i="31"/>
  <c r="AS5" i="31"/>
  <c r="AT5" i="31"/>
  <c r="AU5" i="31"/>
  <c r="AV5" i="31"/>
  <c r="AW5" i="31"/>
  <c r="AX5" i="31"/>
  <c r="AY5" i="31"/>
  <c r="AZ6" i="11" l="1"/>
  <c r="U65" i="4"/>
  <c r="AY65" i="11" s="1"/>
  <c r="T65" i="4"/>
  <c r="AX65" i="11" s="1"/>
  <c r="S65" i="4"/>
  <c r="AW65" i="11" s="1"/>
  <c r="R65" i="4"/>
  <c r="AV65" i="11" s="1"/>
  <c r="Q65" i="4"/>
  <c r="AU65" i="11" s="1"/>
  <c r="P65" i="4"/>
  <c r="AT65" i="11" s="1"/>
  <c r="O65" i="4"/>
  <c r="AS65" i="11" s="1"/>
  <c r="N65" i="4"/>
  <c r="AR65" i="11" s="1"/>
  <c r="M65" i="4"/>
  <c r="AQ65" i="11" s="1"/>
  <c r="L65" i="4"/>
  <c r="AP65" i="11" s="1"/>
  <c r="K65" i="4"/>
  <c r="AO65" i="11" s="1"/>
  <c r="J65" i="4"/>
  <c r="AN65" i="11" s="1"/>
  <c r="I65" i="4"/>
  <c r="AM65" i="11" s="1"/>
  <c r="H65" i="4"/>
  <c r="AL65" i="11" s="1"/>
  <c r="G65" i="4"/>
  <c r="AK65" i="11" s="1"/>
  <c r="F65" i="4"/>
  <c r="AJ65" i="11" s="1"/>
  <c r="E65" i="4"/>
  <c r="AI65" i="11" s="1"/>
  <c r="D65" i="4"/>
  <c r="AH65" i="11" s="1"/>
  <c r="C65" i="4"/>
  <c r="AG65" i="11" s="1"/>
  <c r="B65" i="4"/>
  <c r="AF65" i="11" s="1"/>
  <c r="U64" i="4"/>
  <c r="AY64" i="11" s="1"/>
  <c r="T64" i="4"/>
  <c r="S64" i="4"/>
  <c r="AW64" i="11" s="1"/>
  <c r="R64" i="4"/>
  <c r="Q64" i="4"/>
  <c r="P64" i="4"/>
  <c r="AT64" i="11" s="1"/>
  <c r="O64" i="4"/>
  <c r="AS64" i="11" s="1"/>
  <c r="N64" i="4"/>
  <c r="AR64" i="11" s="1"/>
  <c r="M64" i="4"/>
  <c r="AQ64" i="11" s="1"/>
  <c r="L64" i="4"/>
  <c r="AP64" i="11" s="1"/>
  <c r="K64" i="4"/>
  <c r="AO64" i="11" s="1"/>
  <c r="J64" i="4"/>
  <c r="AN64" i="11" s="1"/>
  <c r="I64" i="4"/>
  <c r="AM64" i="11" s="1"/>
  <c r="H64" i="4"/>
  <c r="AL64" i="11" s="1"/>
  <c r="G64" i="4"/>
  <c r="AK64" i="11" s="1"/>
  <c r="F64" i="4"/>
  <c r="AJ64" i="11" s="1"/>
  <c r="E64" i="4"/>
  <c r="AI64" i="11" s="1"/>
  <c r="D64" i="4"/>
  <c r="AH64" i="11" s="1"/>
  <c r="C64" i="4"/>
  <c r="AG64" i="11" s="1"/>
  <c r="B64" i="4"/>
  <c r="AF64" i="11" s="1"/>
  <c r="U63" i="4"/>
  <c r="AY63" i="11" s="1"/>
  <c r="T63" i="4"/>
  <c r="S63" i="4"/>
  <c r="AW63" i="11" s="1"/>
  <c r="R63" i="4"/>
  <c r="Q63" i="4"/>
  <c r="P63" i="4"/>
  <c r="AT63" i="11" s="1"/>
  <c r="O63" i="4"/>
  <c r="AS63" i="11" s="1"/>
  <c r="N63" i="4"/>
  <c r="AR63" i="11" s="1"/>
  <c r="M63" i="4"/>
  <c r="AQ63" i="11" s="1"/>
  <c r="L63" i="4"/>
  <c r="AP63" i="11" s="1"/>
  <c r="K63" i="4"/>
  <c r="AO63" i="11" s="1"/>
  <c r="J63" i="4"/>
  <c r="AN63" i="11" s="1"/>
  <c r="I63" i="4"/>
  <c r="AM63" i="11" s="1"/>
  <c r="H63" i="4"/>
  <c r="AL63" i="11" s="1"/>
  <c r="G63" i="4"/>
  <c r="AK63" i="11" s="1"/>
  <c r="F63" i="4"/>
  <c r="AJ63" i="11" s="1"/>
  <c r="E63" i="4"/>
  <c r="AI63" i="11" s="1"/>
  <c r="D63" i="4"/>
  <c r="AH63" i="11" s="1"/>
  <c r="C63" i="4"/>
  <c r="AG63" i="11" s="1"/>
  <c r="B63" i="4"/>
  <c r="AF63" i="11" s="1"/>
  <c r="U62" i="4"/>
  <c r="AY62" i="11" s="1"/>
  <c r="T62" i="4"/>
  <c r="S62" i="4"/>
  <c r="AW62" i="11" s="1"/>
  <c r="R62" i="4"/>
  <c r="Q62" i="4"/>
  <c r="P62" i="4"/>
  <c r="AT62" i="11" s="1"/>
  <c r="O62" i="4"/>
  <c r="AS62" i="11" s="1"/>
  <c r="N62" i="4"/>
  <c r="AR62" i="11" s="1"/>
  <c r="M62" i="4"/>
  <c r="AQ62" i="11" s="1"/>
  <c r="L62" i="4"/>
  <c r="AP62" i="11" s="1"/>
  <c r="K62" i="4"/>
  <c r="AO62" i="11" s="1"/>
  <c r="J62" i="4"/>
  <c r="AN62" i="11" s="1"/>
  <c r="I62" i="4"/>
  <c r="AM62" i="11" s="1"/>
  <c r="H62" i="4"/>
  <c r="AL62" i="11" s="1"/>
  <c r="G62" i="4"/>
  <c r="AK62" i="11" s="1"/>
  <c r="F62" i="4"/>
  <c r="AJ62" i="11" s="1"/>
  <c r="E62" i="4"/>
  <c r="AI62" i="11" s="1"/>
  <c r="D62" i="4"/>
  <c r="AH62" i="11" s="1"/>
  <c r="C62" i="4"/>
  <c r="AG62" i="11" s="1"/>
  <c r="B62" i="4"/>
  <c r="AF62" i="11" s="1"/>
  <c r="U61" i="4"/>
  <c r="AY61" i="11" s="1"/>
  <c r="T61" i="4"/>
  <c r="S61" i="4"/>
  <c r="AW61" i="11" s="1"/>
  <c r="R61" i="4"/>
  <c r="Q61" i="4"/>
  <c r="P61" i="4"/>
  <c r="AT61" i="11" s="1"/>
  <c r="O61" i="4"/>
  <c r="AS61" i="11" s="1"/>
  <c r="N61" i="4"/>
  <c r="AR61" i="11" s="1"/>
  <c r="M61" i="4"/>
  <c r="AQ61" i="11" s="1"/>
  <c r="L61" i="4"/>
  <c r="AP61" i="11" s="1"/>
  <c r="K61" i="4"/>
  <c r="AO61" i="11" s="1"/>
  <c r="J61" i="4"/>
  <c r="AN61" i="11" s="1"/>
  <c r="I61" i="4"/>
  <c r="AM61" i="11" s="1"/>
  <c r="H61" i="4"/>
  <c r="AL61" i="11" s="1"/>
  <c r="G61" i="4"/>
  <c r="AK61" i="11" s="1"/>
  <c r="F61" i="4"/>
  <c r="AJ61" i="11" s="1"/>
  <c r="E61" i="4"/>
  <c r="AI61" i="11" s="1"/>
  <c r="D61" i="4"/>
  <c r="AH61" i="11" s="1"/>
  <c r="C61" i="4"/>
  <c r="AG61" i="11" s="1"/>
  <c r="B61" i="4"/>
  <c r="AF61" i="11" s="1"/>
  <c r="U60" i="4"/>
  <c r="AY60" i="11" s="1"/>
  <c r="T60" i="4"/>
  <c r="S60" i="4"/>
  <c r="AW60" i="11" s="1"/>
  <c r="R60" i="4"/>
  <c r="Q60" i="4"/>
  <c r="P60" i="4"/>
  <c r="AT60" i="11" s="1"/>
  <c r="O60" i="4"/>
  <c r="AS60" i="11" s="1"/>
  <c r="N60" i="4"/>
  <c r="AR60" i="11" s="1"/>
  <c r="M60" i="4"/>
  <c r="AQ60" i="11" s="1"/>
  <c r="L60" i="4"/>
  <c r="AP60" i="11" s="1"/>
  <c r="K60" i="4"/>
  <c r="AO60" i="11" s="1"/>
  <c r="J60" i="4"/>
  <c r="AN60" i="11" s="1"/>
  <c r="I60" i="4"/>
  <c r="AM60" i="11" s="1"/>
  <c r="H60" i="4"/>
  <c r="AL60" i="11" s="1"/>
  <c r="G60" i="4"/>
  <c r="AK60" i="11" s="1"/>
  <c r="F60" i="4"/>
  <c r="AJ60" i="11" s="1"/>
  <c r="E60" i="4"/>
  <c r="AI60" i="11" s="1"/>
  <c r="D60" i="4"/>
  <c r="AH60" i="11" s="1"/>
  <c r="C60" i="4"/>
  <c r="AG60" i="11" s="1"/>
  <c r="B60" i="4"/>
  <c r="AF60" i="11" s="1"/>
  <c r="U59" i="4"/>
  <c r="AY59" i="11" s="1"/>
  <c r="T59" i="4"/>
  <c r="S59" i="4"/>
  <c r="AW59" i="11" s="1"/>
  <c r="R59" i="4"/>
  <c r="Q59" i="4"/>
  <c r="P59" i="4"/>
  <c r="AT59" i="11" s="1"/>
  <c r="O59" i="4"/>
  <c r="AS59" i="11" s="1"/>
  <c r="N59" i="4"/>
  <c r="AR59" i="11" s="1"/>
  <c r="M59" i="4"/>
  <c r="AQ59" i="11" s="1"/>
  <c r="L59" i="4"/>
  <c r="AP59" i="11" s="1"/>
  <c r="K59" i="4"/>
  <c r="AO59" i="11" s="1"/>
  <c r="J59" i="4"/>
  <c r="AN59" i="11" s="1"/>
  <c r="I59" i="4"/>
  <c r="AM59" i="11" s="1"/>
  <c r="H59" i="4"/>
  <c r="AL59" i="11" s="1"/>
  <c r="G59" i="4"/>
  <c r="AK59" i="11" s="1"/>
  <c r="F59" i="4"/>
  <c r="AJ59" i="11" s="1"/>
  <c r="E59" i="4"/>
  <c r="AI59" i="11" s="1"/>
  <c r="D59" i="4"/>
  <c r="AH59" i="11" s="1"/>
  <c r="C59" i="4"/>
  <c r="AG59" i="11" s="1"/>
  <c r="B59" i="4"/>
  <c r="AF59" i="11" s="1"/>
  <c r="U58" i="4"/>
  <c r="AY58" i="11" s="1"/>
  <c r="T58" i="4"/>
  <c r="S58" i="4"/>
  <c r="AW58" i="11" s="1"/>
  <c r="R58" i="4"/>
  <c r="Q58" i="4"/>
  <c r="P58" i="4"/>
  <c r="AT58" i="11" s="1"/>
  <c r="O58" i="4"/>
  <c r="AS58" i="11" s="1"/>
  <c r="N58" i="4"/>
  <c r="AR58" i="11" s="1"/>
  <c r="M58" i="4"/>
  <c r="AQ58" i="11" s="1"/>
  <c r="L58" i="4"/>
  <c r="AP58" i="11" s="1"/>
  <c r="K58" i="4"/>
  <c r="AO58" i="11" s="1"/>
  <c r="J58" i="4"/>
  <c r="AN58" i="11" s="1"/>
  <c r="I58" i="4"/>
  <c r="AM58" i="11" s="1"/>
  <c r="H58" i="4"/>
  <c r="AL58" i="11" s="1"/>
  <c r="G58" i="4"/>
  <c r="AK58" i="11" s="1"/>
  <c r="F58" i="4"/>
  <c r="AJ58" i="11" s="1"/>
  <c r="E58" i="4"/>
  <c r="AI58" i="11" s="1"/>
  <c r="D58" i="4"/>
  <c r="AH58" i="11" s="1"/>
  <c r="C58" i="4"/>
  <c r="AG58" i="11" s="1"/>
  <c r="B58" i="4"/>
  <c r="AF58" i="11" s="1"/>
  <c r="U57" i="4"/>
  <c r="AY57" i="11" s="1"/>
  <c r="T57" i="4"/>
  <c r="S57" i="4"/>
  <c r="AW57" i="11" s="1"/>
  <c r="R57" i="4"/>
  <c r="Q57" i="4"/>
  <c r="P57" i="4"/>
  <c r="AT57" i="11" s="1"/>
  <c r="O57" i="4"/>
  <c r="AS57" i="11" s="1"/>
  <c r="N57" i="4"/>
  <c r="AR57" i="11" s="1"/>
  <c r="M57" i="4"/>
  <c r="AQ57" i="11" s="1"/>
  <c r="L57" i="4"/>
  <c r="AP57" i="11" s="1"/>
  <c r="K57" i="4"/>
  <c r="AO57" i="11" s="1"/>
  <c r="J57" i="4"/>
  <c r="AN57" i="11" s="1"/>
  <c r="I57" i="4"/>
  <c r="AM57" i="11" s="1"/>
  <c r="H57" i="4"/>
  <c r="AL57" i="11" s="1"/>
  <c r="G57" i="4"/>
  <c r="AK57" i="11" s="1"/>
  <c r="F57" i="4"/>
  <c r="AJ57" i="11" s="1"/>
  <c r="E57" i="4"/>
  <c r="AI57" i="11" s="1"/>
  <c r="D57" i="4"/>
  <c r="AH57" i="11" s="1"/>
  <c r="C57" i="4"/>
  <c r="AG57" i="11" s="1"/>
  <c r="B57" i="4"/>
  <c r="AF57" i="11" s="1"/>
  <c r="U56" i="4"/>
  <c r="AY56" i="11" s="1"/>
  <c r="T56" i="4"/>
  <c r="S56" i="4"/>
  <c r="AW56" i="11" s="1"/>
  <c r="R56" i="4"/>
  <c r="Q56" i="4"/>
  <c r="P56" i="4"/>
  <c r="AT56" i="11" s="1"/>
  <c r="O56" i="4"/>
  <c r="AS56" i="11" s="1"/>
  <c r="N56" i="4"/>
  <c r="AR56" i="11" s="1"/>
  <c r="M56" i="4"/>
  <c r="AQ56" i="11" s="1"/>
  <c r="L56" i="4"/>
  <c r="AP56" i="11" s="1"/>
  <c r="K56" i="4"/>
  <c r="AO56" i="11" s="1"/>
  <c r="J56" i="4"/>
  <c r="AN56" i="11" s="1"/>
  <c r="I56" i="4"/>
  <c r="AM56" i="11" s="1"/>
  <c r="H56" i="4"/>
  <c r="AL56" i="11" s="1"/>
  <c r="AK56" i="11"/>
  <c r="F56" i="4"/>
  <c r="AJ56" i="11" s="1"/>
  <c r="E56" i="4"/>
  <c r="AI56" i="11" s="1"/>
  <c r="D56" i="4"/>
  <c r="AH56" i="11" s="1"/>
  <c r="C56" i="4"/>
  <c r="AG56" i="11" s="1"/>
  <c r="B56" i="4"/>
  <c r="AF56" i="11" s="1"/>
  <c r="U55" i="4"/>
  <c r="T55" i="4"/>
  <c r="S55" i="4"/>
  <c r="R55" i="4"/>
  <c r="Q55" i="4"/>
  <c r="P55" i="4"/>
  <c r="O55" i="4"/>
  <c r="N55" i="4"/>
  <c r="M55" i="4"/>
  <c r="L55" i="4"/>
  <c r="K55" i="4"/>
  <c r="J55" i="4"/>
  <c r="I55" i="4"/>
  <c r="H55" i="4"/>
  <c r="G55" i="4"/>
  <c r="F55" i="4"/>
  <c r="E55" i="4"/>
  <c r="D55" i="4"/>
  <c r="C55" i="4"/>
  <c r="B55" i="4"/>
  <c r="U53" i="4"/>
  <c r="AY53" i="11" s="1"/>
  <c r="T53" i="4"/>
  <c r="S53" i="4"/>
  <c r="AW53" i="11" s="1"/>
  <c r="R53" i="4"/>
  <c r="Q53" i="4"/>
  <c r="P53" i="4"/>
  <c r="AT53" i="11" s="1"/>
  <c r="O53" i="4"/>
  <c r="AS53" i="11" s="1"/>
  <c r="N53" i="4"/>
  <c r="AR53" i="11" s="1"/>
  <c r="M53" i="4"/>
  <c r="AQ53" i="11" s="1"/>
  <c r="L53" i="4"/>
  <c r="AP53" i="11" s="1"/>
  <c r="K53" i="4"/>
  <c r="AO53" i="11" s="1"/>
  <c r="J53" i="4"/>
  <c r="AN53" i="11" s="1"/>
  <c r="I53" i="4"/>
  <c r="AM53" i="11" s="1"/>
  <c r="H53" i="4"/>
  <c r="AL53" i="11" s="1"/>
  <c r="G53" i="4"/>
  <c r="AK53" i="11" s="1"/>
  <c r="F53" i="4"/>
  <c r="AJ53" i="11" s="1"/>
  <c r="E53" i="4"/>
  <c r="AI53" i="11" s="1"/>
  <c r="D53" i="4"/>
  <c r="AH53" i="11" s="1"/>
  <c r="C53" i="4"/>
  <c r="AG53" i="11" s="1"/>
  <c r="B53" i="4"/>
  <c r="AF53" i="11" s="1"/>
  <c r="U52" i="4"/>
  <c r="AY52" i="11" s="1"/>
  <c r="T52" i="4"/>
  <c r="S52" i="4"/>
  <c r="AW52" i="11" s="1"/>
  <c r="R52" i="4"/>
  <c r="Q52" i="4"/>
  <c r="P52" i="4"/>
  <c r="AT52" i="11" s="1"/>
  <c r="O52" i="4"/>
  <c r="AS52" i="11" s="1"/>
  <c r="N52" i="4"/>
  <c r="AR52" i="11" s="1"/>
  <c r="M52" i="4"/>
  <c r="AQ52" i="11" s="1"/>
  <c r="L52" i="4"/>
  <c r="AP52" i="11" s="1"/>
  <c r="K52" i="4"/>
  <c r="AO52" i="11" s="1"/>
  <c r="J52" i="4"/>
  <c r="AN52" i="11" s="1"/>
  <c r="I52" i="4"/>
  <c r="AM52" i="11" s="1"/>
  <c r="H52" i="4"/>
  <c r="AL52" i="11" s="1"/>
  <c r="G52" i="4"/>
  <c r="AK52" i="11" s="1"/>
  <c r="F52" i="4"/>
  <c r="AJ52" i="11" s="1"/>
  <c r="E52" i="4"/>
  <c r="AI52" i="11" s="1"/>
  <c r="D52" i="4"/>
  <c r="AH52" i="11" s="1"/>
  <c r="C52" i="4"/>
  <c r="AG52" i="11" s="1"/>
  <c r="B52" i="4"/>
  <c r="AF52" i="11" s="1"/>
  <c r="U51" i="4"/>
  <c r="AY51" i="11" s="1"/>
  <c r="T51" i="4"/>
  <c r="S51" i="4"/>
  <c r="AW51" i="11" s="1"/>
  <c r="R51" i="4"/>
  <c r="Q51" i="4"/>
  <c r="P51" i="4"/>
  <c r="AT51" i="11" s="1"/>
  <c r="O51" i="4"/>
  <c r="AS51" i="11" s="1"/>
  <c r="N51" i="4"/>
  <c r="AR51" i="11" s="1"/>
  <c r="M51" i="4"/>
  <c r="AQ51" i="11" s="1"/>
  <c r="L51" i="4"/>
  <c r="AP51" i="11" s="1"/>
  <c r="K51" i="4"/>
  <c r="AO51" i="11" s="1"/>
  <c r="J51" i="4"/>
  <c r="AN51" i="11" s="1"/>
  <c r="I51" i="4"/>
  <c r="AM51" i="11" s="1"/>
  <c r="H51" i="4"/>
  <c r="AL51" i="11" s="1"/>
  <c r="G51" i="4"/>
  <c r="AK51" i="11" s="1"/>
  <c r="F51" i="4"/>
  <c r="AJ51" i="11" s="1"/>
  <c r="E51" i="4"/>
  <c r="AI51" i="11" s="1"/>
  <c r="D51" i="4"/>
  <c r="AH51" i="11" s="1"/>
  <c r="C51" i="4"/>
  <c r="AG51" i="11" s="1"/>
  <c r="B51" i="4"/>
  <c r="AF51" i="11" s="1"/>
  <c r="U50" i="4"/>
  <c r="AY50" i="11" s="1"/>
  <c r="T50" i="4"/>
  <c r="S50" i="4"/>
  <c r="AW50" i="11" s="1"/>
  <c r="R50" i="4"/>
  <c r="Q50" i="4"/>
  <c r="P50" i="4"/>
  <c r="AT50" i="11" s="1"/>
  <c r="O50" i="4"/>
  <c r="AS50" i="11" s="1"/>
  <c r="N50" i="4"/>
  <c r="AR50" i="11" s="1"/>
  <c r="M50" i="4"/>
  <c r="AQ50" i="11" s="1"/>
  <c r="L50" i="4"/>
  <c r="AP50" i="11" s="1"/>
  <c r="K50" i="4"/>
  <c r="AO50" i="11" s="1"/>
  <c r="J50" i="4"/>
  <c r="AN50" i="11" s="1"/>
  <c r="I50" i="4"/>
  <c r="AM50" i="11" s="1"/>
  <c r="H50" i="4"/>
  <c r="AL50" i="11" s="1"/>
  <c r="G50" i="4"/>
  <c r="AK50" i="11" s="1"/>
  <c r="F50" i="4"/>
  <c r="AJ50" i="11" s="1"/>
  <c r="E50" i="4"/>
  <c r="AI50" i="11" s="1"/>
  <c r="D50" i="4"/>
  <c r="AH50" i="11" s="1"/>
  <c r="C50" i="4"/>
  <c r="AG50" i="11" s="1"/>
  <c r="B50" i="4"/>
  <c r="AF50" i="11" s="1"/>
  <c r="U49" i="4"/>
  <c r="AY49" i="11" s="1"/>
  <c r="T49" i="4"/>
  <c r="S49" i="4"/>
  <c r="AW49" i="11" s="1"/>
  <c r="R49" i="4"/>
  <c r="Q49" i="4"/>
  <c r="P49" i="4"/>
  <c r="AT49" i="11" s="1"/>
  <c r="O49" i="4"/>
  <c r="AS49" i="11" s="1"/>
  <c r="N49" i="4"/>
  <c r="AR49" i="11" s="1"/>
  <c r="M49" i="4"/>
  <c r="AQ49" i="11" s="1"/>
  <c r="L49" i="4"/>
  <c r="AP49" i="11" s="1"/>
  <c r="K49" i="4"/>
  <c r="AO49" i="11" s="1"/>
  <c r="J49" i="4"/>
  <c r="AN49" i="11" s="1"/>
  <c r="I49" i="4"/>
  <c r="AM49" i="11" s="1"/>
  <c r="H49" i="4"/>
  <c r="AL49" i="11" s="1"/>
  <c r="G49" i="4"/>
  <c r="AK49" i="11" s="1"/>
  <c r="F49" i="4"/>
  <c r="AJ49" i="11" s="1"/>
  <c r="E49" i="4"/>
  <c r="AI49" i="11" s="1"/>
  <c r="D49" i="4"/>
  <c r="AH49" i="11" s="1"/>
  <c r="C49" i="4"/>
  <c r="AG49" i="11" s="1"/>
  <c r="B49" i="4"/>
  <c r="AF49" i="11" s="1"/>
  <c r="U48" i="4"/>
  <c r="AY48" i="11" s="1"/>
  <c r="T48" i="4"/>
  <c r="S48" i="4"/>
  <c r="AW48" i="11" s="1"/>
  <c r="R48" i="4"/>
  <c r="Q48" i="4"/>
  <c r="P48" i="4"/>
  <c r="AT48" i="11" s="1"/>
  <c r="O48" i="4"/>
  <c r="AS48" i="11" s="1"/>
  <c r="N48" i="4"/>
  <c r="AR48" i="11" s="1"/>
  <c r="M48" i="4"/>
  <c r="AQ48" i="11" s="1"/>
  <c r="L48" i="4"/>
  <c r="AP48" i="11" s="1"/>
  <c r="K48" i="4"/>
  <c r="AO48" i="11" s="1"/>
  <c r="J48" i="4"/>
  <c r="AN48" i="11" s="1"/>
  <c r="I48" i="4"/>
  <c r="AM48" i="11" s="1"/>
  <c r="H48" i="4"/>
  <c r="AL48" i="11" s="1"/>
  <c r="G48" i="4"/>
  <c r="AK48" i="11" s="1"/>
  <c r="F48" i="4"/>
  <c r="AJ48" i="11" s="1"/>
  <c r="E48" i="4"/>
  <c r="AI48" i="11" s="1"/>
  <c r="D48" i="4"/>
  <c r="AH48" i="11" s="1"/>
  <c r="C48" i="4"/>
  <c r="AG48" i="11" s="1"/>
  <c r="B48" i="4"/>
  <c r="AF48" i="11" s="1"/>
  <c r="U47" i="4"/>
  <c r="AY47" i="11" s="1"/>
  <c r="T47" i="4"/>
  <c r="S47" i="4"/>
  <c r="AW47" i="11" s="1"/>
  <c r="R47" i="4"/>
  <c r="Q47" i="4"/>
  <c r="P47" i="4"/>
  <c r="AT47" i="11" s="1"/>
  <c r="O47" i="4"/>
  <c r="AS47" i="11" s="1"/>
  <c r="N47" i="4"/>
  <c r="AR47" i="11" s="1"/>
  <c r="M47" i="4"/>
  <c r="AQ47" i="11" s="1"/>
  <c r="L47" i="4"/>
  <c r="AP47" i="11" s="1"/>
  <c r="K47" i="4"/>
  <c r="AO47" i="11" s="1"/>
  <c r="J47" i="4"/>
  <c r="AN47" i="11" s="1"/>
  <c r="I47" i="4"/>
  <c r="AM47" i="11" s="1"/>
  <c r="H47" i="4"/>
  <c r="AL47" i="11" s="1"/>
  <c r="G47" i="4"/>
  <c r="AK47" i="11" s="1"/>
  <c r="F47" i="4"/>
  <c r="AJ47" i="11" s="1"/>
  <c r="E47" i="4"/>
  <c r="AI47" i="11" s="1"/>
  <c r="D47" i="4"/>
  <c r="AH47" i="11" s="1"/>
  <c r="C47" i="4"/>
  <c r="AG47" i="11" s="1"/>
  <c r="B47" i="4"/>
  <c r="AF47" i="11" s="1"/>
  <c r="U46" i="4"/>
  <c r="AY46" i="11" s="1"/>
  <c r="T46" i="4"/>
  <c r="S46" i="4"/>
  <c r="AW46" i="11" s="1"/>
  <c r="R46" i="4"/>
  <c r="Q46" i="4"/>
  <c r="P46" i="4"/>
  <c r="AT46" i="11" s="1"/>
  <c r="O46" i="4"/>
  <c r="AS46" i="11" s="1"/>
  <c r="N46" i="4"/>
  <c r="AR46" i="11" s="1"/>
  <c r="M46" i="4"/>
  <c r="AQ46" i="11" s="1"/>
  <c r="L46" i="4"/>
  <c r="AP46" i="11" s="1"/>
  <c r="K46" i="4"/>
  <c r="AO46" i="11" s="1"/>
  <c r="J46" i="4"/>
  <c r="AN46" i="11" s="1"/>
  <c r="I46" i="4"/>
  <c r="AM46" i="11" s="1"/>
  <c r="H46" i="4"/>
  <c r="AL46" i="11" s="1"/>
  <c r="G46" i="4"/>
  <c r="AK46" i="11" s="1"/>
  <c r="F46" i="4"/>
  <c r="AJ46" i="11" s="1"/>
  <c r="E46" i="4"/>
  <c r="AI46" i="11" s="1"/>
  <c r="D46" i="4"/>
  <c r="AH46" i="11" s="1"/>
  <c r="C46" i="4"/>
  <c r="AG46" i="11" s="1"/>
  <c r="B46" i="4"/>
  <c r="AF46" i="11" s="1"/>
  <c r="U45" i="4"/>
  <c r="AY45" i="11" s="1"/>
  <c r="T45" i="4"/>
  <c r="S45" i="4"/>
  <c r="AW45" i="11" s="1"/>
  <c r="R45" i="4"/>
  <c r="Q45" i="4"/>
  <c r="P45" i="4"/>
  <c r="AT45" i="11" s="1"/>
  <c r="O45" i="4"/>
  <c r="AS45" i="11" s="1"/>
  <c r="N45" i="4"/>
  <c r="AR45" i="11" s="1"/>
  <c r="M45" i="4"/>
  <c r="AQ45" i="11" s="1"/>
  <c r="L45" i="4"/>
  <c r="AP45" i="11" s="1"/>
  <c r="K45" i="4"/>
  <c r="AO45" i="11" s="1"/>
  <c r="J45" i="4"/>
  <c r="AN45" i="11" s="1"/>
  <c r="I45" i="4"/>
  <c r="AM45" i="11" s="1"/>
  <c r="H45" i="4"/>
  <c r="AL45" i="11" s="1"/>
  <c r="G45" i="4"/>
  <c r="AK45" i="11" s="1"/>
  <c r="F45" i="4"/>
  <c r="AJ45" i="11" s="1"/>
  <c r="E45" i="4"/>
  <c r="AI45" i="11" s="1"/>
  <c r="D45" i="4"/>
  <c r="AH45" i="11" s="1"/>
  <c r="C45" i="4"/>
  <c r="AG45" i="11" s="1"/>
  <c r="B45" i="4"/>
  <c r="AF45" i="11" s="1"/>
  <c r="U44" i="4"/>
  <c r="AY44" i="11" s="1"/>
  <c r="T44" i="4"/>
  <c r="S44" i="4"/>
  <c r="AW44" i="11" s="1"/>
  <c r="R44" i="4"/>
  <c r="Q44" i="4"/>
  <c r="P44" i="4"/>
  <c r="AT44" i="11" s="1"/>
  <c r="O44" i="4"/>
  <c r="AS44" i="11" s="1"/>
  <c r="N44" i="4"/>
  <c r="AR44" i="11" s="1"/>
  <c r="M44" i="4"/>
  <c r="AQ44" i="11" s="1"/>
  <c r="L44" i="4"/>
  <c r="AP44" i="11" s="1"/>
  <c r="K44" i="4"/>
  <c r="AO44" i="11" s="1"/>
  <c r="J44" i="4"/>
  <c r="AN44" i="11" s="1"/>
  <c r="I44" i="4"/>
  <c r="AM44" i="11" s="1"/>
  <c r="H44" i="4"/>
  <c r="AL44" i="11" s="1"/>
  <c r="G44" i="4"/>
  <c r="AK44" i="11" s="1"/>
  <c r="F44" i="4"/>
  <c r="AJ44" i="11" s="1"/>
  <c r="E44" i="4"/>
  <c r="AI44" i="11" s="1"/>
  <c r="D44" i="4"/>
  <c r="AH44" i="11" s="1"/>
  <c r="C44" i="4"/>
  <c r="AG44" i="11" s="1"/>
  <c r="B44" i="4"/>
  <c r="AF44" i="11" s="1"/>
  <c r="U43" i="4"/>
  <c r="AY43" i="11" s="1"/>
  <c r="T43" i="4"/>
  <c r="S43" i="4"/>
  <c r="AW43" i="11" s="1"/>
  <c r="R43" i="4"/>
  <c r="Q43" i="4"/>
  <c r="P43" i="4"/>
  <c r="AT43" i="11" s="1"/>
  <c r="O43" i="4"/>
  <c r="AS43" i="11" s="1"/>
  <c r="N43" i="4"/>
  <c r="AR43" i="11" s="1"/>
  <c r="M43" i="4"/>
  <c r="AQ43" i="11" s="1"/>
  <c r="L43" i="4"/>
  <c r="AP43" i="11" s="1"/>
  <c r="K43" i="4"/>
  <c r="AO43" i="11" s="1"/>
  <c r="J43" i="4"/>
  <c r="AN43" i="11" s="1"/>
  <c r="I43" i="4"/>
  <c r="AM43" i="11" s="1"/>
  <c r="H43" i="4"/>
  <c r="AL43" i="11" s="1"/>
  <c r="G43" i="4"/>
  <c r="AK43" i="11" s="1"/>
  <c r="F43" i="4"/>
  <c r="AJ43" i="11" s="1"/>
  <c r="E43" i="4"/>
  <c r="AI43" i="11" s="1"/>
  <c r="D43" i="4"/>
  <c r="AH43" i="11" s="1"/>
  <c r="C43" i="4"/>
  <c r="AG43" i="11" s="1"/>
  <c r="B43" i="4"/>
  <c r="AF43" i="11" s="1"/>
  <c r="U42" i="4"/>
  <c r="AY42" i="11" s="1"/>
  <c r="T42" i="4"/>
  <c r="S42" i="4"/>
  <c r="AW42" i="11" s="1"/>
  <c r="R42" i="4"/>
  <c r="Q42" i="4"/>
  <c r="P42" i="4"/>
  <c r="AT42" i="11" s="1"/>
  <c r="O42" i="4"/>
  <c r="AS42" i="11" s="1"/>
  <c r="N42" i="4"/>
  <c r="AR42" i="11" s="1"/>
  <c r="M42" i="4"/>
  <c r="AQ42" i="11" s="1"/>
  <c r="L42" i="4"/>
  <c r="AP42" i="11" s="1"/>
  <c r="K42" i="4"/>
  <c r="AO42" i="11" s="1"/>
  <c r="J42" i="4"/>
  <c r="AN42" i="11" s="1"/>
  <c r="I42" i="4"/>
  <c r="AM42" i="11" s="1"/>
  <c r="H42" i="4"/>
  <c r="AL42" i="11" s="1"/>
  <c r="G42" i="4"/>
  <c r="AK42" i="11" s="1"/>
  <c r="F42" i="4"/>
  <c r="AJ42" i="11" s="1"/>
  <c r="E42" i="4"/>
  <c r="AI42" i="11" s="1"/>
  <c r="D42" i="4"/>
  <c r="AH42" i="11" s="1"/>
  <c r="C42" i="4"/>
  <c r="AG42" i="11" s="1"/>
  <c r="B42" i="4"/>
  <c r="AF42" i="11" s="1"/>
  <c r="U41" i="4"/>
  <c r="T41" i="4"/>
  <c r="S41" i="4"/>
  <c r="R41" i="4"/>
  <c r="Q41" i="4"/>
  <c r="P41" i="4"/>
  <c r="O41" i="4"/>
  <c r="N41" i="4"/>
  <c r="M41" i="4"/>
  <c r="L41" i="4"/>
  <c r="K41" i="4"/>
  <c r="J41" i="4"/>
  <c r="I41" i="4"/>
  <c r="H41" i="4"/>
  <c r="G41" i="4"/>
  <c r="F41" i="4"/>
  <c r="E41" i="4"/>
  <c r="D41" i="4"/>
  <c r="C41" i="4"/>
  <c r="B41" i="4"/>
  <c r="U39" i="4"/>
  <c r="AY39" i="11" s="1"/>
  <c r="T39" i="4"/>
  <c r="S39" i="4"/>
  <c r="AW39" i="11" s="1"/>
  <c r="R39" i="4"/>
  <c r="Q39" i="4"/>
  <c r="P39" i="4"/>
  <c r="AT39" i="11" s="1"/>
  <c r="O39" i="4"/>
  <c r="AS39" i="11" s="1"/>
  <c r="N39" i="4"/>
  <c r="AR39" i="11" s="1"/>
  <c r="M39" i="4"/>
  <c r="AQ39" i="11" s="1"/>
  <c r="L39" i="4"/>
  <c r="AP39" i="11" s="1"/>
  <c r="K39" i="4"/>
  <c r="AO39" i="11" s="1"/>
  <c r="J39" i="4"/>
  <c r="AN39" i="11" s="1"/>
  <c r="I39" i="4"/>
  <c r="AM39" i="11" s="1"/>
  <c r="H39" i="4"/>
  <c r="AL39" i="11" s="1"/>
  <c r="G39" i="4"/>
  <c r="AK39" i="11" s="1"/>
  <c r="F39" i="4"/>
  <c r="AJ39" i="11" s="1"/>
  <c r="E39" i="4"/>
  <c r="AI39" i="11" s="1"/>
  <c r="D39" i="4"/>
  <c r="AH39" i="11" s="1"/>
  <c r="C39" i="4"/>
  <c r="AG39" i="11" s="1"/>
  <c r="B39" i="4"/>
  <c r="AF39" i="11" s="1"/>
  <c r="U38" i="4"/>
  <c r="AY38" i="11" s="1"/>
  <c r="T38" i="4"/>
  <c r="S38" i="4"/>
  <c r="AW38" i="11" s="1"/>
  <c r="R38" i="4"/>
  <c r="Q38" i="4"/>
  <c r="P38" i="4"/>
  <c r="AT38" i="11" s="1"/>
  <c r="O38" i="4"/>
  <c r="AS38" i="11" s="1"/>
  <c r="N38" i="4"/>
  <c r="AR38" i="11" s="1"/>
  <c r="M38" i="4"/>
  <c r="AQ38" i="11" s="1"/>
  <c r="L38" i="4"/>
  <c r="AP38" i="11" s="1"/>
  <c r="K38" i="4"/>
  <c r="AO38" i="11" s="1"/>
  <c r="J38" i="4"/>
  <c r="AN38" i="11" s="1"/>
  <c r="I38" i="4"/>
  <c r="AM38" i="11" s="1"/>
  <c r="H38" i="4"/>
  <c r="AL38" i="11" s="1"/>
  <c r="G38" i="4"/>
  <c r="AK38" i="11" s="1"/>
  <c r="F38" i="4"/>
  <c r="AJ38" i="11" s="1"/>
  <c r="E38" i="4"/>
  <c r="AI38" i="11" s="1"/>
  <c r="D38" i="4"/>
  <c r="AH38" i="11" s="1"/>
  <c r="C38" i="4"/>
  <c r="AG38" i="11" s="1"/>
  <c r="B38" i="4"/>
  <c r="AF38" i="11" s="1"/>
  <c r="U37" i="4"/>
  <c r="AY37" i="11" s="1"/>
  <c r="T37" i="4"/>
  <c r="S37" i="4"/>
  <c r="AW37" i="11" s="1"/>
  <c r="R37" i="4"/>
  <c r="Q37" i="4"/>
  <c r="P37" i="4"/>
  <c r="AT37" i="11" s="1"/>
  <c r="O37" i="4"/>
  <c r="AS37" i="11" s="1"/>
  <c r="N37" i="4"/>
  <c r="AR37" i="11" s="1"/>
  <c r="M37" i="4"/>
  <c r="AQ37" i="11" s="1"/>
  <c r="L37" i="4"/>
  <c r="AP37" i="11" s="1"/>
  <c r="K37" i="4"/>
  <c r="AO37" i="11" s="1"/>
  <c r="J37" i="4"/>
  <c r="AN37" i="11" s="1"/>
  <c r="I37" i="4"/>
  <c r="AM37" i="11" s="1"/>
  <c r="H37" i="4"/>
  <c r="AL37" i="11" s="1"/>
  <c r="G37" i="4"/>
  <c r="AK37" i="11" s="1"/>
  <c r="F37" i="4"/>
  <c r="AJ37" i="11" s="1"/>
  <c r="E37" i="4"/>
  <c r="AI37" i="11" s="1"/>
  <c r="D37" i="4"/>
  <c r="AH37" i="11" s="1"/>
  <c r="C37" i="4"/>
  <c r="AG37" i="11" s="1"/>
  <c r="B37" i="4"/>
  <c r="AF37" i="11" s="1"/>
  <c r="U36" i="4"/>
  <c r="AY36" i="11" s="1"/>
  <c r="T36" i="4"/>
  <c r="S36" i="4"/>
  <c r="AW36" i="11" s="1"/>
  <c r="R36" i="4"/>
  <c r="Q36" i="4"/>
  <c r="P36" i="4"/>
  <c r="AT36" i="11" s="1"/>
  <c r="O36" i="4"/>
  <c r="AS36" i="11" s="1"/>
  <c r="N36" i="4"/>
  <c r="AR36" i="11" s="1"/>
  <c r="M36" i="4"/>
  <c r="AQ36" i="11" s="1"/>
  <c r="L36" i="4"/>
  <c r="AP36" i="11" s="1"/>
  <c r="K36" i="4"/>
  <c r="AO36" i="11" s="1"/>
  <c r="J36" i="4"/>
  <c r="AN36" i="11" s="1"/>
  <c r="I36" i="4"/>
  <c r="AM36" i="11" s="1"/>
  <c r="H36" i="4"/>
  <c r="AL36" i="11" s="1"/>
  <c r="G36" i="4"/>
  <c r="AK36" i="11" s="1"/>
  <c r="F36" i="4"/>
  <c r="AJ36" i="11" s="1"/>
  <c r="E36" i="4"/>
  <c r="AI36" i="11" s="1"/>
  <c r="D36" i="4"/>
  <c r="AH36" i="11" s="1"/>
  <c r="C36" i="4"/>
  <c r="AG36" i="11" s="1"/>
  <c r="B36" i="4"/>
  <c r="AF36" i="11" s="1"/>
  <c r="U35" i="4"/>
  <c r="AY35" i="11" s="1"/>
  <c r="T35" i="4"/>
  <c r="S35" i="4"/>
  <c r="AW35" i="11" s="1"/>
  <c r="R35" i="4"/>
  <c r="Q35" i="4"/>
  <c r="P35" i="4"/>
  <c r="AT35" i="11" s="1"/>
  <c r="O35" i="4"/>
  <c r="AS35" i="11" s="1"/>
  <c r="N35" i="4"/>
  <c r="AR35" i="11" s="1"/>
  <c r="M35" i="4"/>
  <c r="AQ35" i="11" s="1"/>
  <c r="L35" i="4"/>
  <c r="AP35" i="11" s="1"/>
  <c r="K35" i="4"/>
  <c r="AO35" i="11" s="1"/>
  <c r="J35" i="4"/>
  <c r="AN35" i="11" s="1"/>
  <c r="I35" i="4"/>
  <c r="AM35" i="11" s="1"/>
  <c r="H35" i="4"/>
  <c r="AL35" i="11" s="1"/>
  <c r="G35" i="4"/>
  <c r="AK35" i="11" s="1"/>
  <c r="F35" i="4"/>
  <c r="AJ35" i="11" s="1"/>
  <c r="E35" i="4"/>
  <c r="AI35" i="11" s="1"/>
  <c r="D35" i="4"/>
  <c r="AH35" i="11" s="1"/>
  <c r="C35" i="4"/>
  <c r="AG35" i="11" s="1"/>
  <c r="B35" i="4"/>
  <c r="AF35" i="11" s="1"/>
  <c r="U34" i="4"/>
  <c r="AY34" i="11" s="1"/>
  <c r="T34" i="4"/>
  <c r="S34" i="4"/>
  <c r="AW34" i="11" s="1"/>
  <c r="R34" i="4"/>
  <c r="Q34" i="4"/>
  <c r="P34" i="4"/>
  <c r="AT34" i="11" s="1"/>
  <c r="O34" i="4"/>
  <c r="AS34" i="11" s="1"/>
  <c r="N34" i="4"/>
  <c r="AR34" i="11" s="1"/>
  <c r="M34" i="4"/>
  <c r="AQ34" i="11" s="1"/>
  <c r="L34" i="4"/>
  <c r="AP34" i="11" s="1"/>
  <c r="K34" i="4"/>
  <c r="AO34" i="11" s="1"/>
  <c r="J34" i="4"/>
  <c r="AN34" i="11" s="1"/>
  <c r="I34" i="4"/>
  <c r="AM34" i="11" s="1"/>
  <c r="H34" i="4"/>
  <c r="AL34" i="11" s="1"/>
  <c r="G34" i="4"/>
  <c r="AK34" i="11" s="1"/>
  <c r="F34" i="4"/>
  <c r="AJ34" i="11" s="1"/>
  <c r="E34" i="4"/>
  <c r="AI34" i="11" s="1"/>
  <c r="D34" i="4"/>
  <c r="AH34" i="11" s="1"/>
  <c r="C34" i="4"/>
  <c r="AG34" i="11" s="1"/>
  <c r="B34" i="4"/>
  <c r="AF34" i="11" s="1"/>
  <c r="U33" i="4"/>
  <c r="AY33" i="11" s="1"/>
  <c r="T33" i="4"/>
  <c r="S33" i="4"/>
  <c r="AW33" i="11" s="1"/>
  <c r="R33" i="4"/>
  <c r="Q33" i="4"/>
  <c r="P33" i="4"/>
  <c r="AT33" i="11" s="1"/>
  <c r="O33" i="4"/>
  <c r="AS33" i="11" s="1"/>
  <c r="N33" i="4"/>
  <c r="AR33" i="11" s="1"/>
  <c r="M33" i="4"/>
  <c r="AQ33" i="11" s="1"/>
  <c r="L33" i="4"/>
  <c r="AP33" i="11" s="1"/>
  <c r="K33" i="4"/>
  <c r="AO33" i="11" s="1"/>
  <c r="J33" i="4"/>
  <c r="AN33" i="11" s="1"/>
  <c r="I33" i="4"/>
  <c r="AM33" i="11" s="1"/>
  <c r="H33" i="4"/>
  <c r="AL33" i="11" s="1"/>
  <c r="G33" i="4"/>
  <c r="AK33" i="11" s="1"/>
  <c r="F33" i="4"/>
  <c r="AJ33" i="11" s="1"/>
  <c r="E33" i="4"/>
  <c r="AI33" i="11" s="1"/>
  <c r="D33" i="4"/>
  <c r="AH33" i="11" s="1"/>
  <c r="C33" i="4"/>
  <c r="AG33" i="11" s="1"/>
  <c r="B33" i="4"/>
  <c r="AF33" i="11" s="1"/>
  <c r="U32" i="4"/>
  <c r="AY32" i="11" s="1"/>
  <c r="T32" i="4"/>
  <c r="S32" i="4"/>
  <c r="AW32" i="11" s="1"/>
  <c r="R32" i="4"/>
  <c r="Q32" i="4"/>
  <c r="P32" i="4"/>
  <c r="AT32" i="11" s="1"/>
  <c r="O32" i="4"/>
  <c r="AS32" i="11" s="1"/>
  <c r="N32" i="4"/>
  <c r="AR32" i="11" s="1"/>
  <c r="M32" i="4"/>
  <c r="AQ32" i="11" s="1"/>
  <c r="L32" i="4"/>
  <c r="AP32" i="11" s="1"/>
  <c r="K32" i="4"/>
  <c r="AO32" i="11" s="1"/>
  <c r="J32" i="4"/>
  <c r="AN32" i="11" s="1"/>
  <c r="I32" i="4"/>
  <c r="AM32" i="11" s="1"/>
  <c r="H32" i="4"/>
  <c r="AL32" i="11" s="1"/>
  <c r="G32" i="4"/>
  <c r="AK32" i="11" s="1"/>
  <c r="F32" i="4"/>
  <c r="AJ32" i="11" s="1"/>
  <c r="E32" i="4"/>
  <c r="AI32" i="11" s="1"/>
  <c r="D32" i="4"/>
  <c r="AH32" i="11" s="1"/>
  <c r="C32" i="4"/>
  <c r="AG32" i="11" s="1"/>
  <c r="B32" i="4"/>
  <c r="AF32" i="11" s="1"/>
  <c r="U31" i="4"/>
  <c r="AY31" i="11" s="1"/>
  <c r="T31" i="4"/>
  <c r="S31" i="4"/>
  <c r="AW31" i="11" s="1"/>
  <c r="R31" i="4"/>
  <c r="Q31" i="4"/>
  <c r="P31" i="4"/>
  <c r="AT31" i="11" s="1"/>
  <c r="O31" i="4"/>
  <c r="AS31" i="11" s="1"/>
  <c r="N31" i="4"/>
  <c r="AR31" i="11" s="1"/>
  <c r="M31" i="4"/>
  <c r="AQ31" i="11" s="1"/>
  <c r="L31" i="4"/>
  <c r="AP31" i="11" s="1"/>
  <c r="K31" i="4"/>
  <c r="AO31" i="11" s="1"/>
  <c r="J31" i="4"/>
  <c r="AN31" i="11" s="1"/>
  <c r="I31" i="4"/>
  <c r="AM31" i="11" s="1"/>
  <c r="H31" i="4"/>
  <c r="AL31" i="11" s="1"/>
  <c r="G31" i="4"/>
  <c r="AK31" i="11" s="1"/>
  <c r="F31" i="4"/>
  <c r="AJ31" i="11" s="1"/>
  <c r="E31" i="4"/>
  <c r="AI31" i="11" s="1"/>
  <c r="D31" i="4"/>
  <c r="AH31" i="11" s="1"/>
  <c r="C31" i="4"/>
  <c r="AG31" i="11" s="1"/>
  <c r="B31" i="4"/>
  <c r="AF31" i="11" s="1"/>
  <c r="U30" i="4"/>
  <c r="AY30" i="11" s="1"/>
  <c r="T30" i="4"/>
  <c r="S30" i="4"/>
  <c r="AW30" i="11" s="1"/>
  <c r="R30" i="4"/>
  <c r="Q30" i="4"/>
  <c r="P30" i="4"/>
  <c r="AT30" i="11" s="1"/>
  <c r="O30" i="4"/>
  <c r="AS30" i="11" s="1"/>
  <c r="N30" i="4"/>
  <c r="AR30" i="11" s="1"/>
  <c r="M30" i="4"/>
  <c r="AQ30" i="11" s="1"/>
  <c r="L30" i="4"/>
  <c r="AP30" i="11" s="1"/>
  <c r="K30" i="4"/>
  <c r="AO30" i="11" s="1"/>
  <c r="J30" i="4"/>
  <c r="AN30" i="11" s="1"/>
  <c r="I30" i="4"/>
  <c r="AM30" i="11" s="1"/>
  <c r="H30" i="4"/>
  <c r="AL30" i="11" s="1"/>
  <c r="G30" i="4"/>
  <c r="AK30" i="11" s="1"/>
  <c r="F30" i="4"/>
  <c r="AJ30" i="11" s="1"/>
  <c r="E30" i="4"/>
  <c r="AI30" i="11" s="1"/>
  <c r="D30" i="4"/>
  <c r="AH30" i="11" s="1"/>
  <c r="C30" i="4"/>
  <c r="AG30" i="11" s="1"/>
  <c r="B30" i="4"/>
  <c r="AF30" i="11" s="1"/>
  <c r="U29" i="4"/>
  <c r="AY29" i="11" s="1"/>
  <c r="T29" i="4"/>
  <c r="S29" i="4"/>
  <c r="AW29" i="11" s="1"/>
  <c r="R29" i="4"/>
  <c r="Q29" i="4"/>
  <c r="P29" i="4"/>
  <c r="AT29" i="11" s="1"/>
  <c r="O29" i="4"/>
  <c r="AS29" i="11" s="1"/>
  <c r="N29" i="4"/>
  <c r="AR29" i="11" s="1"/>
  <c r="M29" i="4"/>
  <c r="AQ29" i="11" s="1"/>
  <c r="L29" i="4"/>
  <c r="AP29" i="11" s="1"/>
  <c r="K29" i="4"/>
  <c r="AO29" i="11" s="1"/>
  <c r="J29" i="4"/>
  <c r="AN29" i="11" s="1"/>
  <c r="I29" i="4"/>
  <c r="AM29" i="11" s="1"/>
  <c r="H29" i="4"/>
  <c r="AL29" i="11" s="1"/>
  <c r="G29" i="4"/>
  <c r="AK29" i="11" s="1"/>
  <c r="F29" i="4"/>
  <c r="AJ29" i="11" s="1"/>
  <c r="E29" i="4"/>
  <c r="AI29" i="11" s="1"/>
  <c r="D29" i="4"/>
  <c r="AH29" i="11" s="1"/>
  <c r="C29" i="4"/>
  <c r="AG29" i="11" s="1"/>
  <c r="B29" i="4"/>
  <c r="AF29" i="11" s="1"/>
  <c r="U28" i="4"/>
  <c r="AY28" i="11" s="1"/>
  <c r="T28" i="4"/>
  <c r="S28" i="4"/>
  <c r="AW28" i="11" s="1"/>
  <c r="R28" i="4"/>
  <c r="Q28" i="4"/>
  <c r="P28" i="4"/>
  <c r="AT28" i="11" s="1"/>
  <c r="O28" i="4"/>
  <c r="AS28" i="11" s="1"/>
  <c r="N28" i="4"/>
  <c r="AR28" i="11" s="1"/>
  <c r="M28" i="4"/>
  <c r="AQ28" i="11" s="1"/>
  <c r="L28" i="4"/>
  <c r="AP28" i="11" s="1"/>
  <c r="K28" i="4"/>
  <c r="AO28" i="11" s="1"/>
  <c r="J28" i="4"/>
  <c r="AN28" i="11" s="1"/>
  <c r="I28" i="4"/>
  <c r="AM28" i="11" s="1"/>
  <c r="H28" i="4"/>
  <c r="AL28" i="11" s="1"/>
  <c r="G28" i="4"/>
  <c r="AK28" i="11" s="1"/>
  <c r="F28" i="4"/>
  <c r="AJ28" i="11" s="1"/>
  <c r="E28" i="4"/>
  <c r="AI28" i="11" s="1"/>
  <c r="D28" i="4"/>
  <c r="AH28" i="11" s="1"/>
  <c r="C28" i="4"/>
  <c r="AG28" i="11" s="1"/>
  <c r="B28" i="4"/>
  <c r="AF28" i="11" s="1"/>
  <c r="U27" i="4"/>
  <c r="AY27" i="11" s="1"/>
  <c r="T27" i="4"/>
  <c r="S27" i="4"/>
  <c r="AW27" i="11" s="1"/>
  <c r="R27" i="4"/>
  <c r="Q27" i="4"/>
  <c r="P27" i="4"/>
  <c r="AT27" i="11" s="1"/>
  <c r="O27" i="4"/>
  <c r="AS27" i="11" s="1"/>
  <c r="N27" i="4"/>
  <c r="AR27" i="11" s="1"/>
  <c r="M27" i="4"/>
  <c r="AQ27" i="11" s="1"/>
  <c r="L27" i="4"/>
  <c r="AP27" i="11" s="1"/>
  <c r="K27" i="4"/>
  <c r="AO27" i="11" s="1"/>
  <c r="J27" i="4"/>
  <c r="AN27" i="11" s="1"/>
  <c r="I27" i="4"/>
  <c r="AM27" i="11" s="1"/>
  <c r="H27" i="4"/>
  <c r="AL27" i="11" s="1"/>
  <c r="G27" i="4"/>
  <c r="AK27" i="11" s="1"/>
  <c r="F27" i="4"/>
  <c r="AJ27" i="11" s="1"/>
  <c r="E27" i="4"/>
  <c r="AI27" i="11" s="1"/>
  <c r="D27" i="4"/>
  <c r="AH27" i="11" s="1"/>
  <c r="C27" i="4"/>
  <c r="AG27" i="11" s="1"/>
  <c r="B27" i="4"/>
  <c r="AF27" i="11" s="1"/>
  <c r="U26" i="4"/>
  <c r="T26" i="4"/>
  <c r="S26" i="4"/>
  <c r="R26" i="4"/>
  <c r="Q26" i="4"/>
  <c r="P26" i="4"/>
  <c r="O26" i="4"/>
  <c r="N26" i="4"/>
  <c r="M26" i="4"/>
  <c r="L26" i="4"/>
  <c r="K26" i="4"/>
  <c r="J26" i="4"/>
  <c r="I26" i="4"/>
  <c r="H26" i="4"/>
  <c r="G26" i="4"/>
  <c r="F26" i="4"/>
  <c r="E26" i="4"/>
  <c r="D26" i="4"/>
  <c r="C26" i="4"/>
  <c r="B26" i="4"/>
  <c r="U24" i="4"/>
  <c r="AY24" i="11" s="1"/>
  <c r="T24" i="4"/>
  <c r="S24" i="4"/>
  <c r="AW24" i="11" s="1"/>
  <c r="R24" i="4"/>
  <c r="Q24" i="4"/>
  <c r="P24" i="4"/>
  <c r="AT24" i="11" s="1"/>
  <c r="O24" i="4"/>
  <c r="AS24" i="11" s="1"/>
  <c r="N24" i="4"/>
  <c r="AR24" i="11" s="1"/>
  <c r="M24" i="4"/>
  <c r="AQ24" i="11" s="1"/>
  <c r="L24" i="4"/>
  <c r="AP24" i="11" s="1"/>
  <c r="K24" i="4"/>
  <c r="AO24" i="11" s="1"/>
  <c r="J24" i="4"/>
  <c r="I24" i="4"/>
  <c r="AM24" i="11" s="1"/>
  <c r="H24" i="4"/>
  <c r="G24" i="4"/>
  <c r="F24" i="4"/>
  <c r="AJ24" i="11" s="1"/>
  <c r="E24" i="4"/>
  <c r="D24" i="4"/>
  <c r="AH24" i="11" s="1"/>
  <c r="C24" i="4"/>
  <c r="AG24" i="11" s="1"/>
  <c r="B24" i="4"/>
  <c r="AF24" i="11" s="1"/>
  <c r="U23" i="4"/>
  <c r="AY23" i="11" s="1"/>
  <c r="T23" i="4"/>
  <c r="S23" i="4"/>
  <c r="AW23" i="11" s="1"/>
  <c r="R23" i="4"/>
  <c r="Q23" i="4"/>
  <c r="P23" i="4"/>
  <c r="AT23" i="11" s="1"/>
  <c r="O23" i="4"/>
  <c r="AS23" i="11" s="1"/>
  <c r="N23" i="4"/>
  <c r="AR23" i="11" s="1"/>
  <c r="M23" i="4"/>
  <c r="AQ23" i="11" s="1"/>
  <c r="L23" i="4"/>
  <c r="AP23" i="11" s="1"/>
  <c r="K23" i="4"/>
  <c r="AO23" i="11" s="1"/>
  <c r="J23" i="4"/>
  <c r="I23" i="4"/>
  <c r="AM23" i="11" s="1"/>
  <c r="H23" i="4"/>
  <c r="G23" i="4"/>
  <c r="F23" i="4"/>
  <c r="AJ23" i="11" s="1"/>
  <c r="E23" i="4"/>
  <c r="D23" i="4"/>
  <c r="AH23" i="11" s="1"/>
  <c r="C23" i="4"/>
  <c r="AG23" i="11" s="1"/>
  <c r="B23" i="4"/>
  <c r="AF23" i="11" s="1"/>
  <c r="U22" i="4"/>
  <c r="AY22" i="11" s="1"/>
  <c r="T22" i="4"/>
  <c r="S22" i="4"/>
  <c r="AW22" i="11" s="1"/>
  <c r="R22" i="4"/>
  <c r="Q22" i="4"/>
  <c r="P22" i="4"/>
  <c r="AT22" i="11" s="1"/>
  <c r="O22" i="4"/>
  <c r="AS22" i="11" s="1"/>
  <c r="N22" i="4"/>
  <c r="AR22" i="11" s="1"/>
  <c r="M22" i="4"/>
  <c r="AQ22" i="11" s="1"/>
  <c r="L22" i="4"/>
  <c r="AP22" i="11" s="1"/>
  <c r="K22" i="4"/>
  <c r="AO22" i="11" s="1"/>
  <c r="J22" i="4"/>
  <c r="I22" i="4"/>
  <c r="AM22" i="11" s="1"/>
  <c r="H22" i="4"/>
  <c r="G22" i="4"/>
  <c r="F22" i="4"/>
  <c r="AJ22" i="11" s="1"/>
  <c r="E22" i="4"/>
  <c r="D22" i="4"/>
  <c r="AH22" i="11" s="1"/>
  <c r="C22" i="4"/>
  <c r="AG22" i="11" s="1"/>
  <c r="B22" i="4"/>
  <c r="AF22" i="11" s="1"/>
  <c r="U21" i="4"/>
  <c r="AY21" i="11" s="1"/>
  <c r="T21" i="4"/>
  <c r="S21" i="4"/>
  <c r="AW21" i="11" s="1"/>
  <c r="R21" i="4"/>
  <c r="Q21" i="4"/>
  <c r="P21" i="4"/>
  <c r="AT21" i="11" s="1"/>
  <c r="O21" i="4"/>
  <c r="AS21" i="11" s="1"/>
  <c r="N21" i="4"/>
  <c r="AR21" i="11" s="1"/>
  <c r="M21" i="4"/>
  <c r="AQ21" i="11" s="1"/>
  <c r="L21" i="4"/>
  <c r="AP21" i="11" s="1"/>
  <c r="K21" i="4"/>
  <c r="AO21" i="11" s="1"/>
  <c r="J21" i="4"/>
  <c r="I21" i="4"/>
  <c r="AM21" i="11" s="1"/>
  <c r="H21" i="4"/>
  <c r="G21" i="4"/>
  <c r="F21" i="4"/>
  <c r="AJ21" i="11" s="1"/>
  <c r="E21" i="4"/>
  <c r="D21" i="4"/>
  <c r="AH21" i="11" s="1"/>
  <c r="C21" i="4"/>
  <c r="AG21" i="11" s="1"/>
  <c r="B21" i="4"/>
  <c r="AF21" i="11" s="1"/>
  <c r="U20" i="4"/>
  <c r="AY20" i="11" s="1"/>
  <c r="T20" i="4"/>
  <c r="S20" i="4"/>
  <c r="AW20" i="11" s="1"/>
  <c r="R20" i="4"/>
  <c r="Q20" i="4"/>
  <c r="P20" i="4"/>
  <c r="AT20" i="11" s="1"/>
  <c r="O20" i="4"/>
  <c r="AS20" i="11" s="1"/>
  <c r="N20" i="4"/>
  <c r="AR20" i="11" s="1"/>
  <c r="M20" i="4"/>
  <c r="AQ20" i="11" s="1"/>
  <c r="L20" i="4"/>
  <c r="AP20" i="11" s="1"/>
  <c r="K20" i="4"/>
  <c r="AO20" i="11" s="1"/>
  <c r="J20" i="4"/>
  <c r="I20" i="4"/>
  <c r="AM20" i="11" s="1"/>
  <c r="H20" i="4"/>
  <c r="G20" i="4"/>
  <c r="F20" i="4"/>
  <c r="AJ20" i="11" s="1"/>
  <c r="E20" i="4"/>
  <c r="D20" i="4"/>
  <c r="AH20" i="11" s="1"/>
  <c r="C20" i="4"/>
  <c r="AG20" i="11" s="1"/>
  <c r="B20" i="4"/>
  <c r="AF20" i="11" s="1"/>
  <c r="U19" i="4"/>
  <c r="AY19" i="11" s="1"/>
  <c r="T19" i="4"/>
  <c r="S19" i="4"/>
  <c r="AW19" i="11" s="1"/>
  <c r="R19" i="4"/>
  <c r="Q19" i="4"/>
  <c r="P19" i="4"/>
  <c r="AT19" i="11" s="1"/>
  <c r="O19" i="4"/>
  <c r="AS19" i="11" s="1"/>
  <c r="N19" i="4"/>
  <c r="AR19" i="11" s="1"/>
  <c r="M19" i="4"/>
  <c r="AQ19" i="11" s="1"/>
  <c r="L19" i="4"/>
  <c r="AP19" i="11" s="1"/>
  <c r="K19" i="4"/>
  <c r="AO19" i="11" s="1"/>
  <c r="J19" i="4"/>
  <c r="I19" i="4"/>
  <c r="AM19" i="11" s="1"/>
  <c r="H19" i="4"/>
  <c r="G19" i="4"/>
  <c r="F19" i="4"/>
  <c r="AJ19" i="11" s="1"/>
  <c r="E19" i="4"/>
  <c r="D19" i="4"/>
  <c r="AH19" i="11" s="1"/>
  <c r="C19" i="4"/>
  <c r="AG19" i="11" s="1"/>
  <c r="B19" i="4"/>
  <c r="AF19" i="11" s="1"/>
  <c r="U18" i="4"/>
  <c r="AY18" i="11" s="1"/>
  <c r="T18" i="4"/>
  <c r="S18" i="4"/>
  <c r="AW18" i="11" s="1"/>
  <c r="R18" i="4"/>
  <c r="Q18" i="4"/>
  <c r="P18" i="4"/>
  <c r="AT18" i="11" s="1"/>
  <c r="O18" i="4"/>
  <c r="AS18" i="11" s="1"/>
  <c r="N18" i="4"/>
  <c r="AR18" i="11" s="1"/>
  <c r="M18" i="4"/>
  <c r="AQ18" i="11" s="1"/>
  <c r="L18" i="4"/>
  <c r="AP18" i="11" s="1"/>
  <c r="K18" i="4"/>
  <c r="AO18" i="11" s="1"/>
  <c r="J18" i="4"/>
  <c r="I18" i="4"/>
  <c r="AM18" i="11" s="1"/>
  <c r="H18" i="4"/>
  <c r="G18" i="4"/>
  <c r="F18" i="4"/>
  <c r="AJ18" i="11" s="1"/>
  <c r="E18" i="4"/>
  <c r="D18" i="4"/>
  <c r="AH18" i="11" s="1"/>
  <c r="C18" i="4"/>
  <c r="AG18" i="11" s="1"/>
  <c r="B18" i="4"/>
  <c r="AF18" i="11" s="1"/>
  <c r="U17" i="4"/>
  <c r="AY17" i="11" s="1"/>
  <c r="T17" i="4"/>
  <c r="S17" i="4"/>
  <c r="AW17" i="11" s="1"/>
  <c r="R17" i="4"/>
  <c r="Q17" i="4"/>
  <c r="P17" i="4"/>
  <c r="AT17" i="11" s="1"/>
  <c r="O17" i="4"/>
  <c r="AS17" i="11" s="1"/>
  <c r="N17" i="4"/>
  <c r="AR17" i="11" s="1"/>
  <c r="M17" i="4"/>
  <c r="AQ17" i="11" s="1"/>
  <c r="L17" i="4"/>
  <c r="AP17" i="11" s="1"/>
  <c r="K17" i="4"/>
  <c r="AO17" i="11" s="1"/>
  <c r="J17" i="4"/>
  <c r="I17" i="4"/>
  <c r="AM17" i="11" s="1"/>
  <c r="H17" i="4"/>
  <c r="G17" i="4"/>
  <c r="F17" i="4"/>
  <c r="AJ17" i="11" s="1"/>
  <c r="E17" i="4"/>
  <c r="D17" i="4"/>
  <c r="AH17" i="11" s="1"/>
  <c r="C17" i="4"/>
  <c r="AG17" i="11" s="1"/>
  <c r="B17" i="4"/>
  <c r="AF17" i="11" s="1"/>
  <c r="U16" i="4"/>
  <c r="AY16" i="11" s="1"/>
  <c r="T16" i="4"/>
  <c r="S16" i="4"/>
  <c r="AW16" i="11" s="1"/>
  <c r="R16" i="4"/>
  <c r="Q16" i="4"/>
  <c r="P16" i="4"/>
  <c r="AT16" i="11" s="1"/>
  <c r="O16" i="4"/>
  <c r="AS16" i="11" s="1"/>
  <c r="N16" i="4"/>
  <c r="AR16" i="11" s="1"/>
  <c r="M16" i="4"/>
  <c r="AQ16" i="11" s="1"/>
  <c r="L16" i="4"/>
  <c r="AP16" i="11" s="1"/>
  <c r="K16" i="4"/>
  <c r="AO16" i="11" s="1"/>
  <c r="J16" i="4"/>
  <c r="I16" i="4"/>
  <c r="AM16" i="11" s="1"/>
  <c r="H16" i="4"/>
  <c r="G16" i="4"/>
  <c r="F16" i="4"/>
  <c r="AJ16" i="11" s="1"/>
  <c r="E16" i="4"/>
  <c r="D16" i="4"/>
  <c r="C16" i="4"/>
  <c r="AG16" i="11" s="1"/>
  <c r="B16" i="4"/>
  <c r="AF16" i="11" s="1"/>
  <c r="U15" i="4"/>
  <c r="AY15" i="11" s="1"/>
  <c r="T15" i="4"/>
  <c r="S15" i="4"/>
  <c r="AW15" i="11" s="1"/>
  <c r="R15" i="4"/>
  <c r="Q15" i="4"/>
  <c r="P15" i="4"/>
  <c r="AT15" i="11" s="1"/>
  <c r="O15" i="4"/>
  <c r="AS15" i="11" s="1"/>
  <c r="N15" i="4"/>
  <c r="AR15" i="11" s="1"/>
  <c r="M15" i="4"/>
  <c r="AQ15" i="11" s="1"/>
  <c r="L15" i="4"/>
  <c r="AP15" i="11" s="1"/>
  <c r="K15" i="4"/>
  <c r="AO15" i="11" s="1"/>
  <c r="J15" i="4"/>
  <c r="I15" i="4"/>
  <c r="AM15" i="11" s="1"/>
  <c r="H15" i="4"/>
  <c r="G15" i="4"/>
  <c r="F15" i="4"/>
  <c r="AJ15" i="11" s="1"/>
  <c r="E15" i="4"/>
  <c r="D15" i="4"/>
  <c r="AH15" i="11" s="1"/>
  <c r="C15" i="4"/>
  <c r="AG15" i="11" s="1"/>
  <c r="B15" i="4"/>
  <c r="AF15" i="11" s="1"/>
  <c r="U14" i="4"/>
  <c r="AY14" i="11" s="1"/>
  <c r="T14" i="4"/>
  <c r="S14" i="4"/>
  <c r="AW14" i="11" s="1"/>
  <c r="R14" i="4"/>
  <c r="Q14" i="4"/>
  <c r="P14" i="4"/>
  <c r="AT14" i="11" s="1"/>
  <c r="O14" i="4"/>
  <c r="AS14" i="11" s="1"/>
  <c r="N14" i="4"/>
  <c r="AR14" i="11" s="1"/>
  <c r="M14" i="4"/>
  <c r="AQ14" i="11" s="1"/>
  <c r="L14" i="4"/>
  <c r="AP14" i="11" s="1"/>
  <c r="K14" i="4"/>
  <c r="AO14" i="11" s="1"/>
  <c r="J14" i="4"/>
  <c r="I14" i="4"/>
  <c r="AM14" i="11" s="1"/>
  <c r="H14" i="4"/>
  <c r="G14" i="4"/>
  <c r="F14" i="4"/>
  <c r="AJ14" i="11" s="1"/>
  <c r="E14" i="4"/>
  <c r="D14" i="4"/>
  <c r="AH14" i="11" s="1"/>
  <c r="C14" i="4"/>
  <c r="AG14" i="11" s="1"/>
  <c r="B14" i="4"/>
  <c r="AF14" i="11" s="1"/>
  <c r="U13" i="4"/>
  <c r="AY13" i="11" s="1"/>
  <c r="T13" i="4"/>
  <c r="S13" i="4"/>
  <c r="AW13" i="11" s="1"/>
  <c r="R13" i="4"/>
  <c r="Q13" i="4"/>
  <c r="P13" i="4"/>
  <c r="AT13" i="11" s="1"/>
  <c r="O13" i="4"/>
  <c r="AS13" i="11" s="1"/>
  <c r="N13" i="4"/>
  <c r="AR13" i="11" s="1"/>
  <c r="M13" i="4"/>
  <c r="AQ13" i="11" s="1"/>
  <c r="L13" i="4"/>
  <c r="AP13" i="11" s="1"/>
  <c r="K13" i="4"/>
  <c r="AO13" i="11" s="1"/>
  <c r="J13" i="4"/>
  <c r="I13" i="4"/>
  <c r="AM13" i="11" s="1"/>
  <c r="H13" i="4"/>
  <c r="AL13" i="11" s="1"/>
  <c r="G13" i="4"/>
  <c r="F13" i="4"/>
  <c r="AJ13" i="11" s="1"/>
  <c r="E13" i="4"/>
  <c r="D13" i="4"/>
  <c r="AH13" i="11" s="1"/>
  <c r="C13" i="4"/>
  <c r="AG13" i="11" s="1"/>
  <c r="B13" i="4"/>
  <c r="AF13" i="11" s="1"/>
  <c r="U12" i="4"/>
  <c r="AY12" i="11" s="1"/>
  <c r="T12" i="4"/>
  <c r="S12" i="4"/>
  <c r="AW12" i="11" s="1"/>
  <c r="R12" i="4"/>
  <c r="Q12" i="4"/>
  <c r="P12" i="4"/>
  <c r="AT12" i="11" s="1"/>
  <c r="O12" i="4"/>
  <c r="AS12" i="11" s="1"/>
  <c r="N12" i="4"/>
  <c r="AR12" i="11" s="1"/>
  <c r="M12" i="4"/>
  <c r="AQ12" i="11" s="1"/>
  <c r="L12" i="4"/>
  <c r="AP12" i="11" s="1"/>
  <c r="K12" i="4"/>
  <c r="AO12" i="11" s="1"/>
  <c r="J12" i="4"/>
  <c r="I12" i="4"/>
  <c r="AM12" i="11" s="1"/>
  <c r="H12" i="4"/>
  <c r="G12" i="4"/>
  <c r="F12" i="4"/>
  <c r="AJ12" i="11" s="1"/>
  <c r="E12" i="4"/>
  <c r="D12" i="4"/>
  <c r="AH12" i="11" s="1"/>
  <c r="C12" i="4"/>
  <c r="AG12" i="11" s="1"/>
  <c r="B12" i="4"/>
  <c r="AF12" i="11" s="1"/>
  <c r="U11" i="4"/>
  <c r="AY11" i="11" s="1"/>
  <c r="T11" i="4"/>
  <c r="S11" i="4"/>
  <c r="AW11" i="11" s="1"/>
  <c r="R11" i="4"/>
  <c r="Q11" i="4"/>
  <c r="P11" i="4"/>
  <c r="AT11" i="11" s="1"/>
  <c r="O11" i="4"/>
  <c r="AS11" i="11" s="1"/>
  <c r="N11" i="4"/>
  <c r="AR11" i="11" s="1"/>
  <c r="M11" i="4"/>
  <c r="AQ11" i="11" s="1"/>
  <c r="L11" i="4"/>
  <c r="AP11" i="11" s="1"/>
  <c r="K11" i="4"/>
  <c r="AO11" i="11" s="1"/>
  <c r="J11" i="4"/>
  <c r="I11" i="4"/>
  <c r="AM11" i="11" s="1"/>
  <c r="H11" i="4"/>
  <c r="AL11" i="11" s="1"/>
  <c r="G11" i="4"/>
  <c r="AK11" i="11" s="1"/>
  <c r="F11" i="4"/>
  <c r="AJ11" i="11" s="1"/>
  <c r="E11" i="4"/>
  <c r="AI11" i="11" s="1"/>
  <c r="D11" i="4"/>
  <c r="AH11" i="11" s="1"/>
  <c r="C11" i="4"/>
  <c r="AG11" i="11" s="1"/>
  <c r="B11" i="4"/>
  <c r="AF11" i="11" s="1"/>
  <c r="U10" i="4"/>
  <c r="AY10" i="11" s="1"/>
  <c r="T10" i="4"/>
  <c r="S10" i="4"/>
  <c r="AW10" i="11" s="1"/>
  <c r="R10" i="4"/>
  <c r="Q10" i="4"/>
  <c r="P10" i="4"/>
  <c r="AT10" i="11" s="1"/>
  <c r="O10" i="4"/>
  <c r="AS10" i="11" s="1"/>
  <c r="N10" i="4"/>
  <c r="AR10" i="11" s="1"/>
  <c r="M10" i="4"/>
  <c r="AQ10" i="11" s="1"/>
  <c r="L10" i="4"/>
  <c r="AP10" i="11" s="1"/>
  <c r="K10" i="4"/>
  <c r="AO10" i="11" s="1"/>
  <c r="J10" i="4"/>
  <c r="I10" i="4"/>
  <c r="AM10" i="11" s="1"/>
  <c r="H10" i="4"/>
  <c r="G10" i="4"/>
  <c r="F10" i="4"/>
  <c r="AJ10" i="11" s="1"/>
  <c r="E10" i="4"/>
  <c r="D10" i="4"/>
  <c r="AH10" i="11" s="1"/>
  <c r="C10" i="4"/>
  <c r="AG10" i="11" s="1"/>
  <c r="B10" i="4"/>
  <c r="AF10" i="11" s="1"/>
  <c r="U9" i="4"/>
  <c r="AY9" i="11" s="1"/>
  <c r="T9" i="4"/>
  <c r="S9" i="4"/>
  <c r="AW9" i="11" s="1"/>
  <c r="R9" i="4"/>
  <c r="Q9" i="4"/>
  <c r="P9" i="4"/>
  <c r="AT9" i="11" s="1"/>
  <c r="O9" i="4"/>
  <c r="AS9" i="11" s="1"/>
  <c r="N9" i="4"/>
  <c r="AR9" i="11" s="1"/>
  <c r="M9" i="4"/>
  <c r="AQ9" i="11" s="1"/>
  <c r="L9" i="4"/>
  <c r="AP9" i="11" s="1"/>
  <c r="K9" i="4"/>
  <c r="AO9" i="11" s="1"/>
  <c r="J9" i="4"/>
  <c r="I9" i="4"/>
  <c r="AM9" i="11" s="1"/>
  <c r="H9" i="4"/>
  <c r="G9" i="4"/>
  <c r="F9" i="4"/>
  <c r="AJ9" i="11" s="1"/>
  <c r="E9" i="4"/>
  <c r="D9" i="4"/>
  <c r="AH9" i="11" s="1"/>
  <c r="C9" i="4"/>
  <c r="AG9" i="11" s="1"/>
  <c r="B9" i="4"/>
  <c r="AF9" i="11" s="1"/>
  <c r="U8" i="4"/>
  <c r="T8" i="4"/>
  <c r="S8" i="4"/>
  <c r="R8" i="4"/>
  <c r="Q8" i="4"/>
  <c r="P8" i="4"/>
  <c r="O8" i="4"/>
  <c r="N8" i="4"/>
  <c r="M8" i="4"/>
  <c r="L8" i="4"/>
  <c r="K8" i="4"/>
  <c r="J8" i="4"/>
  <c r="I8" i="4"/>
  <c r="H8" i="4"/>
  <c r="G8" i="4"/>
  <c r="F8" i="4"/>
  <c r="E8" i="4"/>
  <c r="D8" i="4"/>
  <c r="C8" i="4"/>
  <c r="B8" i="4"/>
  <c r="U65" i="23"/>
  <c r="AY65" i="31" s="1"/>
  <c r="S65" i="23"/>
  <c r="AW65" i="31" s="1"/>
  <c r="R65" i="23"/>
  <c r="Q65" i="23"/>
  <c r="P65" i="23"/>
  <c r="AT65" i="31" s="1"/>
  <c r="O65" i="23"/>
  <c r="AS65" i="31" s="1"/>
  <c r="N65" i="23"/>
  <c r="AR65" i="31" s="1"/>
  <c r="M65" i="23"/>
  <c r="AQ65" i="31" s="1"/>
  <c r="L65" i="23"/>
  <c r="AP65" i="31" s="1"/>
  <c r="K65" i="23"/>
  <c r="AO65" i="31" s="1"/>
  <c r="J65" i="23"/>
  <c r="AN65" i="31" s="1"/>
  <c r="I65" i="23"/>
  <c r="AM65" i="31" s="1"/>
  <c r="H65" i="23"/>
  <c r="AL65" i="31" s="1"/>
  <c r="G65" i="23"/>
  <c r="AK65" i="31" s="1"/>
  <c r="F65" i="23"/>
  <c r="AJ65" i="31" s="1"/>
  <c r="E65" i="23"/>
  <c r="AI65" i="31" s="1"/>
  <c r="D65" i="23"/>
  <c r="AH65" i="31" s="1"/>
  <c r="C65" i="23"/>
  <c r="AG65" i="31" s="1"/>
  <c r="B65" i="23"/>
  <c r="AF65" i="31" s="1"/>
  <c r="U64" i="23"/>
  <c r="AY64" i="31" s="1"/>
  <c r="T64" i="23"/>
  <c r="S64" i="23"/>
  <c r="AW64" i="31" s="1"/>
  <c r="R64" i="23"/>
  <c r="Q64" i="23"/>
  <c r="P64" i="23"/>
  <c r="AT64" i="31" s="1"/>
  <c r="O64" i="23"/>
  <c r="AS64" i="31" s="1"/>
  <c r="N64" i="23"/>
  <c r="AR64" i="31" s="1"/>
  <c r="M64" i="23"/>
  <c r="AQ64" i="31" s="1"/>
  <c r="L64" i="23"/>
  <c r="AP64" i="31" s="1"/>
  <c r="K64" i="23"/>
  <c r="AO64" i="31" s="1"/>
  <c r="J64" i="23"/>
  <c r="AN64" i="31" s="1"/>
  <c r="I64" i="23"/>
  <c r="AM64" i="31" s="1"/>
  <c r="H64" i="23"/>
  <c r="AL64" i="31" s="1"/>
  <c r="G64" i="23"/>
  <c r="AK64" i="31" s="1"/>
  <c r="F64" i="23"/>
  <c r="AJ64" i="31" s="1"/>
  <c r="E64" i="23"/>
  <c r="AI64" i="31" s="1"/>
  <c r="D64" i="23"/>
  <c r="AH64" i="31" s="1"/>
  <c r="C64" i="23"/>
  <c r="AG64" i="31" s="1"/>
  <c r="B64" i="23"/>
  <c r="AF64" i="31" s="1"/>
  <c r="U63" i="23"/>
  <c r="AY63" i="31" s="1"/>
  <c r="T63" i="23"/>
  <c r="S63" i="23"/>
  <c r="AW63" i="31" s="1"/>
  <c r="R63" i="23"/>
  <c r="Q63" i="23"/>
  <c r="P63" i="23"/>
  <c r="AT63" i="31" s="1"/>
  <c r="O63" i="23"/>
  <c r="AS63" i="31" s="1"/>
  <c r="N63" i="23"/>
  <c r="AR63" i="31" s="1"/>
  <c r="M63" i="23"/>
  <c r="AQ63" i="31" s="1"/>
  <c r="L63" i="23"/>
  <c r="AP63" i="31" s="1"/>
  <c r="K63" i="23"/>
  <c r="AO63" i="31" s="1"/>
  <c r="J63" i="23"/>
  <c r="AN63" i="31" s="1"/>
  <c r="I63" i="23"/>
  <c r="AM63" i="31" s="1"/>
  <c r="H63" i="23"/>
  <c r="AL63" i="31" s="1"/>
  <c r="G63" i="23"/>
  <c r="AK63" i="31" s="1"/>
  <c r="F63" i="23"/>
  <c r="AJ63" i="31" s="1"/>
  <c r="E63" i="23"/>
  <c r="AI63" i="31" s="1"/>
  <c r="D63" i="23"/>
  <c r="AH63" i="31" s="1"/>
  <c r="C63" i="23"/>
  <c r="AG63" i="31" s="1"/>
  <c r="B63" i="23"/>
  <c r="AF63" i="31" s="1"/>
  <c r="U62" i="23"/>
  <c r="AY62" i="31" s="1"/>
  <c r="T62" i="23"/>
  <c r="S62" i="23"/>
  <c r="AW62" i="31" s="1"/>
  <c r="R62" i="23"/>
  <c r="Q62" i="23"/>
  <c r="P62" i="23"/>
  <c r="AT62" i="31" s="1"/>
  <c r="O62" i="23"/>
  <c r="AS62" i="31" s="1"/>
  <c r="N62" i="23"/>
  <c r="AR62" i="31" s="1"/>
  <c r="M62" i="23"/>
  <c r="AQ62" i="31" s="1"/>
  <c r="L62" i="23"/>
  <c r="AP62" i="31" s="1"/>
  <c r="K62" i="23"/>
  <c r="AO62" i="31" s="1"/>
  <c r="J62" i="23"/>
  <c r="AN62" i="31" s="1"/>
  <c r="I62" i="23"/>
  <c r="AM62" i="31" s="1"/>
  <c r="H62" i="23"/>
  <c r="AL62" i="31" s="1"/>
  <c r="G62" i="23"/>
  <c r="AK62" i="31" s="1"/>
  <c r="F62" i="23"/>
  <c r="AJ62" i="31" s="1"/>
  <c r="E62" i="23"/>
  <c r="AI62" i="31" s="1"/>
  <c r="D62" i="23"/>
  <c r="AH62" i="31" s="1"/>
  <c r="C62" i="23"/>
  <c r="AG62" i="31" s="1"/>
  <c r="B62" i="23"/>
  <c r="AF62" i="31" s="1"/>
  <c r="U61" i="23"/>
  <c r="AY61" i="31" s="1"/>
  <c r="T61" i="23"/>
  <c r="S61" i="23"/>
  <c r="AW61" i="31" s="1"/>
  <c r="R61" i="23"/>
  <c r="Q61" i="23"/>
  <c r="P61" i="23"/>
  <c r="AT61" i="31" s="1"/>
  <c r="O61" i="23"/>
  <c r="AS61" i="31" s="1"/>
  <c r="N61" i="23"/>
  <c r="AR61" i="31" s="1"/>
  <c r="M61" i="23"/>
  <c r="AQ61" i="31" s="1"/>
  <c r="L61" i="23"/>
  <c r="AP61" i="31" s="1"/>
  <c r="K61" i="23"/>
  <c r="AO61" i="31" s="1"/>
  <c r="J61" i="23"/>
  <c r="AN61" i="31" s="1"/>
  <c r="I61" i="23"/>
  <c r="AM61" i="31" s="1"/>
  <c r="H61" i="23"/>
  <c r="AL61" i="31" s="1"/>
  <c r="G61" i="23"/>
  <c r="AK61" i="31" s="1"/>
  <c r="F61" i="23"/>
  <c r="AJ61" i="31" s="1"/>
  <c r="E61" i="23"/>
  <c r="AI61" i="31" s="1"/>
  <c r="D61" i="23"/>
  <c r="AH61" i="31" s="1"/>
  <c r="C61" i="23"/>
  <c r="AG61" i="31" s="1"/>
  <c r="B61" i="23"/>
  <c r="AF61" i="31" s="1"/>
  <c r="U60" i="23"/>
  <c r="AY60" i="31" s="1"/>
  <c r="T60" i="23"/>
  <c r="S60" i="23"/>
  <c r="AW60" i="31" s="1"/>
  <c r="R60" i="23"/>
  <c r="Q60" i="23"/>
  <c r="P60" i="23"/>
  <c r="AT60" i="31" s="1"/>
  <c r="O60" i="23"/>
  <c r="AS60" i="31" s="1"/>
  <c r="N60" i="23"/>
  <c r="AR60" i="31" s="1"/>
  <c r="M60" i="23"/>
  <c r="AQ60" i="31" s="1"/>
  <c r="L60" i="23"/>
  <c r="AP60" i="31" s="1"/>
  <c r="K60" i="23"/>
  <c r="AO60" i="31" s="1"/>
  <c r="J60" i="23"/>
  <c r="AN60" i="31" s="1"/>
  <c r="I60" i="23"/>
  <c r="AM60" i="31" s="1"/>
  <c r="H60" i="23"/>
  <c r="AL60" i="31" s="1"/>
  <c r="G60" i="23"/>
  <c r="AK60" i="31" s="1"/>
  <c r="F60" i="23"/>
  <c r="AJ60" i="31" s="1"/>
  <c r="E60" i="23"/>
  <c r="AI60" i="31" s="1"/>
  <c r="D60" i="23"/>
  <c r="AH60" i="31" s="1"/>
  <c r="C60" i="23"/>
  <c r="AG60" i="31" s="1"/>
  <c r="B60" i="23"/>
  <c r="AF60" i="31" s="1"/>
  <c r="U59" i="23"/>
  <c r="AY59" i="31" s="1"/>
  <c r="T59" i="23"/>
  <c r="S59" i="23"/>
  <c r="AW59" i="31" s="1"/>
  <c r="R59" i="23"/>
  <c r="Q59" i="23"/>
  <c r="P59" i="23"/>
  <c r="AT59" i="31" s="1"/>
  <c r="O59" i="23"/>
  <c r="AS59" i="31" s="1"/>
  <c r="N59" i="23"/>
  <c r="AR59" i="31" s="1"/>
  <c r="M59" i="23"/>
  <c r="AQ59" i="31" s="1"/>
  <c r="L59" i="23"/>
  <c r="AP59" i="31" s="1"/>
  <c r="K59" i="23"/>
  <c r="AO59" i="31" s="1"/>
  <c r="J59" i="23"/>
  <c r="AN59" i="31" s="1"/>
  <c r="I59" i="23"/>
  <c r="AM59" i="31" s="1"/>
  <c r="H59" i="23"/>
  <c r="AL59" i="31" s="1"/>
  <c r="G59" i="23"/>
  <c r="AK59" i="31" s="1"/>
  <c r="F59" i="23"/>
  <c r="AJ59" i="31" s="1"/>
  <c r="E59" i="23"/>
  <c r="AI59" i="31" s="1"/>
  <c r="D59" i="23"/>
  <c r="AH59" i="31" s="1"/>
  <c r="C59" i="23"/>
  <c r="AG59" i="31" s="1"/>
  <c r="B59" i="23"/>
  <c r="AF59" i="31" s="1"/>
  <c r="U58" i="23"/>
  <c r="AY58" i="31" s="1"/>
  <c r="T58" i="23"/>
  <c r="S58" i="23"/>
  <c r="AW58" i="31" s="1"/>
  <c r="R58" i="23"/>
  <c r="Q58" i="23"/>
  <c r="P58" i="23"/>
  <c r="AT58" i="31" s="1"/>
  <c r="O58" i="23"/>
  <c r="AS58" i="31" s="1"/>
  <c r="N58" i="23"/>
  <c r="AR58" i="31" s="1"/>
  <c r="M58" i="23"/>
  <c r="AQ58" i="31" s="1"/>
  <c r="L58" i="23"/>
  <c r="AP58" i="31" s="1"/>
  <c r="K58" i="23"/>
  <c r="AO58" i="31" s="1"/>
  <c r="J58" i="23"/>
  <c r="AN58" i="31" s="1"/>
  <c r="I58" i="23"/>
  <c r="AM58" i="31" s="1"/>
  <c r="H58" i="23"/>
  <c r="AL58" i="31" s="1"/>
  <c r="G58" i="23"/>
  <c r="AK58" i="31" s="1"/>
  <c r="F58" i="23"/>
  <c r="AJ58" i="31" s="1"/>
  <c r="E58" i="23"/>
  <c r="AI58" i="31" s="1"/>
  <c r="D58" i="23"/>
  <c r="AH58" i="31" s="1"/>
  <c r="C58" i="23"/>
  <c r="AG58" i="31" s="1"/>
  <c r="B58" i="23"/>
  <c r="AF58" i="31" s="1"/>
  <c r="U57" i="23"/>
  <c r="AY57" i="31" s="1"/>
  <c r="T57" i="23"/>
  <c r="S57" i="23"/>
  <c r="AW57" i="31" s="1"/>
  <c r="R57" i="23"/>
  <c r="Q57" i="23"/>
  <c r="P57" i="23"/>
  <c r="AT57" i="31" s="1"/>
  <c r="O57" i="23"/>
  <c r="AS57" i="31" s="1"/>
  <c r="N57" i="23"/>
  <c r="AR57" i="31" s="1"/>
  <c r="M57" i="23"/>
  <c r="AQ57" i="31" s="1"/>
  <c r="L57" i="23"/>
  <c r="AP57" i="31" s="1"/>
  <c r="K57" i="23"/>
  <c r="AO57" i="31" s="1"/>
  <c r="J57" i="23"/>
  <c r="AN57" i="31" s="1"/>
  <c r="I57" i="23"/>
  <c r="AM57" i="31" s="1"/>
  <c r="H57" i="23"/>
  <c r="AL57" i="31" s="1"/>
  <c r="G57" i="23"/>
  <c r="AK57" i="31" s="1"/>
  <c r="F57" i="23"/>
  <c r="AJ57" i="31" s="1"/>
  <c r="E57" i="23"/>
  <c r="AI57" i="31" s="1"/>
  <c r="D57" i="23"/>
  <c r="AH57" i="31" s="1"/>
  <c r="C57" i="23"/>
  <c r="AG57" i="31" s="1"/>
  <c r="B57" i="23"/>
  <c r="AF57" i="31" s="1"/>
  <c r="U56" i="23"/>
  <c r="AY56" i="31" s="1"/>
  <c r="T56" i="23"/>
  <c r="S56" i="23"/>
  <c r="AW56" i="31" s="1"/>
  <c r="R56" i="23"/>
  <c r="Q56" i="23"/>
  <c r="P56" i="23"/>
  <c r="AT56" i="31" s="1"/>
  <c r="O56" i="23"/>
  <c r="AS56" i="31" s="1"/>
  <c r="N56" i="23"/>
  <c r="AR56" i="31" s="1"/>
  <c r="M56" i="23"/>
  <c r="AQ56" i="31" s="1"/>
  <c r="L56" i="23"/>
  <c r="AP56" i="31" s="1"/>
  <c r="K56" i="23"/>
  <c r="AO56" i="31" s="1"/>
  <c r="J56" i="23"/>
  <c r="AN56" i="31" s="1"/>
  <c r="I56" i="23"/>
  <c r="AM56" i="31" s="1"/>
  <c r="H56" i="23"/>
  <c r="AL56" i="31" s="1"/>
  <c r="AK56" i="31"/>
  <c r="F56" i="23"/>
  <c r="AJ56" i="31" s="1"/>
  <c r="E56" i="23"/>
  <c r="AI56" i="31" s="1"/>
  <c r="D56" i="23"/>
  <c r="AH56" i="31" s="1"/>
  <c r="C56" i="23"/>
  <c r="AG56" i="31" s="1"/>
  <c r="B56" i="23"/>
  <c r="AF56" i="31" s="1"/>
  <c r="U55" i="23"/>
  <c r="T55" i="23"/>
  <c r="S55" i="23"/>
  <c r="R55" i="23"/>
  <c r="Q55" i="23"/>
  <c r="P55" i="23"/>
  <c r="O55" i="23"/>
  <c r="N55" i="23"/>
  <c r="M55" i="23"/>
  <c r="L55" i="23"/>
  <c r="K55" i="23"/>
  <c r="J55" i="23"/>
  <c r="I55" i="23"/>
  <c r="H55" i="23"/>
  <c r="G55" i="23"/>
  <c r="F55" i="23"/>
  <c r="E55" i="23"/>
  <c r="D55" i="23"/>
  <c r="C55" i="23"/>
  <c r="B55" i="23"/>
  <c r="U53" i="23"/>
  <c r="AY53" i="31" s="1"/>
  <c r="T53" i="23"/>
  <c r="S53" i="23"/>
  <c r="AW53" i="31" s="1"/>
  <c r="R53" i="23"/>
  <c r="Q53" i="23"/>
  <c r="P53" i="23"/>
  <c r="AT53" i="31" s="1"/>
  <c r="O53" i="23"/>
  <c r="AS53" i="31" s="1"/>
  <c r="N53" i="23"/>
  <c r="AR53" i="31" s="1"/>
  <c r="M53" i="23"/>
  <c r="AQ53" i="31" s="1"/>
  <c r="L53" i="23"/>
  <c r="AP53" i="31" s="1"/>
  <c r="K53" i="23"/>
  <c r="AO53" i="31" s="1"/>
  <c r="J53" i="23"/>
  <c r="AN53" i="31" s="1"/>
  <c r="I53" i="23"/>
  <c r="AM53" i="31" s="1"/>
  <c r="H53" i="23"/>
  <c r="AL53" i="31" s="1"/>
  <c r="G53" i="23"/>
  <c r="AK53" i="31" s="1"/>
  <c r="F53" i="23"/>
  <c r="AJ53" i="31" s="1"/>
  <c r="E53" i="23"/>
  <c r="AI53" i="31" s="1"/>
  <c r="D53" i="23"/>
  <c r="AH53" i="31" s="1"/>
  <c r="C53" i="23"/>
  <c r="AG53" i="31" s="1"/>
  <c r="B53" i="23"/>
  <c r="AF53" i="31" s="1"/>
  <c r="U52" i="23"/>
  <c r="AY52" i="31" s="1"/>
  <c r="T52" i="23"/>
  <c r="S52" i="23"/>
  <c r="AW52" i="31" s="1"/>
  <c r="R52" i="23"/>
  <c r="Q52" i="23"/>
  <c r="P52" i="23"/>
  <c r="AT52" i="31" s="1"/>
  <c r="O52" i="23"/>
  <c r="AS52" i="31" s="1"/>
  <c r="N52" i="23"/>
  <c r="AR52" i="31" s="1"/>
  <c r="M52" i="23"/>
  <c r="AQ52" i="31" s="1"/>
  <c r="L52" i="23"/>
  <c r="AP52" i="31" s="1"/>
  <c r="K52" i="23"/>
  <c r="AO52" i="31" s="1"/>
  <c r="J52" i="23"/>
  <c r="AN52" i="31" s="1"/>
  <c r="I52" i="23"/>
  <c r="AM52" i="31" s="1"/>
  <c r="H52" i="23"/>
  <c r="AL52" i="31" s="1"/>
  <c r="G52" i="23"/>
  <c r="AK52" i="31" s="1"/>
  <c r="F52" i="23"/>
  <c r="AJ52" i="31" s="1"/>
  <c r="E52" i="23"/>
  <c r="AI52" i="31" s="1"/>
  <c r="D52" i="23"/>
  <c r="AH52" i="31" s="1"/>
  <c r="C52" i="23"/>
  <c r="AG52" i="31" s="1"/>
  <c r="B52" i="23"/>
  <c r="AF52" i="31" s="1"/>
  <c r="U51" i="23"/>
  <c r="AY51" i="31" s="1"/>
  <c r="T51" i="23"/>
  <c r="S51" i="23"/>
  <c r="AW51" i="31" s="1"/>
  <c r="R51" i="23"/>
  <c r="Q51" i="23"/>
  <c r="P51" i="23"/>
  <c r="AT51" i="31" s="1"/>
  <c r="O51" i="23"/>
  <c r="AS51" i="31" s="1"/>
  <c r="N51" i="23"/>
  <c r="AR51" i="31" s="1"/>
  <c r="M51" i="23"/>
  <c r="AQ51" i="31" s="1"/>
  <c r="L51" i="23"/>
  <c r="AP51" i="31" s="1"/>
  <c r="K51" i="23"/>
  <c r="AO51" i="31" s="1"/>
  <c r="J51" i="23"/>
  <c r="AN51" i="31" s="1"/>
  <c r="I51" i="23"/>
  <c r="AM51" i="31" s="1"/>
  <c r="H51" i="23"/>
  <c r="AL51" i="31" s="1"/>
  <c r="G51" i="23"/>
  <c r="AK51" i="31" s="1"/>
  <c r="F51" i="23"/>
  <c r="AJ51" i="31" s="1"/>
  <c r="E51" i="23"/>
  <c r="AI51" i="31" s="1"/>
  <c r="D51" i="23"/>
  <c r="AH51" i="31" s="1"/>
  <c r="C51" i="23"/>
  <c r="AG51" i="31" s="1"/>
  <c r="B51" i="23"/>
  <c r="AF51" i="31" s="1"/>
  <c r="U50" i="23"/>
  <c r="AY50" i="31" s="1"/>
  <c r="T50" i="23"/>
  <c r="S50" i="23"/>
  <c r="AW50" i="31" s="1"/>
  <c r="R50" i="23"/>
  <c r="Q50" i="23"/>
  <c r="P50" i="23"/>
  <c r="AT50" i="31" s="1"/>
  <c r="O50" i="23"/>
  <c r="AS50" i="31" s="1"/>
  <c r="N50" i="23"/>
  <c r="AR50" i="31" s="1"/>
  <c r="M50" i="23"/>
  <c r="AQ50" i="31" s="1"/>
  <c r="L50" i="23"/>
  <c r="AP50" i="31" s="1"/>
  <c r="K50" i="23"/>
  <c r="AO50" i="31" s="1"/>
  <c r="J50" i="23"/>
  <c r="AN50" i="31" s="1"/>
  <c r="I50" i="23"/>
  <c r="AM50" i="31" s="1"/>
  <c r="H50" i="23"/>
  <c r="AL50" i="31" s="1"/>
  <c r="G50" i="23"/>
  <c r="AK50" i="31" s="1"/>
  <c r="F50" i="23"/>
  <c r="AJ50" i="31" s="1"/>
  <c r="E50" i="23"/>
  <c r="AI50" i="31" s="1"/>
  <c r="D50" i="23"/>
  <c r="AH50" i="31" s="1"/>
  <c r="C50" i="23"/>
  <c r="AG50" i="31" s="1"/>
  <c r="B50" i="23"/>
  <c r="AF50" i="31" s="1"/>
  <c r="U49" i="23"/>
  <c r="AY49" i="31" s="1"/>
  <c r="T49" i="23"/>
  <c r="S49" i="23"/>
  <c r="AW49" i="31" s="1"/>
  <c r="R49" i="23"/>
  <c r="Q49" i="23"/>
  <c r="P49" i="23"/>
  <c r="AT49" i="31" s="1"/>
  <c r="O49" i="23"/>
  <c r="AS49" i="31" s="1"/>
  <c r="N49" i="23"/>
  <c r="AR49" i="31" s="1"/>
  <c r="M49" i="23"/>
  <c r="AQ49" i="31" s="1"/>
  <c r="L49" i="23"/>
  <c r="AP49" i="31" s="1"/>
  <c r="K49" i="23"/>
  <c r="AO49" i="31" s="1"/>
  <c r="J49" i="23"/>
  <c r="AN49" i="31" s="1"/>
  <c r="I49" i="23"/>
  <c r="AM49" i="31" s="1"/>
  <c r="H49" i="23"/>
  <c r="AL49" i="31" s="1"/>
  <c r="G49" i="23"/>
  <c r="AK49" i="31" s="1"/>
  <c r="F49" i="23"/>
  <c r="AJ49" i="31" s="1"/>
  <c r="E49" i="23"/>
  <c r="AI49" i="31" s="1"/>
  <c r="D49" i="23"/>
  <c r="AH49" i="31" s="1"/>
  <c r="C49" i="23"/>
  <c r="AG49" i="31" s="1"/>
  <c r="B49" i="23"/>
  <c r="AF49" i="31" s="1"/>
  <c r="U48" i="23"/>
  <c r="AY48" i="31" s="1"/>
  <c r="T48" i="23"/>
  <c r="S48" i="23"/>
  <c r="AW48" i="31" s="1"/>
  <c r="R48" i="23"/>
  <c r="Q48" i="23"/>
  <c r="P48" i="23"/>
  <c r="AT48" i="31" s="1"/>
  <c r="O48" i="23"/>
  <c r="AS48" i="31" s="1"/>
  <c r="N48" i="23"/>
  <c r="AR48" i="31" s="1"/>
  <c r="M48" i="23"/>
  <c r="AQ48" i="31" s="1"/>
  <c r="L48" i="23"/>
  <c r="AP48" i="31" s="1"/>
  <c r="K48" i="23"/>
  <c r="AO48" i="31" s="1"/>
  <c r="J48" i="23"/>
  <c r="AN48" i="31" s="1"/>
  <c r="I48" i="23"/>
  <c r="AM48" i="31" s="1"/>
  <c r="H48" i="23"/>
  <c r="AL48" i="31" s="1"/>
  <c r="G48" i="23"/>
  <c r="AK48" i="31" s="1"/>
  <c r="F48" i="23"/>
  <c r="AJ48" i="31" s="1"/>
  <c r="E48" i="23"/>
  <c r="AI48" i="31" s="1"/>
  <c r="D48" i="23"/>
  <c r="AH48" i="31" s="1"/>
  <c r="C48" i="23"/>
  <c r="AG48" i="31" s="1"/>
  <c r="B48" i="23"/>
  <c r="AF48" i="31" s="1"/>
  <c r="U47" i="23"/>
  <c r="AY47" i="31" s="1"/>
  <c r="T47" i="23"/>
  <c r="S47" i="23"/>
  <c r="AW47" i="31" s="1"/>
  <c r="R47" i="23"/>
  <c r="Q47" i="23"/>
  <c r="P47" i="23"/>
  <c r="AT47" i="31" s="1"/>
  <c r="O47" i="23"/>
  <c r="AS47" i="31" s="1"/>
  <c r="N47" i="23"/>
  <c r="AR47" i="31" s="1"/>
  <c r="M47" i="23"/>
  <c r="AQ47" i="31" s="1"/>
  <c r="L47" i="23"/>
  <c r="AP47" i="31" s="1"/>
  <c r="K47" i="23"/>
  <c r="AO47" i="31" s="1"/>
  <c r="J47" i="23"/>
  <c r="AN47" i="31" s="1"/>
  <c r="I47" i="23"/>
  <c r="AM47" i="31" s="1"/>
  <c r="H47" i="23"/>
  <c r="AL47" i="31" s="1"/>
  <c r="G47" i="23"/>
  <c r="AK47" i="31" s="1"/>
  <c r="F47" i="23"/>
  <c r="AJ47" i="31" s="1"/>
  <c r="E47" i="23"/>
  <c r="AI47" i="31" s="1"/>
  <c r="D47" i="23"/>
  <c r="AH47" i="31" s="1"/>
  <c r="C47" i="23"/>
  <c r="AG47" i="31" s="1"/>
  <c r="B47" i="23"/>
  <c r="AF47" i="31" s="1"/>
  <c r="U46" i="23"/>
  <c r="AY46" i="31" s="1"/>
  <c r="T46" i="23"/>
  <c r="S46" i="23"/>
  <c r="AW46" i="31" s="1"/>
  <c r="R46" i="23"/>
  <c r="Q46" i="23"/>
  <c r="P46" i="23"/>
  <c r="AT46" i="31" s="1"/>
  <c r="O46" i="23"/>
  <c r="AS46" i="31" s="1"/>
  <c r="N46" i="23"/>
  <c r="AR46" i="31" s="1"/>
  <c r="M46" i="23"/>
  <c r="AQ46" i="31" s="1"/>
  <c r="L46" i="23"/>
  <c r="AP46" i="31" s="1"/>
  <c r="K46" i="23"/>
  <c r="AO46" i="31" s="1"/>
  <c r="J46" i="23"/>
  <c r="AN46" i="31" s="1"/>
  <c r="I46" i="23"/>
  <c r="AM46" i="31" s="1"/>
  <c r="H46" i="23"/>
  <c r="AL46" i="31" s="1"/>
  <c r="G46" i="23"/>
  <c r="AK46" i="31" s="1"/>
  <c r="F46" i="23"/>
  <c r="AJ46" i="31" s="1"/>
  <c r="E46" i="23"/>
  <c r="AI46" i="31" s="1"/>
  <c r="D46" i="23"/>
  <c r="AH46" i="31" s="1"/>
  <c r="C46" i="23"/>
  <c r="AG46" i="31" s="1"/>
  <c r="B46" i="23"/>
  <c r="AF46" i="31" s="1"/>
  <c r="U45" i="23"/>
  <c r="AY45" i="31" s="1"/>
  <c r="T45" i="23"/>
  <c r="S45" i="23"/>
  <c r="AW45" i="31" s="1"/>
  <c r="R45" i="23"/>
  <c r="Q45" i="23"/>
  <c r="P45" i="23"/>
  <c r="AT45" i="31" s="1"/>
  <c r="O45" i="23"/>
  <c r="AS45" i="31" s="1"/>
  <c r="N45" i="23"/>
  <c r="AR45" i="31" s="1"/>
  <c r="M45" i="23"/>
  <c r="AQ45" i="31" s="1"/>
  <c r="L45" i="23"/>
  <c r="AP45" i="31" s="1"/>
  <c r="K45" i="23"/>
  <c r="AO45" i="31" s="1"/>
  <c r="J45" i="23"/>
  <c r="AN45" i="31" s="1"/>
  <c r="I45" i="23"/>
  <c r="AM45" i="31" s="1"/>
  <c r="H45" i="23"/>
  <c r="AL45" i="31" s="1"/>
  <c r="G45" i="23"/>
  <c r="AK45" i="31" s="1"/>
  <c r="F45" i="23"/>
  <c r="AJ45" i="31" s="1"/>
  <c r="E45" i="23"/>
  <c r="AI45" i="31" s="1"/>
  <c r="D45" i="23"/>
  <c r="AH45" i="31" s="1"/>
  <c r="C45" i="23"/>
  <c r="AG45" i="31" s="1"/>
  <c r="B45" i="23"/>
  <c r="AF45" i="31" s="1"/>
  <c r="U44" i="23"/>
  <c r="AY44" i="31" s="1"/>
  <c r="T44" i="23"/>
  <c r="S44" i="23"/>
  <c r="AW44" i="31" s="1"/>
  <c r="R44" i="23"/>
  <c r="Q44" i="23"/>
  <c r="P44" i="23"/>
  <c r="AT44" i="31" s="1"/>
  <c r="O44" i="23"/>
  <c r="AS44" i="31" s="1"/>
  <c r="N44" i="23"/>
  <c r="AR44" i="31" s="1"/>
  <c r="M44" i="23"/>
  <c r="AQ44" i="31" s="1"/>
  <c r="L44" i="23"/>
  <c r="AP44" i="31" s="1"/>
  <c r="K44" i="23"/>
  <c r="AO44" i="31" s="1"/>
  <c r="J44" i="23"/>
  <c r="AN44" i="31" s="1"/>
  <c r="I44" i="23"/>
  <c r="AM44" i="31" s="1"/>
  <c r="H44" i="23"/>
  <c r="AL44" i="31" s="1"/>
  <c r="G44" i="23"/>
  <c r="AK44" i="31" s="1"/>
  <c r="F44" i="23"/>
  <c r="AJ44" i="31" s="1"/>
  <c r="E44" i="23"/>
  <c r="AI44" i="31" s="1"/>
  <c r="D44" i="23"/>
  <c r="AH44" i="31" s="1"/>
  <c r="C44" i="23"/>
  <c r="AG44" i="31" s="1"/>
  <c r="B44" i="23"/>
  <c r="AF44" i="31" s="1"/>
  <c r="U43" i="23"/>
  <c r="AY43" i="31" s="1"/>
  <c r="T43" i="23"/>
  <c r="S43" i="23"/>
  <c r="AW43" i="31" s="1"/>
  <c r="R43" i="23"/>
  <c r="Q43" i="23"/>
  <c r="P43" i="23"/>
  <c r="AT43" i="31" s="1"/>
  <c r="O43" i="23"/>
  <c r="AS43" i="31" s="1"/>
  <c r="N43" i="23"/>
  <c r="AR43" i="31" s="1"/>
  <c r="M43" i="23"/>
  <c r="AQ43" i="31" s="1"/>
  <c r="L43" i="23"/>
  <c r="AP43" i="31" s="1"/>
  <c r="K43" i="23"/>
  <c r="AO43" i="31" s="1"/>
  <c r="J43" i="23"/>
  <c r="AN43" i="31" s="1"/>
  <c r="I43" i="23"/>
  <c r="AM43" i="31" s="1"/>
  <c r="H43" i="23"/>
  <c r="AL43" i="31" s="1"/>
  <c r="G43" i="23"/>
  <c r="AK43" i="31" s="1"/>
  <c r="F43" i="23"/>
  <c r="AJ43" i="31" s="1"/>
  <c r="E43" i="23"/>
  <c r="AI43" i="31" s="1"/>
  <c r="D43" i="23"/>
  <c r="AH43" i="31" s="1"/>
  <c r="C43" i="23"/>
  <c r="AG43" i="31" s="1"/>
  <c r="B43" i="23"/>
  <c r="AF43" i="31" s="1"/>
  <c r="U42" i="23"/>
  <c r="AY42" i="31" s="1"/>
  <c r="T42" i="23"/>
  <c r="S42" i="23"/>
  <c r="AW42" i="31" s="1"/>
  <c r="R42" i="23"/>
  <c r="Q42" i="23"/>
  <c r="P42" i="23"/>
  <c r="AT42" i="31" s="1"/>
  <c r="O42" i="23"/>
  <c r="AS42" i="31" s="1"/>
  <c r="N42" i="23"/>
  <c r="AR42" i="31" s="1"/>
  <c r="M42" i="23"/>
  <c r="AQ42" i="31" s="1"/>
  <c r="L42" i="23"/>
  <c r="AP42" i="31" s="1"/>
  <c r="K42" i="23"/>
  <c r="AO42" i="31" s="1"/>
  <c r="J42" i="23"/>
  <c r="AN42" i="31" s="1"/>
  <c r="I42" i="23"/>
  <c r="AM42" i="31" s="1"/>
  <c r="H42" i="23"/>
  <c r="AL42" i="31" s="1"/>
  <c r="G42" i="23"/>
  <c r="AK42" i="31" s="1"/>
  <c r="F42" i="23"/>
  <c r="AJ42" i="31" s="1"/>
  <c r="E42" i="23"/>
  <c r="AI42" i="31" s="1"/>
  <c r="D42" i="23"/>
  <c r="AH42" i="31" s="1"/>
  <c r="C42" i="23"/>
  <c r="AG42" i="31" s="1"/>
  <c r="B42" i="23"/>
  <c r="AF42" i="31" s="1"/>
  <c r="U41" i="23"/>
  <c r="T41" i="23"/>
  <c r="S41" i="23"/>
  <c r="R41" i="23"/>
  <c r="Q41" i="23"/>
  <c r="P41" i="23"/>
  <c r="O41" i="23"/>
  <c r="N41" i="23"/>
  <c r="M41" i="23"/>
  <c r="L41" i="23"/>
  <c r="K41" i="23"/>
  <c r="J41" i="23"/>
  <c r="I41" i="23"/>
  <c r="H41" i="23"/>
  <c r="G41" i="23"/>
  <c r="F41" i="23"/>
  <c r="E41" i="23"/>
  <c r="D41" i="23"/>
  <c r="C41" i="23"/>
  <c r="B41" i="23"/>
  <c r="U39" i="23"/>
  <c r="AY39" i="31" s="1"/>
  <c r="T39" i="23"/>
  <c r="S39" i="23"/>
  <c r="AW39" i="31" s="1"/>
  <c r="R39" i="23"/>
  <c r="Q39" i="23"/>
  <c r="P39" i="23"/>
  <c r="AT39" i="31" s="1"/>
  <c r="O39" i="23"/>
  <c r="AS39" i="31" s="1"/>
  <c r="N39" i="23"/>
  <c r="AR39" i="31" s="1"/>
  <c r="M39" i="23"/>
  <c r="AQ39" i="31" s="1"/>
  <c r="L39" i="23"/>
  <c r="AP39" i="31" s="1"/>
  <c r="K39" i="23"/>
  <c r="AO39" i="31" s="1"/>
  <c r="J39" i="23"/>
  <c r="AN39" i="31" s="1"/>
  <c r="I39" i="23"/>
  <c r="AM39" i="31" s="1"/>
  <c r="H39" i="23"/>
  <c r="AL39" i="31" s="1"/>
  <c r="G39" i="23"/>
  <c r="AK39" i="31" s="1"/>
  <c r="F39" i="23"/>
  <c r="AJ39" i="31" s="1"/>
  <c r="E39" i="23"/>
  <c r="AI39" i="31" s="1"/>
  <c r="D39" i="23"/>
  <c r="AH39" i="31" s="1"/>
  <c r="C39" i="23"/>
  <c r="AG39" i="31" s="1"/>
  <c r="B39" i="23"/>
  <c r="AF39" i="31" s="1"/>
  <c r="U38" i="23"/>
  <c r="AY38" i="31" s="1"/>
  <c r="T38" i="23"/>
  <c r="S38" i="23"/>
  <c r="AW38" i="31" s="1"/>
  <c r="R38" i="23"/>
  <c r="Q38" i="23"/>
  <c r="P38" i="23"/>
  <c r="AT38" i="31" s="1"/>
  <c r="O38" i="23"/>
  <c r="AS38" i="31" s="1"/>
  <c r="N38" i="23"/>
  <c r="AR38" i="31" s="1"/>
  <c r="M38" i="23"/>
  <c r="AQ38" i="31" s="1"/>
  <c r="L38" i="23"/>
  <c r="AP38" i="31" s="1"/>
  <c r="K38" i="23"/>
  <c r="AO38" i="31" s="1"/>
  <c r="J38" i="23"/>
  <c r="AN38" i="31" s="1"/>
  <c r="I38" i="23"/>
  <c r="AM38" i="31" s="1"/>
  <c r="H38" i="23"/>
  <c r="AL38" i="31" s="1"/>
  <c r="G38" i="23"/>
  <c r="AK38" i="31" s="1"/>
  <c r="F38" i="23"/>
  <c r="AJ38" i="31" s="1"/>
  <c r="E38" i="23"/>
  <c r="AI38" i="31" s="1"/>
  <c r="D38" i="23"/>
  <c r="AH38" i="31" s="1"/>
  <c r="C38" i="23"/>
  <c r="AG38" i="31" s="1"/>
  <c r="B38" i="23"/>
  <c r="AF38" i="31" s="1"/>
  <c r="U37" i="23"/>
  <c r="AY37" i="31" s="1"/>
  <c r="T37" i="23"/>
  <c r="S37" i="23"/>
  <c r="AW37" i="31" s="1"/>
  <c r="R37" i="23"/>
  <c r="Q37" i="23"/>
  <c r="P37" i="23"/>
  <c r="AT37" i="31" s="1"/>
  <c r="O37" i="23"/>
  <c r="AS37" i="31" s="1"/>
  <c r="N37" i="23"/>
  <c r="AR37" i="31" s="1"/>
  <c r="M37" i="23"/>
  <c r="AQ37" i="31" s="1"/>
  <c r="L37" i="23"/>
  <c r="AP37" i="31" s="1"/>
  <c r="K37" i="23"/>
  <c r="AO37" i="31" s="1"/>
  <c r="J37" i="23"/>
  <c r="AN37" i="31" s="1"/>
  <c r="I37" i="23"/>
  <c r="AM37" i="31" s="1"/>
  <c r="H37" i="23"/>
  <c r="AL37" i="31" s="1"/>
  <c r="G37" i="23"/>
  <c r="AK37" i="31" s="1"/>
  <c r="F37" i="23"/>
  <c r="AJ37" i="31" s="1"/>
  <c r="E37" i="23"/>
  <c r="AI37" i="31" s="1"/>
  <c r="D37" i="23"/>
  <c r="AH37" i="31" s="1"/>
  <c r="C37" i="23"/>
  <c r="AG37" i="31" s="1"/>
  <c r="B37" i="23"/>
  <c r="AF37" i="31" s="1"/>
  <c r="U36" i="23"/>
  <c r="AY36" i="31" s="1"/>
  <c r="T36" i="23"/>
  <c r="S36" i="23"/>
  <c r="AW36" i="31" s="1"/>
  <c r="R36" i="23"/>
  <c r="Q36" i="23"/>
  <c r="P36" i="23"/>
  <c r="AT36" i="31" s="1"/>
  <c r="O36" i="23"/>
  <c r="AS36" i="31" s="1"/>
  <c r="N36" i="23"/>
  <c r="AR36" i="31" s="1"/>
  <c r="M36" i="23"/>
  <c r="AQ36" i="31" s="1"/>
  <c r="L36" i="23"/>
  <c r="AP36" i="31" s="1"/>
  <c r="K36" i="23"/>
  <c r="AO36" i="31" s="1"/>
  <c r="J36" i="23"/>
  <c r="AN36" i="31" s="1"/>
  <c r="I36" i="23"/>
  <c r="AM36" i="31" s="1"/>
  <c r="H36" i="23"/>
  <c r="AL36" i="31" s="1"/>
  <c r="G36" i="23"/>
  <c r="AK36" i="31" s="1"/>
  <c r="F36" i="23"/>
  <c r="AJ36" i="31" s="1"/>
  <c r="E36" i="23"/>
  <c r="AI36" i="31" s="1"/>
  <c r="D36" i="23"/>
  <c r="AH36" i="31" s="1"/>
  <c r="C36" i="23"/>
  <c r="AG36" i="31" s="1"/>
  <c r="B36" i="23"/>
  <c r="AF36" i="31" s="1"/>
  <c r="U35" i="23"/>
  <c r="AY35" i="31" s="1"/>
  <c r="T35" i="23"/>
  <c r="S35" i="23"/>
  <c r="AW35" i="31" s="1"/>
  <c r="R35" i="23"/>
  <c r="Q35" i="23"/>
  <c r="P35" i="23"/>
  <c r="AT35" i="31" s="1"/>
  <c r="O35" i="23"/>
  <c r="AS35" i="31" s="1"/>
  <c r="N35" i="23"/>
  <c r="AR35" i="31" s="1"/>
  <c r="M35" i="23"/>
  <c r="AQ35" i="31" s="1"/>
  <c r="L35" i="23"/>
  <c r="AP35" i="31" s="1"/>
  <c r="K35" i="23"/>
  <c r="AO35" i="31" s="1"/>
  <c r="J35" i="23"/>
  <c r="AN35" i="31" s="1"/>
  <c r="I35" i="23"/>
  <c r="AM35" i="31" s="1"/>
  <c r="H35" i="23"/>
  <c r="AL35" i="31" s="1"/>
  <c r="G35" i="23"/>
  <c r="AK35" i="31" s="1"/>
  <c r="F35" i="23"/>
  <c r="AJ35" i="31" s="1"/>
  <c r="E35" i="23"/>
  <c r="AI35" i="31" s="1"/>
  <c r="D35" i="23"/>
  <c r="AH35" i="31" s="1"/>
  <c r="C35" i="23"/>
  <c r="AG35" i="31" s="1"/>
  <c r="B35" i="23"/>
  <c r="AF35" i="31" s="1"/>
  <c r="U34" i="23"/>
  <c r="AY34" i="31" s="1"/>
  <c r="T34" i="23"/>
  <c r="S34" i="23"/>
  <c r="AW34" i="31" s="1"/>
  <c r="R34" i="23"/>
  <c r="Q34" i="23"/>
  <c r="P34" i="23"/>
  <c r="AT34" i="31" s="1"/>
  <c r="O34" i="23"/>
  <c r="AS34" i="31" s="1"/>
  <c r="N34" i="23"/>
  <c r="AR34" i="31" s="1"/>
  <c r="M34" i="23"/>
  <c r="AQ34" i="31" s="1"/>
  <c r="L34" i="23"/>
  <c r="AP34" i="31" s="1"/>
  <c r="K34" i="23"/>
  <c r="AO34" i="31" s="1"/>
  <c r="J34" i="23"/>
  <c r="AN34" i="31" s="1"/>
  <c r="I34" i="23"/>
  <c r="AM34" i="31" s="1"/>
  <c r="H34" i="23"/>
  <c r="AL34" i="31" s="1"/>
  <c r="G34" i="23"/>
  <c r="AK34" i="31" s="1"/>
  <c r="F34" i="23"/>
  <c r="AJ34" i="31" s="1"/>
  <c r="E34" i="23"/>
  <c r="AI34" i="31" s="1"/>
  <c r="D34" i="23"/>
  <c r="AH34" i="31" s="1"/>
  <c r="C34" i="23"/>
  <c r="AG34" i="31" s="1"/>
  <c r="B34" i="23"/>
  <c r="AF34" i="31" s="1"/>
  <c r="U33" i="23"/>
  <c r="AY33" i="31" s="1"/>
  <c r="T33" i="23"/>
  <c r="S33" i="23"/>
  <c r="AW33" i="31" s="1"/>
  <c r="R33" i="23"/>
  <c r="Q33" i="23"/>
  <c r="P33" i="23"/>
  <c r="AT33" i="31" s="1"/>
  <c r="O33" i="23"/>
  <c r="AS33" i="31" s="1"/>
  <c r="N33" i="23"/>
  <c r="AR33" i="31" s="1"/>
  <c r="M33" i="23"/>
  <c r="AQ33" i="31" s="1"/>
  <c r="L33" i="23"/>
  <c r="AP33" i="31" s="1"/>
  <c r="K33" i="23"/>
  <c r="AO33" i="31" s="1"/>
  <c r="J33" i="23"/>
  <c r="AN33" i="31" s="1"/>
  <c r="I33" i="23"/>
  <c r="AM33" i="31" s="1"/>
  <c r="H33" i="23"/>
  <c r="AL33" i="31" s="1"/>
  <c r="G33" i="23"/>
  <c r="AK33" i="31" s="1"/>
  <c r="F33" i="23"/>
  <c r="AJ33" i="31" s="1"/>
  <c r="E33" i="23"/>
  <c r="AI33" i="31" s="1"/>
  <c r="D33" i="23"/>
  <c r="AH33" i="31" s="1"/>
  <c r="C33" i="23"/>
  <c r="AG33" i="31" s="1"/>
  <c r="B33" i="23"/>
  <c r="AF33" i="31" s="1"/>
  <c r="U32" i="23"/>
  <c r="AY32" i="31" s="1"/>
  <c r="T32" i="23"/>
  <c r="S32" i="23"/>
  <c r="AW32" i="31" s="1"/>
  <c r="R32" i="23"/>
  <c r="Q32" i="23"/>
  <c r="P32" i="23"/>
  <c r="AT32" i="31" s="1"/>
  <c r="O32" i="23"/>
  <c r="AS32" i="31" s="1"/>
  <c r="N32" i="23"/>
  <c r="AR32" i="31" s="1"/>
  <c r="M32" i="23"/>
  <c r="AQ32" i="31" s="1"/>
  <c r="L32" i="23"/>
  <c r="AP32" i="31" s="1"/>
  <c r="K32" i="23"/>
  <c r="AO32" i="31" s="1"/>
  <c r="J32" i="23"/>
  <c r="AN32" i="31" s="1"/>
  <c r="I32" i="23"/>
  <c r="AM32" i="31" s="1"/>
  <c r="H32" i="23"/>
  <c r="AL32" i="31" s="1"/>
  <c r="G32" i="23"/>
  <c r="AK32" i="31" s="1"/>
  <c r="F32" i="23"/>
  <c r="AJ32" i="31" s="1"/>
  <c r="E32" i="23"/>
  <c r="AI32" i="31" s="1"/>
  <c r="D32" i="23"/>
  <c r="AH32" i="31" s="1"/>
  <c r="C32" i="23"/>
  <c r="AG32" i="31" s="1"/>
  <c r="B32" i="23"/>
  <c r="AF32" i="31" s="1"/>
  <c r="U31" i="23"/>
  <c r="AY31" i="31" s="1"/>
  <c r="T31" i="23"/>
  <c r="S31" i="23"/>
  <c r="AW31" i="31" s="1"/>
  <c r="R31" i="23"/>
  <c r="Q31" i="23"/>
  <c r="P31" i="23"/>
  <c r="AT31" i="31" s="1"/>
  <c r="O31" i="23"/>
  <c r="AS31" i="31" s="1"/>
  <c r="N31" i="23"/>
  <c r="AR31" i="31" s="1"/>
  <c r="M31" i="23"/>
  <c r="AQ31" i="31" s="1"/>
  <c r="L31" i="23"/>
  <c r="AP31" i="31" s="1"/>
  <c r="K31" i="23"/>
  <c r="AO31" i="31" s="1"/>
  <c r="J31" i="23"/>
  <c r="AN31" i="31" s="1"/>
  <c r="I31" i="23"/>
  <c r="AM31" i="31" s="1"/>
  <c r="H31" i="23"/>
  <c r="AL31" i="31" s="1"/>
  <c r="G31" i="23"/>
  <c r="AK31" i="31" s="1"/>
  <c r="F31" i="23"/>
  <c r="AJ31" i="31" s="1"/>
  <c r="E31" i="23"/>
  <c r="AI31" i="31" s="1"/>
  <c r="D31" i="23"/>
  <c r="AH31" i="31" s="1"/>
  <c r="C31" i="23"/>
  <c r="AG31" i="31" s="1"/>
  <c r="B31" i="23"/>
  <c r="AF31" i="31" s="1"/>
  <c r="U30" i="23"/>
  <c r="AY30" i="31" s="1"/>
  <c r="T30" i="23"/>
  <c r="S30" i="23"/>
  <c r="AW30" i="31" s="1"/>
  <c r="R30" i="23"/>
  <c r="Q30" i="23"/>
  <c r="P30" i="23"/>
  <c r="AT30" i="31" s="1"/>
  <c r="O30" i="23"/>
  <c r="AS30" i="31" s="1"/>
  <c r="N30" i="23"/>
  <c r="AR30" i="31" s="1"/>
  <c r="M30" i="23"/>
  <c r="AQ30" i="31" s="1"/>
  <c r="L30" i="23"/>
  <c r="AP30" i="31" s="1"/>
  <c r="K30" i="23"/>
  <c r="AO30" i="31" s="1"/>
  <c r="J30" i="23"/>
  <c r="AN30" i="31" s="1"/>
  <c r="I30" i="23"/>
  <c r="AM30" i="31" s="1"/>
  <c r="H30" i="23"/>
  <c r="AL30" i="31" s="1"/>
  <c r="G30" i="23"/>
  <c r="AK30" i="31" s="1"/>
  <c r="F30" i="23"/>
  <c r="AJ30" i="31" s="1"/>
  <c r="E30" i="23"/>
  <c r="AI30" i="31" s="1"/>
  <c r="D30" i="23"/>
  <c r="AH30" i="31" s="1"/>
  <c r="C30" i="23"/>
  <c r="AG30" i="31" s="1"/>
  <c r="B30" i="23"/>
  <c r="AF30" i="31" s="1"/>
  <c r="U29" i="23"/>
  <c r="AY29" i="31" s="1"/>
  <c r="T29" i="23"/>
  <c r="S29" i="23"/>
  <c r="AW29" i="31" s="1"/>
  <c r="R29" i="23"/>
  <c r="Q29" i="23"/>
  <c r="P29" i="23"/>
  <c r="AT29" i="31" s="1"/>
  <c r="O29" i="23"/>
  <c r="AS29" i="31" s="1"/>
  <c r="N29" i="23"/>
  <c r="AR29" i="31" s="1"/>
  <c r="M29" i="23"/>
  <c r="AQ29" i="31" s="1"/>
  <c r="L29" i="23"/>
  <c r="AP29" i="31" s="1"/>
  <c r="K29" i="23"/>
  <c r="AO29" i="31" s="1"/>
  <c r="J29" i="23"/>
  <c r="AN29" i="31" s="1"/>
  <c r="I29" i="23"/>
  <c r="AM29" i="31" s="1"/>
  <c r="H29" i="23"/>
  <c r="AL29" i="31" s="1"/>
  <c r="G29" i="23"/>
  <c r="AK29" i="31" s="1"/>
  <c r="F29" i="23"/>
  <c r="AJ29" i="31" s="1"/>
  <c r="E29" i="23"/>
  <c r="AI29" i="31" s="1"/>
  <c r="D29" i="23"/>
  <c r="AH29" i="31" s="1"/>
  <c r="C29" i="23"/>
  <c r="AG29" i="31" s="1"/>
  <c r="B29" i="23"/>
  <c r="AF29" i="31" s="1"/>
  <c r="U28" i="23"/>
  <c r="AY28" i="31" s="1"/>
  <c r="T28" i="23"/>
  <c r="S28" i="23"/>
  <c r="AW28" i="31" s="1"/>
  <c r="R28" i="23"/>
  <c r="Q28" i="23"/>
  <c r="P28" i="23"/>
  <c r="AT28" i="31" s="1"/>
  <c r="O28" i="23"/>
  <c r="AS28" i="31" s="1"/>
  <c r="N28" i="23"/>
  <c r="AR28" i="31" s="1"/>
  <c r="M28" i="23"/>
  <c r="AQ28" i="31" s="1"/>
  <c r="L28" i="23"/>
  <c r="AP28" i="31" s="1"/>
  <c r="K28" i="23"/>
  <c r="AO28" i="31" s="1"/>
  <c r="J28" i="23"/>
  <c r="AN28" i="31" s="1"/>
  <c r="I28" i="23"/>
  <c r="AM28" i="31" s="1"/>
  <c r="H28" i="23"/>
  <c r="AL28" i="31" s="1"/>
  <c r="G28" i="23"/>
  <c r="AK28" i="31" s="1"/>
  <c r="F28" i="23"/>
  <c r="AJ28" i="31" s="1"/>
  <c r="E28" i="23"/>
  <c r="AI28" i="31" s="1"/>
  <c r="D28" i="23"/>
  <c r="AH28" i="31" s="1"/>
  <c r="C28" i="23"/>
  <c r="AG28" i="31" s="1"/>
  <c r="B28" i="23"/>
  <c r="AF28" i="31" s="1"/>
  <c r="U27" i="23"/>
  <c r="AY27" i="31" s="1"/>
  <c r="T27" i="23"/>
  <c r="S27" i="23"/>
  <c r="AW27" i="31" s="1"/>
  <c r="R27" i="23"/>
  <c r="Q27" i="23"/>
  <c r="P27" i="23"/>
  <c r="AT27" i="31" s="1"/>
  <c r="O27" i="23"/>
  <c r="AS27" i="31" s="1"/>
  <c r="N27" i="23"/>
  <c r="AR27" i="31" s="1"/>
  <c r="M27" i="23"/>
  <c r="AQ27" i="31" s="1"/>
  <c r="L27" i="23"/>
  <c r="AP27" i="31" s="1"/>
  <c r="K27" i="23"/>
  <c r="AO27" i="31" s="1"/>
  <c r="J27" i="23"/>
  <c r="AN27" i="31" s="1"/>
  <c r="I27" i="23"/>
  <c r="AM27" i="31" s="1"/>
  <c r="H27" i="23"/>
  <c r="AL27" i="31" s="1"/>
  <c r="G27" i="23"/>
  <c r="AK27" i="31" s="1"/>
  <c r="F27" i="23"/>
  <c r="AJ27" i="31" s="1"/>
  <c r="E27" i="23"/>
  <c r="AI27" i="31" s="1"/>
  <c r="D27" i="23"/>
  <c r="AH27" i="31" s="1"/>
  <c r="C27" i="23"/>
  <c r="AG27" i="31" s="1"/>
  <c r="B27" i="23"/>
  <c r="AF27" i="31" s="1"/>
  <c r="U26" i="23"/>
  <c r="T26" i="23"/>
  <c r="S26" i="23"/>
  <c r="R26" i="23"/>
  <c r="Q26" i="23"/>
  <c r="P26" i="23"/>
  <c r="O26" i="23"/>
  <c r="N26" i="23"/>
  <c r="M26" i="23"/>
  <c r="L26" i="23"/>
  <c r="K26" i="23"/>
  <c r="J26" i="23"/>
  <c r="I26" i="23"/>
  <c r="H26" i="23"/>
  <c r="G26" i="23"/>
  <c r="F26" i="23"/>
  <c r="E26" i="23"/>
  <c r="D26" i="23"/>
  <c r="C26" i="23"/>
  <c r="B26" i="23"/>
  <c r="U24" i="23"/>
  <c r="AY24" i="31" s="1"/>
  <c r="T24" i="23"/>
  <c r="S24" i="23"/>
  <c r="AW24" i="31" s="1"/>
  <c r="R24" i="23"/>
  <c r="Q24" i="23"/>
  <c r="P24" i="23"/>
  <c r="AT24" i="31" s="1"/>
  <c r="O24" i="23"/>
  <c r="AS24" i="31" s="1"/>
  <c r="N24" i="23"/>
  <c r="AR24" i="31" s="1"/>
  <c r="M24" i="23"/>
  <c r="AQ24" i="31" s="1"/>
  <c r="L24" i="23"/>
  <c r="AP24" i="31" s="1"/>
  <c r="K24" i="23"/>
  <c r="AO24" i="31" s="1"/>
  <c r="J24" i="23"/>
  <c r="I24" i="23"/>
  <c r="AM24" i="31" s="1"/>
  <c r="H24" i="23"/>
  <c r="G24" i="23"/>
  <c r="F24" i="23"/>
  <c r="AJ24" i="31" s="1"/>
  <c r="E24" i="23"/>
  <c r="U23" i="23"/>
  <c r="AY23" i="31" s="1"/>
  <c r="T23" i="23"/>
  <c r="S23" i="23"/>
  <c r="AW23" i="31" s="1"/>
  <c r="R23" i="23"/>
  <c r="Q23" i="23"/>
  <c r="P23" i="23"/>
  <c r="AT23" i="31" s="1"/>
  <c r="O23" i="23"/>
  <c r="AS23" i="31" s="1"/>
  <c r="N23" i="23"/>
  <c r="AR23" i="31" s="1"/>
  <c r="M23" i="23"/>
  <c r="AQ23" i="31" s="1"/>
  <c r="L23" i="23"/>
  <c r="AP23" i="31" s="1"/>
  <c r="K23" i="23"/>
  <c r="AO23" i="31" s="1"/>
  <c r="J23" i="23"/>
  <c r="I23" i="23"/>
  <c r="AM23" i="31" s="1"/>
  <c r="H23" i="23"/>
  <c r="G23" i="23"/>
  <c r="F23" i="23"/>
  <c r="AJ23" i="31" s="1"/>
  <c r="E23" i="23"/>
  <c r="U22" i="23"/>
  <c r="AY22" i="31" s="1"/>
  <c r="T22" i="23"/>
  <c r="S22" i="23"/>
  <c r="AW22" i="31" s="1"/>
  <c r="R22" i="23"/>
  <c r="Q22" i="23"/>
  <c r="P22" i="23"/>
  <c r="AT22" i="31" s="1"/>
  <c r="O22" i="23"/>
  <c r="AS22" i="31" s="1"/>
  <c r="N22" i="23"/>
  <c r="AR22" i="31" s="1"/>
  <c r="M22" i="23"/>
  <c r="AQ22" i="31" s="1"/>
  <c r="L22" i="23"/>
  <c r="AP22" i="31" s="1"/>
  <c r="K22" i="23"/>
  <c r="AO22" i="31" s="1"/>
  <c r="J22" i="23"/>
  <c r="I22" i="23"/>
  <c r="AM22" i="31" s="1"/>
  <c r="H22" i="23"/>
  <c r="G22" i="23"/>
  <c r="F22" i="23"/>
  <c r="AJ22" i="31" s="1"/>
  <c r="E22" i="23"/>
  <c r="U21" i="23"/>
  <c r="AY21" i="31" s="1"/>
  <c r="T21" i="23"/>
  <c r="S21" i="23"/>
  <c r="AW21" i="31" s="1"/>
  <c r="R21" i="23"/>
  <c r="Q21" i="23"/>
  <c r="P21" i="23"/>
  <c r="AT21" i="31" s="1"/>
  <c r="O21" i="23"/>
  <c r="AS21" i="31" s="1"/>
  <c r="N21" i="23"/>
  <c r="AR21" i="31" s="1"/>
  <c r="M21" i="23"/>
  <c r="AQ21" i="31" s="1"/>
  <c r="L21" i="23"/>
  <c r="AP21" i="31" s="1"/>
  <c r="K21" i="23"/>
  <c r="AO21" i="31" s="1"/>
  <c r="J21" i="23"/>
  <c r="I21" i="23"/>
  <c r="AM21" i="31" s="1"/>
  <c r="H21" i="23"/>
  <c r="G21" i="23"/>
  <c r="F21" i="23"/>
  <c r="AJ21" i="31" s="1"/>
  <c r="E21" i="23"/>
  <c r="U20" i="23"/>
  <c r="AY20" i="31" s="1"/>
  <c r="T20" i="23"/>
  <c r="S20" i="23"/>
  <c r="AW20" i="31" s="1"/>
  <c r="R20" i="23"/>
  <c r="Q20" i="23"/>
  <c r="P20" i="23"/>
  <c r="AT20" i="31" s="1"/>
  <c r="O20" i="23"/>
  <c r="AS20" i="31" s="1"/>
  <c r="N20" i="23"/>
  <c r="AR20" i="31" s="1"/>
  <c r="M20" i="23"/>
  <c r="AQ20" i="31" s="1"/>
  <c r="L20" i="23"/>
  <c r="AP20" i="31" s="1"/>
  <c r="K20" i="23"/>
  <c r="AO20" i="31" s="1"/>
  <c r="J20" i="23"/>
  <c r="I20" i="23"/>
  <c r="AM20" i="31" s="1"/>
  <c r="H20" i="23"/>
  <c r="G20" i="23"/>
  <c r="F20" i="23"/>
  <c r="AJ20" i="31" s="1"/>
  <c r="E20" i="23"/>
  <c r="U19" i="23"/>
  <c r="AY19" i="31" s="1"/>
  <c r="T19" i="23"/>
  <c r="S19" i="23"/>
  <c r="AW19" i="31" s="1"/>
  <c r="R19" i="23"/>
  <c r="Q19" i="23"/>
  <c r="P19" i="23"/>
  <c r="AT19" i="31" s="1"/>
  <c r="O19" i="23"/>
  <c r="AS19" i="31" s="1"/>
  <c r="N19" i="23"/>
  <c r="AR19" i="31" s="1"/>
  <c r="M19" i="23"/>
  <c r="AQ19" i="31" s="1"/>
  <c r="L19" i="23"/>
  <c r="AP19" i="31" s="1"/>
  <c r="K19" i="23"/>
  <c r="AO19" i="31" s="1"/>
  <c r="J19" i="23"/>
  <c r="I19" i="23"/>
  <c r="AM19" i="31" s="1"/>
  <c r="H19" i="23"/>
  <c r="G19" i="23"/>
  <c r="F19" i="23"/>
  <c r="AJ19" i="31" s="1"/>
  <c r="E19" i="23"/>
  <c r="B19" i="23"/>
  <c r="AF19" i="31" s="1"/>
  <c r="U18" i="23"/>
  <c r="AY18" i="31" s="1"/>
  <c r="T18" i="23"/>
  <c r="S18" i="23"/>
  <c r="AW18" i="31" s="1"/>
  <c r="R18" i="23"/>
  <c r="Q18" i="23"/>
  <c r="P18" i="23"/>
  <c r="AT18" i="31" s="1"/>
  <c r="O18" i="23"/>
  <c r="AS18" i="31" s="1"/>
  <c r="N18" i="23"/>
  <c r="AR18" i="31" s="1"/>
  <c r="M18" i="23"/>
  <c r="AQ18" i="31" s="1"/>
  <c r="L18" i="23"/>
  <c r="AP18" i="31" s="1"/>
  <c r="K18" i="23"/>
  <c r="AO18" i="31" s="1"/>
  <c r="J18" i="23"/>
  <c r="I18" i="23"/>
  <c r="AM18" i="31" s="1"/>
  <c r="H18" i="23"/>
  <c r="G18" i="23"/>
  <c r="F18" i="23"/>
  <c r="AJ18" i="31" s="1"/>
  <c r="E18" i="23"/>
  <c r="U17" i="23"/>
  <c r="AY17" i="31" s="1"/>
  <c r="T17" i="23"/>
  <c r="S17" i="23"/>
  <c r="AW17" i="31" s="1"/>
  <c r="R17" i="23"/>
  <c r="Q17" i="23"/>
  <c r="P17" i="23"/>
  <c r="AT17" i="31" s="1"/>
  <c r="O17" i="23"/>
  <c r="AS17" i="31" s="1"/>
  <c r="N17" i="23"/>
  <c r="AR17" i="31" s="1"/>
  <c r="M17" i="23"/>
  <c r="AQ17" i="31" s="1"/>
  <c r="L17" i="23"/>
  <c r="AP17" i="31" s="1"/>
  <c r="K17" i="23"/>
  <c r="AO17" i="31" s="1"/>
  <c r="J17" i="23"/>
  <c r="I17" i="23"/>
  <c r="AM17" i="31" s="1"/>
  <c r="H17" i="23"/>
  <c r="G17" i="23"/>
  <c r="F17" i="23"/>
  <c r="AJ17" i="31" s="1"/>
  <c r="E17" i="23"/>
  <c r="U16" i="23"/>
  <c r="AY16" i="31" s="1"/>
  <c r="T16" i="23"/>
  <c r="S16" i="23"/>
  <c r="AW16" i="31" s="1"/>
  <c r="R16" i="23"/>
  <c r="Q16" i="23"/>
  <c r="P16" i="23"/>
  <c r="AT16" i="31" s="1"/>
  <c r="O16" i="23"/>
  <c r="AS16" i="31" s="1"/>
  <c r="N16" i="23"/>
  <c r="AR16" i="31" s="1"/>
  <c r="M16" i="23"/>
  <c r="AQ16" i="31" s="1"/>
  <c r="L16" i="23"/>
  <c r="AP16" i="31" s="1"/>
  <c r="K16" i="23"/>
  <c r="AO16" i="31" s="1"/>
  <c r="J16" i="23"/>
  <c r="I16" i="23"/>
  <c r="AM16" i="31" s="1"/>
  <c r="H16" i="23"/>
  <c r="G16" i="23"/>
  <c r="F16" i="23"/>
  <c r="AJ16" i="31" s="1"/>
  <c r="E16" i="23"/>
  <c r="B16" i="23"/>
  <c r="AF16" i="31" s="1"/>
  <c r="U15" i="23"/>
  <c r="AY15" i="31" s="1"/>
  <c r="T15" i="23"/>
  <c r="S15" i="23"/>
  <c r="AW15" i="31" s="1"/>
  <c r="R15" i="23"/>
  <c r="Q15" i="23"/>
  <c r="P15" i="23"/>
  <c r="AT15" i="31" s="1"/>
  <c r="O15" i="23"/>
  <c r="AS15" i="31" s="1"/>
  <c r="N15" i="23"/>
  <c r="AR15" i="31" s="1"/>
  <c r="M15" i="23"/>
  <c r="AQ15" i="31" s="1"/>
  <c r="L15" i="23"/>
  <c r="AP15" i="31" s="1"/>
  <c r="K15" i="23"/>
  <c r="AO15" i="31" s="1"/>
  <c r="J15" i="23"/>
  <c r="I15" i="23"/>
  <c r="AM15" i="31" s="1"/>
  <c r="H15" i="23"/>
  <c r="G15" i="23"/>
  <c r="F15" i="23"/>
  <c r="AJ15" i="31" s="1"/>
  <c r="E15" i="23"/>
  <c r="U14" i="23"/>
  <c r="AY14" i="31" s="1"/>
  <c r="T14" i="23"/>
  <c r="S14" i="23"/>
  <c r="AW14" i="31" s="1"/>
  <c r="R14" i="23"/>
  <c r="Q14" i="23"/>
  <c r="P14" i="23"/>
  <c r="AT14" i="31" s="1"/>
  <c r="O14" i="23"/>
  <c r="AS14" i="31" s="1"/>
  <c r="N14" i="23"/>
  <c r="AR14" i="31" s="1"/>
  <c r="M14" i="23"/>
  <c r="AQ14" i="31" s="1"/>
  <c r="L14" i="23"/>
  <c r="AP14" i="31" s="1"/>
  <c r="K14" i="23"/>
  <c r="AO14" i="31" s="1"/>
  <c r="J14" i="23"/>
  <c r="I14" i="23"/>
  <c r="AM14" i="31" s="1"/>
  <c r="H14" i="23"/>
  <c r="G14" i="23"/>
  <c r="F14" i="23"/>
  <c r="AJ14" i="31" s="1"/>
  <c r="E14" i="23"/>
  <c r="U13" i="23"/>
  <c r="AY13" i="31" s="1"/>
  <c r="T13" i="23"/>
  <c r="S13" i="23"/>
  <c r="AW13" i="31" s="1"/>
  <c r="R13" i="23"/>
  <c r="Q13" i="23"/>
  <c r="P13" i="23"/>
  <c r="AT13" i="31" s="1"/>
  <c r="O13" i="23"/>
  <c r="AS13" i="31" s="1"/>
  <c r="N13" i="23"/>
  <c r="AR13" i="31" s="1"/>
  <c r="M13" i="23"/>
  <c r="AQ13" i="31" s="1"/>
  <c r="L13" i="23"/>
  <c r="AP13" i="31" s="1"/>
  <c r="K13" i="23"/>
  <c r="AO13" i="31" s="1"/>
  <c r="J13" i="23"/>
  <c r="I13" i="23"/>
  <c r="AM13" i="31" s="1"/>
  <c r="H13" i="23"/>
  <c r="G13" i="23"/>
  <c r="F13" i="23"/>
  <c r="AJ13" i="31" s="1"/>
  <c r="E13" i="23"/>
  <c r="U12" i="23"/>
  <c r="AY12" i="31" s="1"/>
  <c r="T12" i="23"/>
  <c r="S12" i="23"/>
  <c r="AW12" i="31" s="1"/>
  <c r="R12" i="23"/>
  <c r="Q12" i="23"/>
  <c r="P12" i="23"/>
  <c r="AT12" i="31" s="1"/>
  <c r="O12" i="23"/>
  <c r="AS12" i="31" s="1"/>
  <c r="N12" i="23"/>
  <c r="AR12" i="31" s="1"/>
  <c r="M12" i="23"/>
  <c r="AQ12" i="31" s="1"/>
  <c r="L12" i="23"/>
  <c r="AP12" i="31" s="1"/>
  <c r="K12" i="23"/>
  <c r="AO12" i="31" s="1"/>
  <c r="J12" i="23"/>
  <c r="I12" i="23"/>
  <c r="AM12" i="31" s="1"/>
  <c r="H12" i="23"/>
  <c r="G12" i="23"/>
  <c r="F12" i="23"/>
  <c r="AJ12" i="31" s="1"/>
  <c r="E12" i="23"/>
  <c r="U11" i="23"/>
  <c r="AY11" i="31" s="1"/>
  <c r="T11" i="23"/>
  <c r="S11" i="23"/>
  <c r="AW11" i="31" s="1"/>
  <c r="R11" i="23"/>
  <c r="P11" i="23"/>
  <c r="AT11" i="31" s="1"/>
  <c r="O11" i="23"/>
  <c r="AS11" i="31" s="1"/>
  <c r="N11" i="23"/>
  <c r="AR11" i="31" s="1"/>
  <c r="M11" i="23"/>
  <c r="AQ11" i="31" s="1"/>
  <c r="L11" i="23"/>
  <c r="AP11" i="31" s="1"/>
  <c r="K11" i="23"/>
  <c r="AO11" i="31" s="1"/>
  <c r="J11" i="23"/>
  <c r="I11" i="23"/>
  <c r="AM11" i="31" s="1"/>
  <c r="H11" i="23"/>
  <c r="AL11" i="31" s="1"/>
  <c r="G11" i="23"/>
  <c r="AK11" i="31" s="1"/>
  <c r="F11" i="23"/>
  <c r="AJ11" i="31" s="1"/>
  <c r="E11" i="23"/>
  <c r="AI11" i="31" s="1"/>
  <c r="C11" i="23"/>
  <c r="AG11" i="31" s="1"/>
  <c r="B11" i="23"/>
  <c r="AF11" i="31" s="1"/>
  <c r="U10" i="23"/>
  <c r="AY10" i="31" s="1"/>
  <c r="T10" i="23"/>
  <c r="S10" i="23"/>
  <c r="AW10" i="31" s="1"/>
  <c r="R10" i="23"/>
  <c r="Q10" i="23"/>
  <c r="P10" i="23"/>
  <c r="AT10" i="31" s="1"/>
  <c r="O10" i="23"/>
  <c r="AS10" i="31" s="1"/>
  <c r="N10" i="23"/>
  <c r="AR10" i="31" s="1"/>
  <c r="M10" i="23"/>
  <c r="AQ10" i="31" s="1"/>
  <c r="L10" i="23"/>
  <c r="AP10" i="31" s="1"/>
  <c r="K10" i="23"/>
  <c r="AO10" i="31" s="1"/>
  <c r="J10" i="23"/>
  <c r="I10" i="23"/>
  <c r="AM10" i="31" s="1"/>
  <c r="H10" i="23"/>
  <c r="G10" i="23"/>
  <c r="F10" i="23"/>
  <c r="AJ10" i="31" s="1"/>
  <c r="E10" i="23"/>
  <c r="U9" i="23"/>
  <c r="AY9" i="31" s="1"/>
  <c r="T9" i="23"/>
  <c r="S9" i="23"/>
  <c r="AW9" i="31" s="1"/>
  <c r="R9" i="23"/>
  <c r="Q9" i="23"/>
  <c r="P9" i="23"/>
  <c r="AT9" i="31" s="1"/>
  <c r="O9" i="23"/>
  <c r="AS9" i="31" s="1"/>
  <c r="N9" i="23"/>
  <c r="AR9" i="31" s="1"/>
  <c r="M9" i="23"/>
  <c r="AQ9" i="31" s="1"/>
  <c r="L9" i="23"/>
  <c r="AP9" i="31" s="1"/>
  <c r="K9" i="23"/>
  <c r="AO9" i="31" s="1"/>
  <c r="J9" i="23"/>
  <c r="I9" i="23"/>
  <c r="AM9" i="31" s="1"/>
  <c r="H9" i="23"/>
  <c r="G9" i="23"/>
  <c r="F9" i="23"/>
  <c r="AJ9" i="31" s="1"/>
  <c r="E9" i="23"/>
  <c r="U8" i="23"/>
  <c r="T8" i="23"/>
  <c r="S8" i="23"/>
  <c r="R8" i="23"/>
  <c r="Q8" i="23"/>
  <c r="P8" i="23"/>
  <c r="O8" i="23"/>
  <c r="N8" i="23"/>
  <c r="M8" i="23"/>
  <c r="L8" i="23"/>
  <c r="K8" i="23"/>
  <c r="J8" i="23"/>
  <c r="I8" i="23"/>
  <c r="H8" i="23"/>
  <c r="G8" i="23"/>
  <c r="F8" i="23"/>
  <c r="E8" i="23"/>
  <c r="D8" i="23"/>
  <c r="C8" i="23"/>
  <c r="B8" i="23"/>
  <c r="AX39" i="31" l="1"/>
  <c r="X41" i="18"/>
  <c r="AX46" i="31"/>
  <c r="AX63" i="31"/>
  <c r="AX15" i="31"/>
  <c r="AX9" i="31"/>
  <c r="AX22" i="31"/>
  <c r="AX24" i="31"/>
  <c r="AX29" i="31"/>
  <c r="AX31" i="31"/>
  <c r="AX37" i="31"/>
  <c r="AX48" i="31"/>
  <c r="AX57" i="31"/>
  <c r="X59" i="18"/>
  <c r="AX59" i="31"/>
  <c r="AX18" i="31"/>
  <c r="AX19" i="31"/>
  <c r="AX21" i="31"/>
  <c r="AX10" i="31"/>
  <c r="X12" i="18"/>
  <c r="AX16" i="31"/>
  <c r="AX23" i="31"/>
  <c r="AX9" i="11"/>
  <c r="AX11" i="11"/>
  <c r="AX13" i="11"/>
  <c r="AX15" i="11"/>
  <c r="AX17" i="11"/>
  <c r="AX19" i="11"/>
  <c r="AX21" i="11"/>
  <c r="X23" i="19"/>
  <c r="AX23" i="11"/>
  <c r="AX28" i="11"/>
  <c r="X30" i="19"/>
  <c r="AX30" i="11"/>
  <c r="AX32" i="11"/>
  <c r="AX34" i="11"/>
  <c r="AX36" i="11"/>
  <c r="AX38" i="11"/>
  <c r="AX43" i="11"/>
  <c r="AX45" i="11"/>
  <c r="X47" i="19"/>
  <c r="AX47" i="11"/>
  <c r="X49" i="19"/>
  <c r="AX49" i="11"/>
  <c r="AX51" i="11"/>
  <c r="AX53" i="11"/>
  <c r="AX56" i="11"/>
  <c r="AX58" i="11"/>
  <c r="AX60" i="11"/>
  <c r="AX62" i="11"/>
  <c r="X64" i="19"/>
  <c r="AX64" i="11"/>
  <c r="X66" i="19"/>
  <c r="AX35" i="31"/>
  <c r="AX44" i="31"/>
  <c r="X46" i="18"/>
  <c r="AX50" i="31"/>
  <c r="X52" i="18"/>
  <c r="AX12" i="31"/>
  <c r="AX24" i="11"/>
  <c r="AX27" i="11"/>
  <c r="AX29" i="11"/>
  <c r="AX31" i="11"/>
  <c r="AX33" i="11"/>
  <c r="AX35" i="11"/>
  <c r="AX37" i="11"/>
  <c r="AX39" i="11"/>
  <c r="AX42" i="11"/>
  <c r="AX44" i="11"/>
  <c r="AX46" i="11"/>
  <c r="AX48" i="11"/>
  <c r="AX50" i="11"/>
  <c r="AX52" i="11"/>
  <c r="AX57" i="11"/>
  <c r="AX59" i="11"/>
  <c r="AX61" i="11"/>
  <c r="AX63" i="11"/>
  <c r="AX17" i="31"/>
  <c r="AX27" i="31"/>
  <c r="AX33" i="31"/>
  <c r="AX42" i="31"/>
  <c r="AX52" i="31"/>
  <c r="AX61" i="31"/>
  <c r="AX11" i="31"/>
  <c r="AX13" i="31"/>
  <c r="AX10" i="11"/>
  <c r="X12" i="19"/>
  <c r="AX12" i="11"/>
  <c r="X14" i="19"/>
  <c r="AX14" i="11"/>
  <c r="AX16" i="11"/>
  <c r="AX18" i="11"/>
  <c r="AX20" i="11"/>
  <c r="X22" i="19"/>
  <c r="AX22" i="11"/>
  <c r="AX14" i="31"/>
  <c r="AX20" i="31"/>
  <c r="AX28" i="31"/>
  <c r="X30" i="18"/>
  <c r="AX30" i="31"/>
  <c r="X32" i="18"/>
  <c r="AX32" i="31"/>
  <c r="AX34" i="31"/>
  <c r="AX36" i="31"/>
  <c r="AX38" i="31"/>
  <c r="AX43" i="31"/>
  <c r="X45" i="18"/>
  <c r="AX45" i="31"/>
  <c r="AX47" i="31"/>
  <c r="AX49" i="31"/>
  <c r="AX51" i="31"/>
  <c r="AX53" i="31"/>
  <c r="AX56" i="31"/>
  <c r="AX58" i="31"/>
  <c r="AX60" i="31"/>
  <c r="AX62" i="31"/>
  <c r="AX64" i="31"/>
  <c r="X66" i="18"/>
  <c r="AV10" i="11"/>
  <c r="AV12" i="11"/>
  <c r="AV14" i="11"/>
  <c r="AV16" i="11"/>
  <c r="AV18" i="11"/>
  <c r="AV20" i="11"/>
  <c r="AV22" i="11"/>
  <c r="AV24" i="11"/>
  <c r="AV27" i="11"/>
  <c r="AV29" i="11"/>
  <c r="AV31" i="11"/>
  <c r="AV33" i="11"/>
  <c r="X35" i="19"/>
  <c r="AV35" i="11"/>
  <c r="AV37" i="11"/>
  <c r="AV39" i="11"/>
  <c r="AV42" i="11"/>
  <c r="AV44" i="11"/>
  <c r="AV46" i="11"/>
  <c r="AV48" i="11"/>
  <c r="AV50" i="11"/>
  <c r="AV52" i="11"/>
  <c r="AV57" i="11"/>
  <c r="AV59" i="11"/>
  <c r="AV61" i="11"/>
  <c r="AV63" i="11"/>
  <c r="AV9" i="11"/>
  <c r="AV11" i="11"/>
  <c r="X13" i="19"/>
  <c r="AV13" i="11"/>
  <c r="AV15" i="11"/>
  <c r="AV17" i="11"/>
  <c r="AV19" i="11"/>
  <c r="AV21" i="11"/>
  <c r="AV23" i="11"/>
  <c r="AV28" i="11"/>
  <c r="AV30" i="11"/>
  <c r="X32" i="19"/>
  <c r="AV32" i="11"/>
  <c r="AV34" i="11"/>
  <c r="AV36" i="11"/>
  <c r="AV38" i="11"/>
  <c r="X40" i="19"/>
  <c r="AV43" i="11"/>
  <c r="AV45" i="11"/>
  <c r="AV47" i="11"/>
  <c r="AV49" i="11"/>
  <c r="X51" i="19"/>
  <c r="AV51" i="11"/>
  <c r="AV53" i="11"/>
  <c r="AV56" i="11"/>
  <c r="AV58" i="11"/>
  <c r="AV60" i="11"/>
  <c r="X62" i="19"/>
  <c r="AV62" i="11"/>
  <c r="AV64" i="11"/>
  <c r="AV31" i="31"/>
  <c r="AV39" i="31"/>
  <c r="AV44" i="31"/>
  <c r="AV63" i="31"/>
  <c r="AV18" i="31"/>
  <c r="AV13" i="31"/>
  <c r="AV19" i="31"/>
  <c r="AV50" i="31"/>
  <c r="AV52" i="31"/>
  <c r="AV57" i="31"/>
  <c r="AV59" i="31"/>
  <c r="AV61" i="31"/>
  <c r="AV65" i="31"/>
  <c r="AV11" i="31"/>
  <c r="AV12" i="31"/>
  <c r="AV14" i="31"/>
  <c r="AV20" i="31"/>
  <c r="AV28" i="31"/>
  <c r="AV30" i="31"/>
  <c r="AV32" i="31"/>
  <c r="AV34" i="31"/>
  <c r="AV36" i="31"/>
  <c r="AV38" i="31"/>
  <c r="AV43" i="31"/>
  <c r="AV45" i="31"/>
  <c r="AV47" i="31"/>
  <c r="AV49" i="31"/>
  <c r="AV51" i="31"/>
  <c r="AV53" i="31"/>
  <c r="AV56" i="31"/>
  <c r="AV58" i="31"/>
  <c r="X60" i="18"/>
  <c r="AV60" i="31"/>
  <c r="AV62" i="31"/>
  <c r="AV64" i="31"/>
  <c r="AV24" i="31"/>
  <c r="AV29" i="31"/>
  <c r="AV33" i="31"/>
  <c r="AV35" i="31"/>
  <c r="AV42" i="31"/>
  <c r="AV46" i="31"/>
  <c r="AV15" i="31"/>
  <c r="AV21" i="31"/>
  <c r="AV17" i="31"/>
  <c r="AV27" i="31"/>
  <c r="AV37" i="31"/>
  <c r="AV48" i="31"/>
  <c r="AV9" i="31"/>
  <c r="AV22" i="31"/>
  <c r="AV10" i="31"/>
  <c r="AV16" i="31"/>
  <c r="AV23" i="31"/>
  <c r="AU18" i="31"/>
  <c r="AU30" i="31"/>
  <c r="AU42" i="31"/>
  <c r="AU48" i="31"/>
  <c r="AU52" i="31"/>
  <c r="AU60" i="31"/>
  <c r="AU9" i="11"/>
  <c r="AU13" i="11"/>
  <c r="AU17" i="11"/>
  <c r="AU49" i="11"/>
  <c r="AU57" i="11"/>
  <c r="AU14" i="31"/>
  <c r="AU20" i="31"/>
  <c r="AU22" i="31"/>
  <c r="AU24" i="31"/>
  <c r="AU28" i="31"/>
  <c r="AU32" i="31"/>
  <c r="AU34" i="31"/>
  <c r="AU36" i="31"/>
  <c r="AU38" i="31"/>
  <c r="AU44" i="31"/>
  <c r="AU50" i="31"/>
  <c r="AU56" i="31"/>
  <c r="AU62" i="31"/>
  <c r="AU64" i="31"/>
  <c r="AU15" i="11"/>
  <c r="AU19" i="11"/>
  <c r="AU21" i="11"/>
  <c r="AU23" i="11"/>
  <c r="AU27" i="11"/>
  <c r="AU33" i="11"/>
  <c r="AU37" i="11"/>
  <c r="AU43" i="11"/>
  <c r="AU63" i="11"/>
  <c r="AU12" i="31"/>
  <c r="AU46" i="31"/>
  <c r="AU58" i="31"/>
  <c r="AU29" i="11"/>
  <c r="AU35" i="11"/>
  <c r="AU45" i="11"/>
  <c r="AU53" i="11"/>
  <c r="AU59" i="11"/>
  <c r="AU10" i="31"/>
  <c r="AU16" i="31"/>
  <c r="AU11" i="11"/>
  <c r="AU31" i="11"/>
  <c r="AU39" i="11"/>
  <c r="AU47" i="11"/>
  <c r="AU51" i="11"/>
  <c r="AU61" i="11"/>
  <c r="AU9" i="31"/>
  <c r="AU13" i="31"/>
  <c r="AU15" i="31"/>
  <c r="AU17" i="31"/>
  <c r="AU19" i="31"/>
  <c r="AU21" i="31"/>
  <c r="AU23" i="31"/>
  <c r="AU27" i="31"/>
  <c r="AU29" i="31"/>
  <c r="AU31" i="31"/>
  <c r="AU33" i="31"/>
  <c r="AU35" i="31"/>
  <c r="AU37" i="31"/>
  <c r="AU39" i="31"/>
  <c r="AU43" i="31"/>
  <c r="AU45" i="31"/>
  <c r="AU47" i="31"/>
  <c r="AU49" i="31"/>
  <c r="AU51" i="31"/>
  <c r="AU53" i="31"/>
  <c r="AU57" i="31"/>
  <c r="AU59" i="31"/>
  <c r="AU61" i="31"/>
  <c r="AU63" i="31"/>
  <c r="AU65" i="31"/>
  <c r="AU10" i="11"/>
  <c r="AU12" i="11"/>
  <c r="AU14" i="11"/>
  <c r="AU16" i="11"/>
  <c r="AU18" i="11"/>
  <c r="AU20" i="11"/>
  <c r="AU22" i="11"/>
  <c r="AU24" i="11"/>
  <c r="AU28" i="11"/>
  <c r="AU30" i="11"/>
  <c r="AU32" i="11"/>
  <c r="AU34" i="11"/>
  <c r="AU36" i="11"/>
  <c r="AU38" i="11"/>
  <c r="AU42" i="11"/>
  <c r="AU44" i="11"/>
  <c r="AU46" i="11"/>
  <c r="AU48" i="11"/>
  <c r="AU50" i="11"/>
  <c r="AU52" i="11"/>
  <c r="AU56" i="11"/>
  <c r="AU58" i="11"/>
  <c r="AU60" i="11"/>
  <c r="AU62" i="11"/>
  <c r="AU64" i="11"/>
  <c r="Y15" i="18"/>
  <c r="Y12" i="18"/>
  <c r="Y14" i="18"/>
  <c r="Y16" i="18"/>
  <c r="Y13" i="18"/>
  <c r="Y30" i="19"/>
  <c r="Y32" i="19"/>
  <c r="Y34" i="19"/>
  <c r="Y36" i="19"/>
  <c r="Y38" i="19"/>
  <c r="Y40" i="19"/>
  <c r="Y42" i="19"/>
  <c r="Y12" i="19"/>
  <c r="Y14" i="19"/>
  <c r="Y16" i="19"/>
  <c r="Y18" i="19"/>
  <c r="Y20" i="19"/>
  <c r="Y22" i="19"/>
  <c r="Y24" i="19"/>
  <c r="Y26" i="19"/>
  <c r="Y44" i="19"/>
  <c r="Y46" i="19"/>
  <c r="Y48" i="19"/>
  <c r="Y50" i="19"/>
  <c r="Y9" i="19"/>
  <c r="Y11" i="19"/>
  <c r="Y13" i="19"/>
  <c r="Y15" i="19"/>
  <c r="Y17" i="19"/>
  <c r="Y19" i="19"/>
  <c r="Y21" i="19"/>
  <c r="Y23" i="19"/>
  <c r="Y25" i="19"/>
  <c r="Y27" i="19"/>
  <c r="Y29" i="19"/>
  <c r="Y31" i="19"/>
  <c r="Y33" i="19"/>
  <c r="Y35" i="19"/>
  <c r="Y37" i="19"/>
  <c r="Y39" i="19"/>
  <c r="Y41" i="19"/>
  <c r="Y45" i="19"/>
  <c r="Y47" i="19"/>
  <c r="Y49" i="19"/>
  <c r="Y51" i="19"/>
  <c r="Y53" i="19"/>
  <c r="Y55" i="19"/>
  <c r="Y59" i="19"/>
  <c r="Y61" i="19"/>
  <c r="Y63" i="19"/>
  <c r="Y65" i="19"/>
  <c r="X37" i="19"/>
  <c r="Y52" i="19"/>
  <c r="Y54" i="19"/>
  <c r="Y56" i="19"/>
  <c r="Y58" i="19"/>
  <c r="Y60" i="19"/>
  <c r="Y62" i="19"/>
  <c r="Y64" i="19"/>
  <c r="Y66" i="19"/>
  <c r="Y67" i="18"/>
  <c r="Y66" i="18"/>
  <c r="Y65" i="18"/>
  <c r="Y64" i="18"/>
  <c r="Y63" i="18"/>
  <c r="Y62" i="18"/>
  <c r="Y61" i="18"/>
  <c r="Y60" i="18"/>
  <c r="Y59" i="18"/>
  <c r="Y58" i="18"/>
  <c r="Y55" i="18"/>
  <c r="Y54" i="18"/>
  <c r="Y53" i="18"/>
  <c r="Y52" i="18"/>
  <c r="Y51" i="18"/>
  <c r="Y50" i="18"/>
  <c r="Y49" i="18"/>
  <c r="Y48" i="18"/>
  <c r="Y47" i="18"/>
  <c r="Y46" i="18"/>
  <c r="Y45" i="18"/>
  <c r="Y44" i="18"/>
  <c r="Y41" i="18"/>
  <c r="Y40" i="18"/>
  <c r="Y39" i="18"/>
  <c r="Y38" i="18"/>
  <c r="Y37" i="18"/>
  <c r="Y36" i="18"/>
  <c r="Y35" i="18"/>
  <c r="Y34" i="18"/>
  <c r="Y33" i="18"/>
  <c r="Y32" i="18"/>
  <c r="Y31" i="18"/>
  <c r="Y30" i="18"/>
  <c r="Y29" i="18"/>
  <c r="X25" i="19" l="1"/>
  <c r="X55" i="19"/>
  <c r="X17" i="19"/>
  <c r="X46" i="19"/>
  <c r="X21" i="19"/>
  <c r="X59" i="19"/>
  <c r="X48" i="19"/>
  <c r="X50" i="19"/>
  <c r="X60" i="19"/>
  <c r="X19" i="19"/>
  <c r="X34" i="19"/>
  <c r="X53" i="19"/>
  <c r="X45" i="19"/>
  <c r="X58" i="19"/>
  <c r="X18" i="19"/>
  <c r="X24" i="19"/>
  <c r="X52" i="19"/>
  <c r="X54" i="18"/>
  <c r="X62" i="18"/>
  <c r="X51" i="18"/>
  <c r="X65" i="18"/>
  <c r="X53" i="18"/>
  <c r="X36" i="18"/>
  <c r="X35" i="18"/>
  <c r="X47" i="18"/>
  <c r="X34" i="18"/>
  <c r="X39" i="19"/>
  <c r="X44" i="19"/>
  <c r="X38" i="19"/>
  <c r="X63" i="18"/>
  <c r="X33" i="18"/>
  <c r="X14" i="18"/>
  <c r="X48" i="18"/>
  <c r="X15" i="18"/>
  <c r="X50" i="18"/>
  <c r="X64" i="18"/>
  <c r="X16" i="19"/>
  <c r="X40" i="18"/>
  <c r="X11" i="19"/>
  <c r="X63" i="19"/>
  <c r="X36" i="19"/>
  <c r="X20" i="19"/>
  <c r="X37" i="18"/>
  <c r="X61" i="18"/>
  <c r="X49" i="18"/>
  <c r="X29" i="18"/>
  <c r="X54" i="19"/>
  <c r="X61" i="19"/>
  <c r="X16" i="18"/>
  <c r="X58" i="18"/>
  <c r="X29" i="19"/>
  <c r="X65" i="19"/>
  <c r="X31" i="19"/>
  <c r="X39" i="18"/>
  <c r="X44" i="18"/>
  <c r="X41" i="19"/>
  <c r="X38" i="18"/>
  <c r="X55" i="18"/>
  <c r="X15" i="19"/>
  <c r="X33" i="19"/>
  <c r="X26" i="19"/>
  <c r="X31" i="18"/>
  <c r="U54" i="11"/>
  <c r="U40" i="11"/>
  <c r="U25" i="11"/>
  <c r="U7" i="11"/>
  <c r="U54" i="20"/>
  <c r="U40" i="20"/>
  <c r="U25" i="20"/>
  <c r="U7" i="20"/>
  <c r="U54" i="1"/>
  <c r="U40" i="1"/>
  <c r="U25" i="1"/>
  <c r="U7" i="1"/>
  <c r="U54" i="21"/>
  <c r="U40" i="21"/>
  <c r="U25" i="21"/>
  <c r="U7" i="21"/>
  <c r="U54" i="2"/>
  <c r="U40" i="2"/>
  <c r="U25" i="2"/>
  <c r="U7" i="2"/>
  <c r="U54" i="22"/>
  <c r="U40" i="22"/>
  <c r="U25" i="22"/>
  <c r="U7" i="22"/>
  <c r="U54" i="3"/>
  <c r="U40" i="3"/>
  <c r="U25" i="3"/>
  <c r="U7" i="3"/>
  <c r="U54" i="24"/>
  <c r="U40" i="24"/>
  <c r="U25" i="24"/>
  <c r="U7" i="24"/>
  <c r="U54" i="5"/>
  <c r="U40" i="5"/>
  <c r="U25" i="5"/>
  <c r="U7" i="5"/>
  <c r="U54" i="25"/>
  <c r="U40" i="25"/>
  <c r="U25" i="25"/>
  <c r="U7" i="25"/>
  <c r="U40" i="6"/>
  <c r="U25" i="6"/>
  <c r="U7" i="6"/>
  <c r="T65" i="26"/>
  <c r="T65" i="23" s="1"/>
  <c r="U54" i="26"/>
  <c r="U40" i="26"/>
  <c r="U25" i="26"/>
  <c r="U7" i="26"/>
  <c r="U54" i="7"/>
  <c r="U40" i="7"/>
  <c r="U25" i="7"/>
  <c r="U7" i="7"/>
  <c r="U54" i="27"/>
  <c r="U40" i="27"/>
  <c r="U25" i="27"/>
  <c r="U7" i="27"/>
  <c r="U54" i="8"/>
  <c r="U40" i="8"/>
  <c r="U25" i="8"/>
  <c r="U7" i="8"/>
  <c r="U54" i="28"/>
  <c r="U40" i="28"/>
  <c r="U25" i="28"/>
  <c r="U7" i="28"/>
  <c r="U54" i="9"/>
  <c r="U40" i="9"/>
  <c r="U25" i="9"/>
  <c r="U7" i="9"/>
  <c r="U54" i="29"/>
  <c r="T54" i="29"/>
  <c r="U40" i="29"/>
  <c r="U25" i="29"/>
  <c r="U7" i="29"/>
  <c r="U54" i="10"/>
  <c r="U40" i="10"/>
  <c r="U25" i="10"/>
  <c r="U7" i="10"/>
  <c r="U54" i="31"/>
  <c r="U40" i="31"/>
  <c r="U25" i="31"/>
  <c r="U7" i="31"/>
  <c r="C6" i="4"/>
  <c r="AG6" i="11" s="1"/>
  <c r="D6" i="4"/>
  <c r="E6" i="4"/>
  <c r="G6" i="4"/>
  <c r="H6" i="4"/>
  <c r="J6" i="4"/>
  <c r="AN6" i="11" s="1"/>
  <c r="B6" i="4"/>
  <c r="AF6" i="11" s="1"/>
  <c r="E6" i="23"/>
  <c r="G6" i="23"/>
  <c r="H6" i="23"/>
  <c r="J6" i="23"/>
  <c r="J6" i="10"/>
  <c r="H6" i="10"/>
  <c r="G6" i="10"/>
  <c r="E6" i="10"/>
  <c r="D6" i="10"/>
  <c r="J6" i="29"/>
  <c r="H6" i="29"/>
  <c r="G6" i="29"/>
  <c r="E6" i="29"/>
  <c r="D6" i="29"/>
  <c r="C6" i="29"/>
  <c r="B6" i="29"/>
  <c r="D6" i="28"/>
  <c r="C6" i="28"/>
  <c r="B6" i="28"/>
  <c r="D6" i="27"/>
  <c r="C6" i="27"/>
  <c r="B6" i="27"/>
  <c r="D6" i="26"/>
  <c r="C6" i="26"/>
  <c r="B6" i="26"/>
  <c r="D6" i="25"/>
  <c r="C6" i="25"/>
  <c r="B6" i="25"/>
  <c r="D6" i="24"/>
  <c r="C6" i="24"/>
  <c r="B6" i="24"/>
  <c r="D6" i="22"/>
  <c r="C6" i="22"/>
  <c r="B6" i="22"/>
  <c r="D6" i="21"/>
  <c r="C6" i="21"/>
  <c r="B6" i="21"/>
  <c r="D6" i="20"/>
  <c r="C6" i="20"/>
  <c r="B6" i="20"/>
  <c r="D6" i="31"/>
  <c r="C6" i="31"/>
  <c r="B6" i="31"/>
  <c r="T54" i="10"/>
  <c r="S54" i="10"/>
  <c r="R54" i="10"/>
  <c r="Q54" i="10"/>
  <c r="P54" i="10"/>
  <c r="O54" i="10"/>
  <c r="N54" i="10"/>
  <c r="M54" i="10"/>
  <c r="L54" i="10"/>
  <c r="K54" i="10"/>
  <c r="J54" i="10"/>
  <c r="I54" i="10"/>
  <c r="H54" i="10"/>
  <c r="G54" i="10"/>
  <c r="F54" i="10"/>
  <c r="E54" i="10"/>
  <c r="D54" i="10"/>
  <c r="C54" i="10"/>
  <c r="B54" i="10"/>
  <c r="S54" i="29"/>
  <c r="R54" i="29"/>
  <c r="Q54" i="29"/>
  <c r="P54" i="29"/>
  <c r="O54" i="29"/>
  <c r="N54" i="29"/>
  <c r="M54" i="29"/>
  <c r="L54" i="29"/>
  <c r="K54" i="29"/>
  <c r="J54" i="29"/>
  <c r="I54" i="29"/>
  <c r="H54" i="29"/>
  <c r="G54" i="29"/>
  <c r="F54" i="29"/>
  <c r="E54" i="29"/>
  <c r="D54" i="29"/>
  <c r="C54" i="29"/>
  <c r="B54" i="29"/>
  <c r="T54" i="9"/>
  <c r="S54" i="9"/>
  <c r="R54" i="9"/>
  <c r="Q54" i="9"/>
  <c r="P54" i="9"/>
  <c r="O54" i="9"/>
  <c r="N54" i="9"/>
  <c r="M54" i="9"/>
  <c r="L54" i="9"/>
  <c r="K54" i="9"/>
  <c r="J54" i="9"/>
  <c r="I54" i="9"/>
  <c r="H54" i="9"/>
  <c r="G54" i="9"/>
  <c r="F54" i="9"/>
  <c r="E54" i="9"/>
  <c r="D54" i="9"/>
  <c r="C54" i="9"/>
  <c r="B54" i="9"/>
  <c r="T54" i="28"/>
  <c r="S54" i="28"/>
  <c r="R54" i="28"/>
  <c r="Q54" i="28"/>
  <c r="P54" i="28"/>
  <c r="O54" i="28"/>
  <c r="N54" i="28"/>
  <c r="M54" i="28"/>
  <c r="L54" i="28"/>
  <c r="K54" i="28"/>
  <c r="J54" i="28"/>
  <c r="I54" i="28"/>
  <c r="H54" i="28"/>
  <c r="G54" i="28"/>
  <c r="F54" i="28"/>
  <c r="E54" i="28"/>
  <c r="D54" i="28"/>
  <c r="C54" i="28"/>
  <c r="B54" i="28"/>
  <c r="T54" i="8"/>
  <c r="S54" i="8"/>
  <c r="R54" i="8"/>
  <c r="Q54" i="8"/>
  <c r="P54" i="8"/>
  <c r="O54" i="8"/>
  <c r="N54" i="8"/>
  <c r="M54" i="8"/>
  <c r="L54" i="8"/>
  <c r="K54" i="8"/>
  <c r="J54" i="8"/>
  <c r="I54" i="8"/>
  <c r="H54" i="8"/>
  <c r="G54" i="8"/>
  <c r="F54" i="8"/>
  <c r="E54" i="8"/>
  <c r="D54" i="8"/>
  <c r="C54" i="8"/>
  <c r="B54" i="8"/>
  <c r="T54" i="27"/>
  <c r="S54" i="27"/>
  <c r="R54" i="27"/>
  <c r="Q54" i="27"/>
  <c r="P54" i="27"/>
  <c r="O54" i="27"/>
  <c r="N54" i="27"/>
  <c r="M54" i="27"/>
  <c r="L54" i="27"/>
  <c r="K54" i="27"/>
  <c r="J54" i="27"/>
  <c r="I54" i="27"/>
  <c r="H54" i="27"/>
  <c r="G54" i="27"/>
  <c r="F54" i="27"/>
  <c r="E54" i="27"/>
  <c r="D54" i="27"/>
  <c r="C54" i="27"/>
  <c r="B54" i="27"/>
  <c r="T54" i="7"/>
  <c r="S54" i="7"/>
  <c r="R54" i="7"/>
  <c r="Q54" i="7"/>
  <c r="P54" i="7"/>
  <c r="O54" i="7"/>
  <c r="N54" i="7"/>
  <c r="M54" i="7"/>
  <c r="L54" i="7"/>
  <c r="K54" i="7"/>
  <c r="J54" i="7"/>
  <c r="I54" i="7"/>
  <c r="H54" i="7"/>
  <c r="G54" i="7"/>
  <c r="F54" i="7"/>
  <c r="E54" i="7"/>
  <c r="D54" i="7"/>
  <c r="C54" i="7"/>
  <c r="B54" i="7"/>
  <c r="T54" i="26"/>
  <c r="S54" i="26"/>
  <c r="R54" i="26"/>
  <c r="Q54" i="26"/>
  <c r="P54" i="26"/>
  <c r="O54" i="26"/>
  <c r="N54" i="26"/>
  <c r="M54" i="26"/>
  <c r="L54" i="26"/>
  <c r="K54" i="26"/>
  <c r="J54" i="26"/>
  <c r="I54" i="26"/>
  <c r="H54" i="26"/>
  <c r="G54" i="26"/>
  <c r="F54" i="26"/>
  <c r="E54" i="26"/>
  <c r="D54" i="26"/>
  <c r="C54" i="26"/>
  <c r="B54" i="26"/>
  <c r="J54" i="6"/>
  <c r="H54" i="6"/>
  <c r="G54" i="6"/>
  <c r="E54" i="6"/>
  <c r="D54" i="6"/>
  <c r="C54" i="6"/>
  <c r="B54" i="6"/>
  <c r="T54" i="25"/>
  <c r="S54" i="25"/>
  <c r="R54" i="25"/>
  <c r="Q54" i="25"/>
  <c r="P54" i="25"/>
  <c r="O54" i="25"/>
  <c r="N54" i="25"/>
  <c r="M54" i="25"/>
  <c r="L54" i="25"/>
  <c r="K54" i="25"/>
  <c r="J54" i="25"/>
  <c r="I54" i="25"/>
  <c r="H54" i="25"/>
  <c r="G54" i="25"/>
  <c r="E54" i="25"/>
  <c r="D54" i="25"/>
  <c r="C54" i="25"/>
  <c r="B54" i="25"/>
  <c r="T54" i="5"/>
  <c r="S54" i="5"/>
  <c r="R54" i="5"/>
  <c r="Q54" i="5"/>
  <c r="P54" i="5"/>
  <c r="O54" i="5"/>
  <c r="N54" i="5"/>
  <c r="M54" i="5"/>
  <c r="L54" i="5"/>
  <c r="K54" i="5"/>
  <c r="J54" i="5"/>
  <c r="I54" i="5"/>
  <c r="H54" i="5"/>
  <c r="G54" i="5"/>
  <c r="E54" i="5"/>
  <c r="D54" i="5"/>
  <c r="C54" i="5"/>
  <c r="B54" i="5"/>
  <c r="T54" i="24"/>
  <c r="S54" i="24"/>
  <c r="R54" i="24"/>
  <c r="Q54" i="24"/>
  <c r="P54" i="24"/>
  <c r="O54" i="24"/>
  <c r="N54" i="24"/>
  <c r="M54" i="24"/>
  <c r="L54" i="24"/>
  <c r="K54" i="24"/>
  <c r="J54" i="24"/>
  <c r="I54" i="24"/>
  <c r="H54" i="24"/>
  <c r="G54" i="24"/>
  <c r="F54" i="24"/>
  <c r="E54" i="24"/>
  <c r="D54" i="24"/>
  <c r="C54" i="24"/>
  <c r="B54" i="24"/>
  <c r="T54" i="3"/>
  <c r="S54" i="3"/>
  <c r="R54" i="3"/>
  <c r="Q54" i="3"/>
  <c r="P54" i="3"/>
  <c r="O54" i="3"/>
  <c r="N54" i="3"/>
  <c r="M54" i="3"/>
  <c r="L54" i="3"/>
  <c r="K54" i="3"/>
  <c r="J54" i="3"/>
  <c r="I54" i="3"/>
  <c r="H54" i="3"/>
  <c r="G54" i="3"/>
  <c r="E54" i="3"/>
  <c r="D54" i="3"/>
  <c r="C54" i="3"/>
  <c r="B54" i="3"/>
  <c r="T54" i="22"/>
  <c r="S54" i="22"/>
  <c r="R54" i="22"/>
  <c r="Q54" i="22"/>
  <c r="P54" i="22"/>
  <c r="O54" i="22"/>
  <c r="N54" i="22"/>
  <c r="M54" i="22"/>
  <c r="L54" i="22"/>
  <c r="K54" i="22"/>
  <c r="J54" i="22"/>
  <c r="I54" i="22"/>
  <c r="H54" i="22"/>
  <c r="G54" i="22"/>
  <c r="F54" i="22"/>
  <c r="E54" i="22"/>
  <c r="D54" i="22"/>
  <c r="C54" i="22"/>
  <c r="B54" i="22"/>
  <c r="T54" i="2"/>
  <c r="S54" i="2"/>
  <c r="R54" i="2"/>
  <c r="Q54" i="2"/>
  <c r="P54" i="2"/>
  <c r="O54" i="2"/>
  <c r="N54" i="2"/>
  <c r="M54" i="2"/>
  <c r="L54" i="2"/>
  <c r="K54" i="2"/>
  <c r="J54" i="2"/>
  <c r="I54" i="2"/>
  <c r="H54" i="2"/>
  <c r="G54" i="2"/>
  <c r="E54" i="2"/>
  <c r="D54" i="2"/>
  <c r="C54" i="2"/>
  <c r="B54" i="2"/>
  <c r="T54" i="21"/>
  <c r="S54" i="21"/>
  <c r="R54" i="21"/>
  <c r="Q54" i="21"/>
  <c r="P54" i="21"/>
  <c r="O54" i="21"/>
  <c r="N54" i="21"/>
  <c r="M54" i="21"/>
  <c r="L54" i="21"/>
  <c r="K54" i="21"/>
  <c r="J54" i="21"/>
  <c r="I54" i="21"/>
  <c r="H54" i="21"/>
  <c r="G54" i="21"/>
  <c r="F54" i="21"/>
  <c r="E54" i="21"/>
  <c r="D54" i="21"/>
  <c r="C54" i="21"/>
  <c r="B54" i="21"/>
  <c r="T54" i="1"/>
  <c r="S54" i="1"/>
  <c r="R54" i="1"/>
  <c r="Q54" i="1"/>
  <c r="P54" i="1"/>
  <c r="O54" i="1"/>
  <c r="N54" i="1"/>
  <c r="M54" i="1"/>
  <c r="L54" i="1"/>
  <c r="K54" i="1"/>
  <c r="J54" i="1"/>
  <c r="I54" i="1"/>
  <c r="H54" i="1"/>
  <c r="G54" i="1"/>
  <c r="F54" i="1"/>
  <c r="E54" i="1"/>
  <c r="D54" i="1"/>
  <c r="C54" i="1"/>
  <c r="B54" i="1"/>
  <c r="T54" i="20"/>
  <c r="S54" i="20"/>
  <c r="R54" i="20"/>
  <c r="Q54" i="20"/>
  <c r="P54" i="20"/>
  <c r="O54" i="20"/>
  <c r="N54" i="20"/>
  <c r="M54" i="20"/>
  <c r="L54" i="20"/>
  <c r="K54" i="20"/>
  <c r="J54" i="20"/>
  <c r="I54" i="20"/>
  <c r="H54" i="20"/>
  <c r="G54" i="20"/>
  <c r="F54" i="20"/>
  <c r="E54" i="20"/>
  <c r="D54" i="20"/>
  <c r="C54" i="20"/>
  <c r="B54" i="20"/>
  <c r="S54" i="11"/>
  <c r="R54" i="11"/>
  <c r="Q54" i="11"/>
  <c r="P54" i="11"/>
  <c r="O54" i="11"/>
  <c r="N54" i="11"/>
  <c r="M54" i="11"/>
  <c r="L54" i="11"/>
  <c r="K54" i="11"/>
  <c r="J54" i="11"/>
  <c r="I54" i="11"/>
  <c r="H54" i="11"/>
  <c r="G54" i="11"/>
  <c r="F54" i="11"/>
  <c r="E54" i="11"/>
  <c r="D54" i="11"/>
  <c r="C54" i="11"/>
  <c r="B54" i="11"/>
  <c r="T40" i="10"/>
  <c r="S40" i="10"/>
  <c r="R40" i="10"/>
  <c r="Q40" i="10"/>
  <c r="P40" i="10"/>
  <c r="O40" i="10"/>
  <c r="N40" i="10"/>
  <c r="M40" i="10"/>
  <c r="L40" i="10"/>
  <c r="K40" i="10"/>
  <c r="J40" i="10"/>
  <c r="I40" i="10"/>
  <c r="H40" i="10"/>
  <c r="G40" i="10"/>
  <c r="F40" i="10"/>
  <c r="E40" i="10"/>
  <c r="D40" i="10"/>
  <c r="C40" i="10"/>
  <c r="B40" i="10"/>
  <c r="T40" i="29"/>
  <c r="S40" i="29"/>
  <c r="R40" i="29"/>
  <c r="Q40" i="29"/>
  <c r="P40" i="29"/>
  <c r="O40" i="29"/>
  <c r="N40" i="29"/>
  <c r="M40" i="29"/>
  <c r="L40" i="29"/>
  <c r="K40" i="29"/>
  <c r="J40" i="29"/>
  <c r="I40" i="29"/>
  <c r="H40" i="29"/>
  <c r="G40" i="29"/>
  <c r="F40" i="29"/>
  <c r="E40" i="29"/>
  <c r="D40" i="29"/>
  <c r="C40" i="29"/>
  <c r="B40" i="29"/>
  <c r="T40" i="9"/>
  <c r="S40" i="9"/>
  <c r="R40" i="9"/>
  <c r="Q40" i="9"/>
  <c r="P40" i="9"/>
  <c r="O40" i="9"/>
  <c r="N40" i="9"/>
  <c r="M40" i="9"/>
  <c r="L40" i="9"/>
  <c r="K40" i="9"/>
  <c r="J40" i="9"/>
  <c r="I40" i="9"/>
  <c r="H40" i="9"/>
  <c r="G40" i="9"/>
  <c r="F40" i="9"/>
  <c r="E40" i="9"/>
  <c r="D40" i="9"/>
  <c r="C40" i="9"/>
  <c r="B40" i="9"/>
  <c r="T40" i="28"/>
  <c r="S40" i="28"/>
  <c r="R40" i="28"/>
  <c r="Q40" i="28"/>
  <c r="P40" i="28"/>
  <c r="O40" i="28"/>
  <c r="N40" i="28"/>
  <c r="M40" i="28"/>
  <c r="L40" i="28"/>
  <c r="K40" i="28"/>
  <c r="J40" i="28"/>
  <c r="I40" i="28"/>
  <c r="H40" i="28"/>
  <c r="G40" i="28"/>
  <c r="F40" i="28"/>
  <c r="E40" i="28"/>
  <c r="D40" i="28"/>
  <c r="C40" i="28"/>
  <c r="B40" i="28"/>
  <c r="T40" i="8"/>
  <c r="S40" i="8"/>
  <c r="R40" i="8"/>
  <c r="Q40" i="8"/>
  <c r="P40" i="8"/>
  <c r="O40" i="8"/>
  <c r="N40" i="8"/>
  <c r="M40" i="8"/>
  <c r="L40" i="8"/>
  <c r="K40" i="8"/>
  <c r="J40" i="8"/>
  <c r="I40" i="8"/>
  <c r="H40" i="8"/>
  <c r="G40" i="8"/>
  <c r="F40" i="8"/>
  <c r="E40" i="8"/>
  <c r="D40" i="8"/>
  <c r="C40" i="8"/>
  <c r="B40" i="8"/>
  <c r="T40" i="27"/>
  <c r="S40" i="27"/>
  <c r="R40" i="27"/>
  <c r="Q40" i="27"/>
  <c r="P40" i="27"/>
  <c r="O40" i="27"/>
  <c r="N40" i="27"/>
  <c r="M40" i="27"/>
  <c r="L40" i="27"/>
  <c r="K40" i="27"/>
  <c r="J40" i="27"/>
  <c r="I40" i="27"/>
  <c r="H40" i="27"/>
  <c r="G40" i="27"/>
  <c r="F40" i="27"/>
  <c r="E40" i="27"/>
  <c r="D40" i="27"/>
  <c r="C40" i="27"/>
  <c r="B40" i="27"/>
  <c r="T40" i="7"/>
  <c r="S40" i="7"/>
  <c r="R40" i="7"/>
  <c r="Q40" i="7"/>
  <c r="P40" i="7"/>
  <c r="O40" i="7"/>
  <c r="N40" i="7"/>
  <c r="M40" i="7"/>
  <c r="L40" i="7"/>
  <c r="K40" i="7"/>
  <c r="J40" i="7"/>
  <c r="I40" i="7"/>
  <c r="H40" i="7"/>
  <c r="G40" i="7"/>
  <c r="F40" i="7"/>
  <c r="E40" i="7"/>
  <c r="D40" i="7"/>
  <c r="C40" i="7"/>
  <c r="B40" i="7"/>
  <c r="T40" i="26"/>
  <c r="S40" i="26"/>
  <c r="R40" i="26"/>
  <c r="Q40" i="26"/>
  <c r="P40" i="26"/>
  <c r="O40" i="26"/>
  <c r="N40" i="26"/>
  <c r="M40" i="26"/>
  <c r="L40" i="26"/>
  <c r="K40" i="26"/>
  <c r="J40" i="26"/>
  <c r="I40" i="26"/>
  <c r="H40" i="26"/>
  <c r="G40" i="26"/>
  <c r="F40" i="26"/>
  <c r="E40" i="26"/>
  <c r="D40" i="26"/>
  <c r="C40" i="26"/>
  <c r="B40" i="26"/>
  <c r="T40" i="6"/>
  <c r="S40" i="6"/>
  <c r="R40" i="6"/>
  <c r="Q40" i="6"/>
  <c r="P40" i="6"/>
  <c r="O40" i="6"/>
  <c r="N40" i="6"/>
  <c r="M40" i="6"/>
  <c r="L40" i="6"/>
  <c r="K40" i="6"/>
  <c r="J40" i="6"/>
  <c r="I40" i="6"/>
  <c r="H40" i="6"/>
  <c r="G40" i="6"/>
  <c r="F40" i="6"/>
  <c r="E40" i="6"/>
  <c r="D40" i="6"/>
  <c r="C40" i="6"/>
  <c r="B40" i="6"/>
  <c r="T40" i="25"/>
  <c r="S40" i="25"/>
  <c r="R40" i="25"/>
  <c r="Q40" i="25"/>
  <c r="P40" i="25"/>
  <c r="O40" i="25"/>
  <c r="N40" i="25"/>
  <c r="M40" i="25"/>
  <c r="L40" i="25"/>
  <c r="K40" i="25"/>
  <c r="J40" i="25"/>
  <c r="I40" i="25"/>
  <c r="H40" i="25"/>
  <c r="G40" i="25"/>
  <c r="F40" i="25"/>
  <c r="E40" i="25"/>
  <c r="D40" i="25"/>
  <c r="C40" i="25"/>
  <c r="B40" i="25"/>
  <c r="T40" i="5"/>
  <c r="S40" i="5"/>
  <c r="R40" i="5"/>
  <c r="Q40" i="5"/>
  <c r="P40" i="5"/>
  <c r="O40" i="5"/>
  <c r="N40" i="5"/>
  <c r="M40" i="5"/>
  <c r="L40" i="5"/>
  <c r="K40" i="5"/>
  <c r="J40" i="5"/>
  <c r="I40" i="5"/>
  <c r="H40" i="5"/>
  <c r="G40" i="5"/>
  <c r="F40" i="5"/>
  <c r="E40" i="5"/>
  <c r="D40" i="5"/>
  <c r="C40" i="5"/>
  <c r="B40" i="5"/>
  <c r="T40" i="24"/>
  <c r="S40" i="24"/>
  <c r="R40" i="24"/>
  <c r="Q40" i="24"/>
  <c r="P40" i="24"/>
  <c r="O40" i="24"/>
  <c r="N40" i="24"/>
  <c r="M40" i="24"/>
  <c r="L40" i="24"/>
  <c r="K40" i="24"/>
  <c r="J40" i="24"/>
  <c r="I40" i="24"/>
  <c r="H40" i="24"/>
  <c r="G40" i="24"/>
  <c r="F40" i="24"/>
  <c r="E40" i="24"/>
  <c r="D40" i="24"/>
  <c r="C40" i="24"/>
  <c r="B40" i="24"/>
  <c r="T40" i="3"/>
  <c r="S40" i="3"/>
  <c r="R40" i="3"/>
  <c r="Q40" i="3"/>
  <c r="P40" i="3"/>
  <c r="O40" i="3"/>
  <c r="N40" i="3"/>
  <c r="M40" i="3"/>
  <c r="L40" i="3"/>
  <c r="K40" i="3"/>
  <c r="J40" i="3"/>
  <c r="I40" i="3"/>
  <c r="H40" i="3"/>
  <c r="G40" i="3"/>
  <c r="F40" i="3"/>
  <c r="E40" i="3"/>
  <c r="D40" i="3"/>
  <c r="C40" i="3"/>
  <c r="B40" i="3"/>
  <c r="T40" i="22"/>
  <c r="S40" i="22"/>
  <c r="R40" i="22"/>
  <c r="Q40" i="22"/>
  <c r="P40" i="22"/>
  <c r="O40" i="22"/>
  <c r="N40" i="22"/>
  <c r="M40" i="22"/>
  <c r="L40" i="22"/>
  <c r="K40" i="22"/>
  <c r="J40" i="22"/>
  <c r="I40" i="22"/>
  <c r="H40" i="22"/>
  <c r="G40" i="22"/>
  <c r="F40" i="22"/>
  <c r="E40" i="22"/>
  <c r="D40" i="22"/>
  <c r="C40" i="22"/>
  <c r="B40" i="22"/>
  <c r="T40" i="2"/>
  <c r="S40" i="2"/>
  <c r="R40" i="2"/>
  <c r="Q40" i="2"/>
  <c r="P40" i="2"/>
  <c r="O40" i="2"/>
  <c r="N40" i="2"/>
  <c r="M40" i="2"/>
  <c r="L40" i="2"/>
  <c r="K40" i="2"/>
  <c r="J40" i="2"/>
  <c r="I40" i="2"/>
  <c r="H40" i="2"/>
  <c r="G40" i="2"/>
  <c r="F40" i="2"/>
  <c r="E40" i="2"/>
  <c r="D40" i="2"/>
  <c r="C40" i="2"/>
  <c r="B40" i="2"/>
  <c r="T40" i="21"/>
  <c r="S40" i="21"/>
  <c r="R40" i="21"/>
  <c r="Q40" i="21"/>
  <c r="P40" i="21"/>
  <c r="O40" i="21"/>
  <c r="N40" i="21"/>
  <c r="M40" i="21"/>
  <c r="L40" i="21"/>
  <c r="K40" i="21"/>
  <c r="J40" i="21"/>
  <c r="I40" i="21"/>
  <c r="H40" i="21"/>
  <c r="G40" i="21"/>
  <c r="F40" i="21"/>
  <c r="E40" i="21"/>
  <c r="D40" i="21"/>
  <c r="C40" i="21"/>
  <c r="B40" i="21"/>
  <c r="T40" i="1"/>
  <c r="S40" i="1"/>
  <c r="R40" i="1"/>
  <c r="Q40" i="1"/>
  <c r="P40" i="1"/>
  <c r="O40" i="1"/>
  <c r="N40" i="1"/>
  <c r="M40" i="1"/>
  <c r="L40" i="1"/>
  <c r="K40" i="1"/>
  <c r="J40" i="1"/>
  <c r="I40" i="1"/>
  <c r="H40" i="1"/>
  <c r="G40" i="1"/>
  <c r="F40" i="1"/>
  <c r="E40" i="1"/>
  <c r="D40" i="1"/>
  <c r="C40" i="1"/>
  <c r="B40" i="1"/>
  <c r="T40" i="20"/>
  <c r="S40" i="20"/>
  <c r="R40" i="20"/>
  <c r="Q40" i="20"/>
  <c r="P40" i="20"/>
  <c r="O40" i="20"/>
  <c r="N40" i="20"/>
  <c r="M40" i="20"/>
  <c r="L40" i="20"/>
  <c r="K40" i="20"/>
  <c r="J40" i="20"/>
  <c r="I40" i="20"/>
  <c r="H40" i="20"/>
  <c r="G40" i="20"/>
  <c r="F40" i="20"/>
  <c r="E40" i="20"/>
  <c r="D40" i="20"/>
  <c r="C40" i="20"/>
  <c r="B40" i="20"/>
  <c r="T40" i="11"/>
  <c r="S40" i="11"/>
  <c r="R40" i="11"/>
  <c r="Q40" i="11"/>
  <c r="P40" i="11"/>
  <c r="O40" i="11"/>
  <c r="N40" i="11"/>
  <c r="M40" i="11"/>
  <c r="L40" i="11"/>
  <c r="K40" i="11"/>
  <c r="J40" i="11"/>
  <c r="I40" i="11"/>
  <c r="H40" i="11"/>
  <c r="G40" i="11"/>
  <c r="F40" i="11"/>
  <c r="E40" i="11"/>
  <c r="D40" i="11"/>
  <c r="C40" i="11"/>
  <c r="B40" i="11"/>
  <c r="T25" i="10"/>
  <c r="S25" i="10"/>
  <c r="R25" i="10"/>
  <c r="Q25" i="10"/>
  <c r="P25" i="10"/>
  <c r="O25" i="10"/>
  <c r="N25" i="10"/>
  <c r="M25" i="10"/>
  <c r="L25" i="10"/>
  <c r="K25" i="10"/>
  <c r="J25" i="10"/>
  <c r="I25" i="10"/>
  <c r="H25" i="10"/>
  <c r="G25" i="10"/>
  <c r="F25" i="10"/>
  <c r="E25" i="10"/>
  <c r="D25" i="10"/>
  <c r="C25" i="10"/>
  <c r="B25" i="10"/>
  <c r="T25" i="29"/>
  <c r="S25" i="29"/>
  <c r="R25" i="29"/>
  <c r="Q25" i="29"/>
  <c r="P25" i="29"/>
  <c r="O25" i="29"/>
  <c r="N25" i="29"/>
  <c r="M25" i="29"/>
  <c r="L25" i="29"/>
  <c r="K25" i="29"/>
  <c r="J25" i="29"/>
  <c r="I25" i="29"/>
  <c r="H25" i="29"/>
  <c r="G25" i="29"/>
  <c r="F25" i="29"/>
  <c r="E25" i="29"/>
  <c r="D25" i="29"/>
  <c r="C25" i="29"/>
  <c r="B25" i="29"/>
  <c r="T25" i="9"/>
  <c r="S25" i="9"/>
  <c r="R25" i="9"/>
  <c r="Q25" i="9"/>
  <c r="P25" i="9"/>
  <c r="O25" i="9"/>
  <c r="N25" i="9"/>
  <c r="M25" i="9"/>
  <c r="L25" i="9"/>
  <c r="K25" i="9"/>
  <c r="J25" i="9"/>
  <c r="I25" i="9"/>
  <c r="H25" i="9"/>
  <c r="G25" i="9"/>
  <c r="F25" i="9"/>
  <c r="E25" i="9"/>
  <c r="D25" i="9"/>
  <c r="C25" i="9"/>
  <c r="B25" i="9"/>
  <c r="T25" i="28"/>
  <c r="S25" i="28"/>
  <c r="R25" i="28"/>
  <c r="Q25" i="28"/>
  <c r="P25" i="28"/>
  <c r="O25" i="28"/>
  <c r="N25" i="28"/>
  <c r="M25" i="28"/>
  <c r="L25" i="28"/>
  <c r="K25" i="28"/>
  <c r="J25" i="28"/>
  <c r="I25" i="28"/>
  <c r="H25" i="28"/>
  <c r="G25" i="28"/>
  <c r="F25" i="28"/>
  <c r="E25" i="28"/>
  <c r="D25" i="28"/>
  <c r="C25" i="28"/>
  <c r="B25" i="28"/>
  <c r="T25" i="8"/>
  <c r="S25" i="8"/>
  <c r="R25" i="8"/>
  <c r="Q25" i="8"/>
  <c r="P25" i="8"/>
  <c r="O25" i="8"/>
  <c r="N25" i="8"/>
  <c r="M25" i="8"/>
  <c r="L25" i="8"/>
  <c r="K25" i="8"/>
  <c r="J25" i="8"/>
  <c r="I25" i="8"/>
  <c r="H25" i="8"/>
  <c r="G25" i="8"/>
  <c r="F25" i="8"/>
  <c r="E25" i="8"/>
  <c r="D25" i="8"/>
  <c r="C25" i="8"/>
  <c r="B25" i="8"/>
  <c r="T25" i="27"/>
  <c r="S25" i="27"/>
  <c r="R25" i="27"/>
  <c r="Q25" i="27"/>
  <c r="P25" i="27"/>
  <c r="O25" i="27"/>
  <c r="N25" i="27"/>
  <c r="M25" i="27"/>
  <c r="L25" i="27"/>
  <c r="K25" i="27"/>
  <c r="J25" i="27"/>
  <c r="I25" i="27"/>
  <c r="H25" i="27"/>
  <c r="G25" i="27"/>
  <c r="F25" i="27"/>
  <c r="E25" i="27"/>
  <c r="D25" i="27"/>
  <c r="C25" i="27"/>
  <c r="B25" i="27"/>
  <c r="T25" i="7"/>
  <c r="S25" i="7"/>
  <c r="R25" i="7"/>
  <c r="Q25" i="7"/>
  <c r="P25" i="7"/>
  <c r="O25" i="7"/>
  <c r="N25" i="7"/>
  <c r="M25" i="7"/>
  <c r="L25" i="7"/>
  <c r="L6" i="7" s="1"/>
  <c r="K25" i="7"/>
  <c r="J25" i="7"/>
  <c r="I25" i="7"/>
  <c r="H25" i="7"/>
  <c r="G25" i="7"/>
  <c r="F25" i="7"/>
  <c r="E25" i="7"/>
  <c r="D25" i="7"/>
  <c r="C25" i="7"/>
  <c r="B25" i="7"/>
  <c r="T25" i="26"/>
  <c r="S25" i="26"/>
  <c r="R25" i="26"/>
  <c r="Q25" i="26"/>
  <c r="P25" i="26"/>
  <c r="O25" i="26"/>
  <c r="N25" i="26"/>
  <c r="M25" i="26"/>
  <c r="L25" i="26"/>
  <c r="K25" i="26"/>
  <c r="J25" i="26"/>
  <c r="I25" i="26"/>
  <c r="H25" i="26"/>
  <c r="G25" i="26"/>
  <c r="F25" i="26"/>
  <c r="E25" i="26"/>
  <c r="D25" i="26"/>
  <c r="C25" i="26"/>
  <c r="B25" i="26"/>
  <c r="T25" i="6"/>
  <c r="S25" i="6"/>
  <c r="R25" i="6"/>
  <c r="Q25" i="6"/>
  <c r="P25" i="6"/>
  <c r="O25" i="6"/>
  <c r="N25" i="6"/>
  <c r="M25" i="6"/>
  <c r="L25" i="6"/>
  <c r="K25" i="6"/>
  <c r="J25" i="6"/>
  <c r="I25" i="6"/>
  <c r="H25" i="6"/>
  <c r="G25" i="6"/>
  <c r="F25" i="6"/>
  <c r="E25" i="6"/>
  <c r="D25" i="6"/>
  <c r="C25" i="6"/>
  <c r="B25" i="6"/>
  <c r="T25" i="25"/>
  <c r="S25" i="25"/>
  <c r="R25" i="25"/>
  <c r="R6" i="25" s="1"/>
  <c r="Q25" i="25"/>
  <c r="P25" i="25"/>
  <c r="O25" i="25"/>
  <c r="N25" i="25"/>
  <c r="M25" i="25"/>
  <c r="L25" i="25"/>
  <c r="K25" i="25"/>
  <c r="J25" i="25"/>
  <c r="I25" i="25"/>
  <c r="H25" i="25"/>
  <c r="G25" i="25"/>
  <c r="F25" i="25"/>
  <c r="E25" i="25"/>
  <c r="D25" i="25"/>
  <c r="C25" i="25"/>
  <c r="B25" i="25"/>
  <c r="T25" i="5"/>
  <c r="S25" i="5"/>
  <c r="R25" i="5"/>
  <c r="Q25" i="5"/>
  <c r="P25" i="5"/>
  <c r="O25" i="5"/>
  <c r="N25" i="5"/>
  <c r="M25" i="5"/>
  <c r="L25" i="5"/>
  <c r="K25" i="5"/>
  <c r="J25" i="5"/>
  <c r="I25" i="5"/>
  <c r="H25" i="5"/>
  <c r="G25" i="5"/>
  <c r="F25" i="5"/>
  <c r="E25" i="5"/>
  <c r="D25" i="5"/>
  <c r="C25" i="5"/>
  <c r="B25" i="5"/>
  <c r="T25" i="24"/>
  <c r="S25" i="24"/>
  <c r="R25" i="24"/>
  <c r="Q25" i="24"/>
  <c r="P25" i="24"/>
  <c r="O25" i="24"/>
  <c r="N25" i="24"/>
  <c r="M25" i="24"/>
  <c r="L25" i="24"/>
  <c r="K25" i="24"/>
  <c r="J25" i="24"/>
  <c r="I25" i="24"/>
  <c r="H25" i="24"/>
  <c r="G25" i="24"/>
  <c r="F25" i="24"/>
  <c r="E25" i="24"/>
  <c r="D25" i="24"/>
  <c r="C25" i="24"/>
  <c r="B25" i="24"/>
  <c r="T25" i="3"/>
  <c r="S25" i="3"/>
  <c r="R25" i="3"/>
  <c r="Q25" i="3"/>
  <c r="P25" i="3"/>
  <c r="O25" i="3"/>
  <c r="N25" i="3"/>
  <c r="M25" i="3"/>
  <c r="L25" i="3"/>
  <c r="K25" i="3"/>
  <c r="J25" i="3"/>
  <c r="I25" i="3"/>
  <c r="H25" i="3"/>
  <c r="G25" i="3"/>
  <c r="F25" i="3"/>
  <c r="E25" i="3"/>
  <c r="D25" i="3"/>
  <c r="C25" i="3"/>
  <c r="B25" i="3"/>
  <c r="T25" i="22"/>
  <c r="S25" i="22"/>
  <c r="R25" i="22"/>
  <c r="Q25" i="22"/>
  <c r="P25" i="22"/>
  <c r="O25" i="22"/>
  <c r="N25" i="22"/>
  <c r="M25" i="22"/>
  <c r="L25" i="22"/>
  <c r="K25" i="22"/>
  <c r="J25" i="22"/>
  <c r="I25" i="22"/>
  <c r="H25" i="22"/>
  <c r="G25" i="22"/>
  <c r="F25" i="22"/>
  <c r="E25" i="22"/>
  <c r="D25" i="22"/>
  <c r="C25" i="22"/>
  <c r="B25" i="22"/>
  <c r="T25" i="2"/>
  <c r="S25" i="2"/>
  <c r="R25" i="2"/>
  <c r="Q25" i="2"/>
  <c r="P25" i="2"/>
  <c r="O25" i="2"/>
  <c r="N25" i="2"/>
  <c r="M25" i="2"/>
  <c r="L25" i="2"/>
  <c r="K25" i="2"/>
  <c r="J25" i="2"/>
  <c r="I25" i="2"/>
  <c r="H25" i="2"/>
  <c r="G25" i="2"/>
  <c r="F25" i="2"/>
  <c r="E25" i="2"/>
  <c r="D25" i="2"/>
  <c r="C25" i="2"/>
  <c r="B25" i="2"/>
  <c r="T25" i="21"/>
  <c r="S25" i="21"/>
  <c r="R25" i="21"/>
  <c r="Q25" i="21"/>
  <c r="P25" i="21"/>
  <c r="O25" i="21"/>
  <c r="N25" i="21"/>
  <c r="M25" i="21"/>
  <c r="L25" i="21"/>
  <c r="K25" i="21"/>
  <c r="J25" i="21"/>
  <c r="I25" i="21"/>
  <c r="H25" i="21"/>
  <c r="G25" i="21"/>
  <c r="F25" i="21"/>
  <c r="E25" i="21"/>
  <c r="D25" i="21"/>
  <c r="C25" i="21"/>
  <c r="B25" i="21"/>
  <c r="T25" i="1"/>
  <c r="S25" i="1"/>
  <c r="R25" i="1"/>
  <c r="Q25" i="1"/>
  <c r="P25" i="1"/>
  <c r="O25" i="1"/>
  <c r="N25" i="1"/>
  <c r="M25" i="1"/>
  <c r="L25" i="1"/>
  <c r="K25" i="1"/>
  <c r="J25" i="1"/>
  <c r="I25" i="1"/>
  <c r="H25" i="1"/>
  <c r="G25" i="1"/>
  <c r="F25" i="1"/>
  <c r="E25" i="1"/>
  <c r="D25" i="1"/>
  <c r="C25" i="1"/>
  <c r="B25" i="1"/>
  <c r="T25" i="20"/>
  <c r="S25" i="20"/>
  <c r="R25" i="20"/>
  <c r="Q25" i="20"/>
  <c r="P25" i="20"/>
  <c r="O25" i="20"/>
  <c r="N25" i="20"/>
  <c r="M25" i="20"/>
  <c r="L25" i="20"/>
  <c r="K25" i="20"/>
  <c r="J25" i="20"/>
  <c r="I25" i="20"/>
  <c r="H25" i="20"/>
  <c r="G25" i="20"/>
  <c r="F25" i="20"/>
  <c r="E25" i="20"/>
  <c r="D25" i="20"/>
  <c r="C25" i="20"/>
  <c r="B25" i="20"/>
  <c r="T25" i="11"/>
  <c r="S25" i="11"/>
  <c r="R25" i="11"/>
  <c r="Q25" i="11"/>
  <c r="P25" i="11"/>
  <c r="O25" i="11"/>
  <c r="N25" i="11"/>
  <c r="M25" i="11"/>
  <c r="L25" i="11"/>
  <c r="K25" i="11"/>
  <c r="J25" i="11"/>
  <c r="I25" i="11"/>
  <c r="H25" i="11"/>
  <c r="G25" i="11"/>
  <c r="F25" i="11"/>
  <c r="E25" i="11"/>
  <c r="D25" i="11"/>
  <c r="C25" i="11"/>
  <c r="B25" i="11"/>
  <c r="T7" i="10"/>
  <c r="S7" i="10"/>
  <c r="R7" i="10"/>
  <c r="R6" i="10" s="1"/>
  <c r="Q7" i="10"/>
  <c r="P7" i="10"/>
  <c r="O7" i="10"/>
  <c r="N7" i="10"/>
  <c r="M7" i="10"/>
  <c r="L7" i="10"/>
  <c r="K7" i="10"/>
  <c r="I7" i="10"/>
  <c r="I6" i="10" s="1"/>
  <c r="F7" i="10"/>
  <c r="C7" i="10"/>
  <c r="B7" i="10"/>
  <c r="T7" i="29"/>
  <c r="S7" i="29"/>
  <c r="R7" i="29"/>
  <c r="Q7" i="29"/>
  <c r="P7" i="29"/>
  <c r="O7" i="29"/>
  <c r="N7" i="29"/>
  <c r="M7" i="29"/>
  <c r="L7" i="29"/>
  <c r="K7" i="29"/>
  <c r="I7" i="29"/>
  <c r="F7" i="29"/>
  <c r="F6" i="29" s="1"/>
  <c r="T7" i="9"/>
  <c r="S7" i="9"/>
  <c r="R7" i="9"/>
  <c r="Q7" i="9"/>
  <c r="P7" i="9"/>
  <c r="O7" i="9"/>
  <c r="N7" i="9"/>
  <c r="M7" i="9"/>
  <c r="L7" i="9"/>
  <c r="K7" i="9"/>
  <c r="J7" i="9"/>
  <c r="I7" i="9"/>
  <c r="H7" i="9"/>
  <c r="G7" i="9"/>
  <c r="F7" i="9"/>
  <c r="E7" i="9"/>
  <c r="D7" i="9"/>
  <c r="C7" i="9"/>
  <c r="B7" i="9"/>
  <c r="T7" i="28"/>
  <c r="S7" i="28"/>
  <c r="R7" i="28"/>
  <c r="Q7" i="28"/>
  <c r="P7" i="28"/>
  <c r="O7" i="28"/>
  <c r="N7" i="28"/>
  <c r="M7" i="28"/>
  <c r="L7" i="28"/>
  <c r="K7" i="28"/>
  <c r="J7" i="28"/>
  <c r="I7" i="28"/>
  <c r="H7" i="28"/>
  <c r="G7" i="28"/>
  <c r="F7" i="28"/>
  <c r="E7" i="28"/>
  <c r="T7" i="8"/>
  <c r="S7" i="8"/>
  <c r="R7" i="8"/>
  <c r="Q7" i="8"/>
  <c r="P7" i="8"/>
  <c r="O7" i="8"/>
  <c r="O6" i="8" s="1"/>
  <c r="N7" i="8"/>
  <c r="M7" i="8"/>
  <c r="L7" i="8"/>
  <c r="K7" i="8"/>
  <c r="J7" i="8"/>
  <c r="I7" i="8"/>
  <c r="H7" i="8"/>
  <c r="G7" i="8"/>
  <c r="F7" i="8"/>
  <c r="E7" i="8"/>
  <c r="D7" i="8"/>
  <c r="C7" i="8"/>
  <c r="B7" i="8"/>
  <c r="T7" i="27"/>
  <c r="S7" i="27"/>
  <c r="R7" i="27"/>
  <c r="Q7" i="27"/>
  <c r="P7" i="27"/>
  <c r="O7" i="27"/>
  <c r="N7" i="27"/>
  <c r="M7" i="27"/>
  <c r="L7" i="27"/>
  <c r="K7" i="27"/>
  <c r="J7" i="27"/>
  <c r="I7" i="27"/>
  <c r="H7" i="27"/>
  <c r="G7" i="27"/>
  <c r="F7" i="27"/>
  <c r="E7" i="27"/>
  <c r="T7" i="7"/>
  <c r="S7" i="7"/>
  <c r="R7" i="7"/>
  <c r="Q7" i="7"/>
  <c r="P7" i="7"/>
  <c r="O7" i="7"/>
  <c r="N7" i="7"/>
  <c r="M7" i="7"/>
  <c r="L7" i="7"/>
  <c r="K7" i="7"/>
  <c r="J7" i="7"/>
  <c r="I7" i="7"/>
  <c r="H7" i="7"/>
  <c r="G7" i="7"/>
  <c r="F7" i="7"/>
  <c r="E7" i="7"/>
  <c r="D7" i="7"/>
  <c r="C7" i="7"/>
  <c r="B7" i="7"/>
  <c r="T7" i="26"/>
  <c r="S7" i="26"/>
  <c r="R7" i="26"/>
  <c r="P7" i="26"/>
  <c r="O7" i="26"/>
  <c r="N7" i="26"/>
  <c r="M7" i="26"/>
  <c r="L7" i="26"/>
  <c r="K7" i="26"/>
  <c r="J7" i="26"/>
  <c r="I7" i="26"/>
  <c r="H7" i="26"/>
  <c r="G7" i="26"/>
  <c r="F7" i="26"/>
  <c r="E7" i="26"/>
  <c r="T7" i="6"/>
  <c r="S7" i="6"/>
  <c r="R7" i="6"/>
  <c r="Q7" i="6"/>
  <c r="P7" i="6"/>
  <c r="O7" i="6"/>
  <c r="N7" i="6"/>
  <c r="M7" i="6"/>
  <c r="L7" i="6"/>
  <c r="K7" i="6"/>
  <c r="J7" i="6"/>
  <c r="I7" i="6"/>
  <c r="H7" i="6"/>
  <c r="G7" i="6"/>
  <c r="F7" i="6"/>
  <c r="E7" i="6"/>
  <c r="D7" i="6"/>
  <c r="C7" i="6"/>
  <c r="B7" i="6"/>
  <c r="T7" i="25"/>
  <c r="S7" i="25"/>
  <c r="R7" i="25"/>
  <c r="P7" i="25"/>
  <c r="O7" i="25"/>
  <c r="N7" i="25"/>
  <c r="M7" i="25"/>
  <c r="L7" i="25"/>
  <c r="K7" i="25"/>
  <c r="J7" i="25"/>
  <c r="I7" i="25"/>
  <c r="H7" i="25"/>
  <c r="G7" i="25"/>
  <c r="F7" i="25"/>
  <c r="E7" i="25"/>
  <c r="T7" i="5"/>
  <c r="S7" i="5"/>
  <c r="R7" i="5"/>
  <c r="Q7" i="5"/>
  <c r="P7" i="5"/>
  <c r="O7" i="5"/>
  <c r="N7" i="5"/>
  <c r="M7" i="5"/>
  <c r="L7" i="5"/>
  <c r="K7" i="5"/>
  <c r="J7" i="5"/>
  <c r="I7" i="5"/>
  <c r="H7" i="5"/>
  <c r="G7" i="5"/>
  <c r="F7" i="5"/>
  <c r="E7" i="5"/>
  <c r="D7" i="5"/>
  <c r="C7" i="5"/>
  <c r="B7" i="5"/>
  <c r="T7" i="24"/>
  <c r="S7" i="24"/>
  <c r="R7" i="24"/>
  <c r="P7" i="24"/>
  <c r="O7" i="24"/>
  <c r="N7" i="24"/>
  <c r="M7" i="24"/>
  <c r="L7" i="24"/>
  <c r="K7" i="24"/>
  <c r="J7" i="24"/>
  <c r="I7" i="24"/>
  <c r="H7" i="24"/>
  <c r="G7" i="24"/>
  <c r="F7" i="24"/>
  <c r="E7" i="24"/>
  <c r="T7" i="3"/>
  <c r="S7" i="3"/>
  <c r="R7" i="3"/>
  <c r="Q7" i="3"/>
  <c r="P7" i="3"/>
  <c r="O7" i="3"/>
  <c r="N7" i="3"/>
  <c r="M7" i="3"/>
  <c r="L7" i="3"/>
  <c r="K7" i="3"/>
  <c r="J7" i="3"/>
  <c r="I7" i="3"/>
  <c r="H7" i="3"/>
  <c r="G7" i="3"/>
  <c r="F7" i="3"/>
  <c r="F6" i="3" s="1"/>
  <c r="E7" i="3"/>
  <c r="D7" i="3"/>
  <c r="C7" i="3"/>
  <c r="B7" i="3"/>
  <c r="T7" i="22"/>
  <c r="S7" i="22"/>
  <c r="R7" i="22"/>
  <c r="P7" i="22"/>
  <c r="O7" i="22"/>
  <c r="N7" i="22"/>
  <c r="M7" i="22"/>
  <c r="L7" i="22"/>
  <c r="K7" i="22"/>
  <c r="J7" i="22"/>
  <c r="I7" i="22"/>
  <c r="H7" i="22"/>
  <c r="G7" i="22"/>
  <c r="F7" i="22"/>
  <c r="E7" i="22"/>
  <c r="T7" i="2"/>
  <c r="S7" i="2"/>
  <c r="R7" i="2"/>
  <c r="Q7" i="2"/>
  <c r="P7" i="2"/>
  <c r="O7" i="2"/>
  <c r="N7" i="2"/>
  <c r="M7" i="2"/>
  <c r="L7" i="2"/>
  <c r="K7" i="2"/>
  <c r="J7" i="2"/>
  <c r="I7" i="2"/>
  <c r="H7" i="2"/>
  <c r="G7" i="2"/>
  <c r="F7" i="2"/>
  <c r="E7" i="2"/>
  <c r="D7" i="2"/>
  <c r="C7" i="2"/>
  <c r="B7" i="2"/>
  <c r="T7" i="21"/>
  <c r="S7" i="21"/>
  <c r="R7" i="21"/>
  <c r="P7" i="21"/>
  <c r="O7" i="21"/>
  <c r="N7" i="21"/>
  <c r="M7" i="21"/>
  <c r="L7" i="21"/>
  <c r="K7" i="21"/>
  <c r="J7" i="21"/>
  <c r="I7" i="21"/>
  <c r="H7" i="21"/>
  <c r="G7" i="21"/>
  <c r="F7" i="21"/>
  <c r="E7" i="21"/>
  <c r="T7" i="1"/>
  <c r="S7" i="1"/>
  <c r="R7" i="1"/>
  <c r="Q7" i="1"/>
  <c r="P7" i="1"/>
  <c r="O7" i="1"/>
  <c r="N7" i="1"/>
  <c r="M7" i="1"/>
  <c r="L7" i="1"/>
  <c r="K7" i="1"/>
  <c r="J7" i="1"/>
  <c r="I7" i="1"/>
  <c r="H7" i="1"/>
  <c r="G7" i="1"/>
  <c r="F7" i="1"/>
  <c r="E7" i="1"/>
  <c r="D7" i="1"/>
  <c r="C7" i="1"/>
  <c r="B7" i="1"/>
  <c r="T7" i="20"/>
  <c r="S7" i="20"/>
  <c r="R7" i="20"/>
  <c r="P7" i="20"/>
  <c r="O7" i="20"/>
  <c r="N7" i="20"/>
  <c r="M7" i="20"/>
  <c r="L7" i="20"/>
  <c r="K7" i="20"/>
  <c r="J7" i="20"/>
  <c r="I7" i="20"/>
  <c r="H7" i="20"/>
  <c r="G7" i="20"/>
  <c r="F7" i="20"/>
  <c r="E7" i="20"/>
  <c r="T7" i="11"/>
  <c r="S7" i="11"/>
  <c r="R7" i="11"/>
  <c r="Q7" i="11"/>
  <c r="P7" i="11"/>
  <c r="O7" i="11"/>
  <c r="N7" i="11"/>
  <c r="M7" i="11"/>
  <c r="L7" i="11"/>
  <c r="K7" i="11"/>
  <c r="J7" i="11"/>
  <c r="I7" i="11"/>
  <c r="H7" i="11"/>
  <c r="G7" i="11"/>
  <c r="F7" i="11"/>
  <c r="E7" i="11"/>
  <c r="D7" i="11"/>
  <c r="C7" i="11"/>
  <c r="B7" i="11"/>
  <c r="C54" i="31"/>
  <c r="D54" i="31"/>
  <c r="E54" i="31"/>
  <c r="F54" i="31"/>
  <c r="G54" i="31"/>
  <c r="H54" i="31"/>
  <c r="I54" i="31"/>
  <c r="J54" i="31"/>
  <c r="K54" i="31"/>
  <c r="L54" i="31"/>
  <c r="M54" i="31"/>
  <c r="N54" i="31"/>
  <c r="O54" i="31"/>
  <c r="P54" i="31"/>
  <c r="Q54" i="31"/>
  <c r="R54" i="31"/>
  <c r="S54" i="31"/>
  <c r="T54" i="31"/>
  <c r="B54" i="31"/>
  <c r="C40" i="31"/>
  <c r="D40" i="31"/>
  <c r="E40" i="31"/>
  <c r="F40" i="31"/>
  <c r="G40" i="31"/>
  <c r="H40" i="31"/>
  <c r="I40" i="31"/>
  <c r="J40" i="31"/>
  <c r="K40" i="31"/>
  <c r="L40" i="31"/>
  <c r="M40" i="31"/>
  <c r="N40" i="31"/>
  <c r="O40" i="31"/>
  <c r="P40" i="31"/>
  <c r="Q40" i="31"/>
  <c r="R40" i="31"/>
  <c r="S40" i="31"/>
  <c r="T40" i="31"/>
  <c r="B40" i="31"/>
  <c r="C25" i="31"/>
  <c r="D25" i="31"/>
  <c r="E25" i="31"/>
  <c r="F25" i="31"/>
  <c r="G25" i="31"/>
  <c r="H25" i="31"/>
  <c r="I25" i="31"/>
  <c r="J25" i="31"/>
  <c r="K25" i="31"/>
  <c r="L25" i="31"/>
  <c r="M25" i="31"/>
  <c r="N25" i="31"/>
  <c r="O25" i="31"/>
  <c r="P25" i="31"/>
  <c r="Q25" i="31"/>
  <c r="R25" i="31"/>
  <c r="S25" i="31"/>
  <c r="T25" i="31"/>
  <c r="B25" i="31"/>
  <c r="E7" i="31"/>
  <c r="F7" i="31"/>
  <c r="G7" i="31"/>
  <c r="H7" i="31"/>
  <c r="I7" i="31"/>
  <c r="J7" i="31"/>
  <c r="K7" i="31"/>
  <c r="L7" i="31"/>
  <c r="M7" i="31"/>
  <c r="N7" i="31"/>
  <c r="O7" i="31"/>
  <c r="P7" i="31"/>
  <c r="Q7" i="31"/>
  <c r="R7" i="31"/>
  <c r="S7" i="31"/>
  <c r="T7" i="31"/>
  <c r="P6" i="27" l="1"/>
  <c r="M6" i="8"/>
  <c r="I6" i="27"/>
  <c r="F6" i="8"/>
  <c r="N6" i="8"/>
  <c r="T6" i="25"/>
  <c r="O6" i="27"/>
  <c r="L6" i="8"/>
  <c r="Q6" i="9"/>
  <c r="M6" i="27"/>
  <c r="T6" i="8"/>
  <c r="T6" i="11"/>
  <c r="S6" i="8"/>
  <c r="K6" i="8"/>
  <c r="R6" i="8"/>
  <c r="T6" i="27"/>
  <c r="S6" i="22"/>
  <c r="L6" i="9"/>
  <c r="P6" i="22"/>
  <c r="T6" i="29"/>
  <c r="I6" i="8"/>
  <c r="M6" i="1"/>
  <c r="K6" i="27"/>
  <c r="S6" i="27"/>
  <c r="P6" i="8"/>
  <c r="P6" i="5"/>
  <c r="T6" i="7"/>
  <c r="L6" i="27"/>
  <c r="F6" i="27"/>
  <c r="M6" i="2"/>
  <c r="M6" i="7"/>
  <c r="R6" i="27"/>
  <c r="N6" i="27"/>
  <c r="T6" i="3"/>
  <c r="K6" i="3"/>
  <c r="S6" i="3"/>
  <c r="M6" i="10"/>
  <c r="M6" i="28"/>
  <c r="P6" i="21"/>
  <c r="I6" i="3"/>
  <c r="U6" i="8"/>
  <c r="AX65" i="31"/>
  <c r="R6" i="9"/>
  <c r="F6" i="7"/>
  <c r="N6" i="7"/>
  <c r="D54" i="4"/>
  <c r="AH54" i="11" s="1"/>
  <c r="I6" i="5"/>
  <c r="O6" i="3"/>
  <c r="P6" i="3"/>
  <c r="M6" i="3"/>
  <c r="L6" i="3"/>
  <c r="L6" i="2"/>
  <c r="T6" i="2"/>
  <c r="F6" i="2"/>
  <c r="R6" i="2"/>
  <c r="R6" i="1"/>
  <c r="I6" i="1"/>
  <c r="L6" i="1"/>
  <c r="T6" i="1"/>
  <c r="K6" i="1"/>
  <c r="S6" i="1"/>
  <c r="O6" i="1"/>
  <c r="F6" i="1"/>
  <c r="L6" i="28"/>
  <c r="T6" i="28"/>
  <c r="M6" i="29"/>
  <c r="N6" i="29"/>
  <c r="I6" i="29"/>
  <c r="O6" i="29"/>
  <c r="P6" i="26"/>
  <c r="I6" i="26"/>
  <c r="G25" i="23"/>
  <c r="O25" i="23"/>
  <c r="F40" i="23"/>
  <c r="N40" i="23"/>
  <c r="L6" i="26"/>
  <c r="T6" i="26"/>
  <c r="M6" i="26"/>
  <c r="O6" i="25"/>
  <c r="G54" i="23"/>
  <c r="H25" i="23"/>
  <c r="G40" i="23"/>
  <c r="O40" i="23"/>
  <c r="I6" i="25"/>
  <c r="O54" i="23"/>
  <c r="L6" i="25"/>
  <c r="P25" i="23"/>
  <c r="M6" i="25"/>
  <c r="I25" i="23"/>
  <c r="Q25" i="23"/>
  <c r="H40" i="23"/>
  <c r="P40" i="23"/>
  <c r="K6" i="22"/>
  <c r="O6" i="22"/>
  <c r="I6" i="22"/>
  <c r="M6" i="21"/>
  <c r="O6" i="20"/>
  <c r="T6" i="20"/>
  <c r="M6" i="20"/>
  <c r="R6" i="28"/>
  <c r="K6" i="28"/>
  <c r="S6" i="28"/>
  <c r="F6" i="28"/>
  <c r="N6" i="28"/>
  <c r="P6" i="28"/>
  <c r="O6" i="28"/>
  <c r="I6" i="28"/>
  <c r="O6" i="9"/>
  <c r="U6" i="9"/>
  <c r="I6" i="9"/>
  <c r="P6" i="9"/>
  <c r="K6" i="9"/>
  <c r="M6" i="9"/>
  <c r="T6" i="9"/>
  <c r="S6" i="9"/>
  <c r="L6" i="10"/>
  <c r="AH6" i="11"/>
  <c r="AL6" i="11"/>
  <c r="T6" i="10"/>
  <c r="K6" i="10"/>
  <c r="S6" i="10"/>
  <c r="AK6" i="11"/>
  <c r="AI6" i="11"/>
  <c r="P6" i="10"/>
  <c r="O6" i="10"/>
  <c r="F6" i="10"/>
  <c r="N6" i="10"/>
  <c r="K6" i="7"/>
  <c r="S6" i="7"/>
  <c r="R54" i="4"/>
  <c r="AV54" i="11" s="1"/>
  <c r="B54" i="4"/>
  <c r="AF54" i="11" s="1"/>
  <c r="K54" i="4"/>
  <c r="AO54" i="11" s="1"/>
  <c r="C54" i="4"/>
  <c r="L54" i="4"/>
  <c r="AP54" i="11" s="1"/>
  <c r="T54" i="4"/>
  <c r="B7" i="4"/>
  <c r="AF7" i="11" s="1"/>
  <c r="O6" i="7"/>
  <c r="J7" i="4"/>
  <c r="I6" i="7"/>
  <c r="Q6" i="7"/>
  <c r="P6" i="7"/>
  <c r="D25" i="4"/>
  <c r="AH25" i="11" s="1"/>
  <c r="L25" i="4"/>
  <c r="AP25" i="11" s="1"/>
  <c r="T25" i="4"/>
  <c r="C40" i="4"/>
  <c r="AG40" i="11" s="1"/>
  <c r="K40" i="4"/>
  <c r="AO40" i="11" s="1"/>
  <c r="S40" i="4"/>
  <c r="AW40" i="11" s="1"/>
  <c r="E25" i="4"/>
  <c r="AI25" i="11" s="1"/>
  <c r="M25" i="4"/>
  <c r="AQ25" i="11" s="1"/>
  <c r="D40" i="4"/>
  <c r="AH40" i="11" s="1"/>
  <c r="L40" i="4"/>
  <c r="AP40" i="11" s="1"/>
  <c r="T40" i="4"/>
  <c r="E7" i="4"/>
  <c r="M7" i="4"/>
  <c r="AQ7" i="11" s="1"/>
  <c r="F25" i="4"/>
  <c r="AJ25" i="11" s="1"/>
  <c r="N25" i="4"/>
  <c r="AR25" i="11" s="1"/>
  <c r="E40" i="4"/>
  <c r="AI40" i="11" s="1"/>
  <c r="M40" i="4"/>
  <c r="AQ40" i="11" s="1"/>
  <c r="F7" i="4"/>
  <c r="AJ7" i="11" s="1"/>
  <c r="N7" i="4"/>
  <c r="AR7" i="11" s="1"/>
  <c r="G7" i="4"/>
  <c r="J54" i="4"/>
  <c r="AN54" i="11" s="1"/>
  <c r="M6" i="5"/>
  <c r="T6" i="5"/>
  <c r="AG54" i="11"/>
  <c r="N6" i="3"/>
  <c r="R6" i="3"/>
  <c r="K6" i="2"/>
  <c r="S6" i="2"/>
  <c r="N6" i="2"/>
  <c r="O6" i="2"/>
  <c r="I6" i="2"/>
  <c r="P6" i="2"/>
  <c r="Q6" i="11"/>
  <c r="F6" i="11"/>
  <c r="N6" i="11"/>
  <c r="O6" i="11"/>
  <c r="P6" i="11"/>
  <c r="I6" i="11"/>
  <c r="R6" i="11"/>
  <c r="K6" i="11"/>
  <c r="M6" i="11"/>
  <c r="S6" i="11"/>
  <c r="I6" i="31"/>
  <c r="L6" i="29"/>
  <c r="P6" i="29"/>
  <c r="H7" i="23"/>
  <c r="R7" i="23"/>
  <c r="S6" i="26"/>
  <c r="P7" i="23"/>
  <c r="F6" i="26"/>
  <c r="N6" i="26"/>
  <c r="O6" i="26"/>
  <c r="B6" i="23"/>
  <c r="R6" i="26"/>
  <c r="P6" i="25"/>
  <c r="C6" i="23"/>
  <c r="J7" i="23"/>
  <c r="N6" i="25"/>
  <c r="E54" i="23"/>
  <c r="M54" i="23"/>
  <c r="U54" i="23"/>
  <c r="F6" i="25"/>
  <c r="N54" i="23"/>
  <c r="E7" i="23"/>
  <c r="M7" i="23"/>
  <c r="R6" i="24"/>
  <c r="R6" i="22"/>
  <c r="L6" i="22"/>
  <c r="T6" i="22"/>
  <c r="F6" i="22"/>
  <c r="N6" i="22"/>
  <c r="M6" i="22"/>
  <c r="F6" i="21"/>
  <c r="N6" i="21"/>
  <c r="O6" i="21"/>
  <c r="I6" i="21"/>
  <c r="R6" i="21"/>
  <c r="L6" i="21"/>
  <c r="T6" i="21"/>
  <c r="K6" i="21"/>
  <c r="S6" i="21"/>
  <c r="F6" i="20"/>
  <c r="N6" i="20"/>
  <c r="K6" i="20"/>
  <c r="S6" i="20"/>
  <c r="P6" i="20"/>
  <c r="L6" i="20"/>
  <c r="R6" i="20"/>
  <c r="I6" i="20"/>
  <c r="Q6" i="31"/>
  <c r="R6" i="31"/>
  <c r="R7" i="4"/>
  <c r="R6" i="5"/>
  <c r="M6" i="24"/>
  <c r="K6" i="5"/>
  <c r="D6" i="23"/>
  <c r="U54" i="4"/>
  <c r="AY54" i="11" s="1"/>
  <c r="F6" i="5"/>
  <c r="O6" i="24"/>
  <c r="Q6" i="3"/>
  <c r="P6" i="1"/>
  <c r="S6" i="25"/>
  <c r="P6" i="24"/>
  <c r="Q6" i="1"/>
  <c r="K6" i="25"/>
  <c r="Q6" i="28"/>
  <c r="F6" i="9"/>
  <c r="N6" i="9"/>
  <c r="S6" i="31"/>
  <c r="F54" i="23"/>
  <c r="F6" i="24"/>
  <c r="L6" i="5"/>
  <c r="K6" i="26"/>
  <c r="F6" i="31"/>
  <c r="N6" i="5"/>
  <c r="Q6" i="2"/>
  <c r="K7" i="23"/>
  <c r="K6" i="24"/>
  <c r="R6" i="29"/>
  <c r="I7" i="23"/>
  <c r="I6" i="24"/>
  <c r="Q6" i="29"/>
  <c r="S54" i="4"/>
  <c r="AW54" i="11" s="1"/>
  <c r="S6" i="5"/>
  <c r="K6" i="31"/>
  <c r="N6" i="24"/>
  <c r="O7" i="4"/>
  <c r="AS7" i="11" s="1"/>
  <c r="O6" i="5"/>
  <c r="Q6" i="10"/>
  <c r="Q6" i="8"/>
  <c r="R6" i="7"/>
  <c r="K6" i="29"/>
  <c r="S6" i="29"/>
  <c r="S7" i="23"/>
  <c r="H7" i="4"/>
  <c r="P7" i="4"/>
  <c r="AT7" i="11" s="1"/>
  <c r="B25" i="23"/>
  <c r="J25" i="23"/>
  <c r="R25" i="23"/>
  <c r="G25" i="4"/>
  <c r="AK25" i="11" s="1"/>
  <c r="O25" i="4"/>
  <c r="AS25" i="11" s="1"/>
  <c r="I40" i="23"/>
  <c r="Q40" i="23"/>
  <c r="F40" i="4"/>
  <c r="AJ40" i="11" s="1"/>
  <c r="N40" i="4"/>
  <c r="AR40" i="11" s="1"/>
  <c r="H54" i="23"/>
  <c r="P54" i="23"/>
  <c r="E54" i="4"/>
  <c r="AI54" i="11" s="1"/>
  <c r="M54" i="4"/>
  <c r="AQ54" i="11" s="1"/>
  <c r="U25" i="23"/>
  <c r="U6" i="22"/>
  <c r="U6" i="21"/>
  <c r="P6" i="31"/>
  <c r="L7" i="23"/>
  <c r="T7" i="23"/>
  <c r="I7" i="4"/>
  <c r="AM7" i="11" s="1"/>
  <c r="Q7" i="4"/>
  <c r="AU7" i="11" s="1"/>
  <c r="C25" i="23"/>
  <c r="K25" i="23"/>
  <c r="S25" i="23"/>
  <c r="H25" i="4"/>
  <c r="AL25" i="11" s="1"/>
  <c r="P25" i="4"/>
  <c r="AT25" i="11" s="1"/>
  <c r="B40" i="23"/>
  <c r="J40" i="23"/>
  <c r="R40" i="23"/>
  <c r="G40" i="4"/>
  <c r="AK40" i="11" s="1"/>
  <c r="O40" i="4"/>
  <c r="AS40" i="11" s="1"/>
  <c r="I54" i="23"/>
  <c r="Q54" i="23"/>
  <c r="F54" i="4"/>
  <c r="AJ54" i="11" s="1"/>
  <c r="N54" i="4"/>
  <c r="AR54" i="11" s="1"/>
  <c r="U40" i="23"/>
  <c r="L25" i="23"/>
  <c r="Q25" i="4"/>
  <c r="AU25" i="11" s="1"/>
  <c r="S40" i="23"/>
  <c r="B54" i="23"/>
  <c r="G54" i="4"/>
  <c r="AK54" i="11" s="1"/>
  <c r="N6" i="31"/>
  <c r="O6" i="31"/>
  <c r="S6" i="24"/>
  <c r="F7" i="23"/>
  <c r="N7" i="23"/>
  <c r="C7" i="4"/>
  <c r="AG7" i="11" s="1"/>
  <c r="K7" i="4"/>
  <c r="AO7" i="11" s="1"/>
  <c r="S7" i="4"/>
  <c r="AW7" i="11" s="1"/>
  <c r="E25" i="23"/>
  <c r="M25" i="23"/>
  <c r="B25" i="4"/>
  <c r="AF25" i="11" s="1"/>
  <c r="J25" i="4"/>
  <c r="AN25" i="11" s="1"/>
  <c r="R25" i="4"/>
  <c r="AV25" i="11" s="1"/>
  <c r="D40" i="23"/>
  <c r="L40" i="23"/>
  <c r="T40" i="23"/>
  <c r="I40" i="4"/>
  <c r="AM40" i="11" s="1"/>
  <c r="Q40" i="4"/>
  <c r="AU40" i="11" s="1"/>
  <c r="C54" i="23"/>
  <c r="K54" i="23"/>
  <c r="S54" i="23"/>
  <c r="H54" i="4"/>
  <c r="AL54" i="11" s="1"/>
  <c r="P54" i="4"/>
  <c r="AT54" i="11" s="1"/>
  <c r="U7" i="4"/>
  <c r="AY7" i="11" s="1"/>
  <c r="T25" i="23"/>
  <c r="C40" i="23"/>
  <c r="H40" i="4"/>
  <c r="AL40" i="11" s="1"/>
  <c r="J54" i="23"/>
  <c r="O54" i="4"/>
  <c r="AS54" i="11" s="1"/>
  <c r="M6" i="31"/>
  <c r="Q6" i="27"/>
  <c r="Q6" i="5"/>
  <c r="T6" i="24"/>
  <c r="L6" i="11"/>
  <c r="N6" i="1"/>
  <c r="G7" i="23"/>
  <c r="O7" i="23"/>
  <c r="D7" i="4"/>
  <c r="L7" i="4"/>
  <c r="AP7" i="11" s="1"/>
  <c r="T7" i="4"/>
  <c r="F25" i="23"/>
  <c r="N25" i="23"/>
  <c r="C25" i="4"/>
  <c r="AG25" i="11" s="1"/>
  <c r="K25" i="4"/>
  <c r="AO25" i="11" s="1"/>
  <c r="S25" i="4"/>
  <c r="AW25" i="11" s="1"/>
  <c r="E40" i="23"/>
  <c r="M40" i="23"/>
  <c r="B40" i="4"/>
  <c r="AF40" i="11" s="1"/>
  <c r="J40" i="4"/>
  <c r="AN40" i="11" s="1"/>
  <c r="R40" i="4"/>
  <c r="AV40" i="11" s="1"/>
  <c r="D54" i="23"/>
  <c r="L54" i="23"/>
  <c r="T54" i="23"/>
  <c r="I54" i="4"/>
  <c r="AM54" i="11" s="1"/>
  <c r="Q54" i="4"/>
  <c r="U25" i="4"/>
  <c r="AY25" i="11" s="1"/>
  <c r="U6" i="2"/>
  <c r="D25" i="23"/>
  <c r="I25" i="4"/>
  <c r="AM25" i="11" s="1"/>
  <c r="K40" i="23"/>
  <c r="P40" i="4"/>
  <c r="AT40" i="11" s="1"/>
  <c r="R54" i="23"/>
  <c r="T6" i="31"/>
  <c r="L6" i="31"/>
  <c r="L6" i="24"/>
  <c r="U40" i="4"/>
  <c r="AY40" i="11" s="1"/>
  <c r="U7" i="23"/>
  <c r="U6" i="11"/>
  <c r="U6" i="20"/>
  <c r="U6" i="1"/>
  <c r="U6" i="3"/>
  <c r="U6" i="24"/>
  <c r="U6" i="5"/>
  <c r="U6" i="25"/>
  <c r="T6" i="6"/>
  <c r="I6" i="6"/>
  <c r="L6" i="6"/>
  <c r="Q6" i="6"/>
  <c r="P6" i="6"/>
  <c r="M6" i="6"/>
  <c r="F6" i="6"/>
  <c r="K6" i="6"/>
  <c r="O6" i="6"/>
  <c r="S6" i="6"/>
  <c r="N6" i="6"/>
  <c r="R6" i="6"/>
  <c r="U6" i="6"/>
  <c r="U6" i="26"/>
  <c r="U6" i="7"/>
  <c r="U6" i="27"/>
  <c r="U6" i="28"/>
  <c r="U6" i="29"/>
  <c r="U6" i="10"/>
  <c r="U6" i="31"/>
  <c r="Q11" i="20"/>
  <c r="Q11" i="24"/>
  <c r="Q11" i="25"/>
  <c r="Q7" i="25" s="1"/>
  <c r="Q6" i="25" s="1"/>
  <c r="Q11" i="26"/>
  <c r="Q7" i="26" s="1"/>
  <c r="Q6" i="26" s="1"/>
  <c r="Q11" i="21"/>
  <c r="Q11" i="22"/>
  <c r="B9" i="24"/>
  <c r="B9" i="25"/>
  <c r="B9" i="26"/>
  <c r="B10" i="24"/>
  <c r="B10" i="25"/>
  <c r="B10" i="26"/>
  <c r="B12" i="24"/>
  <c r="B12" i="25"/>
  <c r="B12" i="26"/>
  <c r="B13" i="24"/>
  <c r="B13" i="25"/>
  <c r="B13" i="26"/>
  <c r="B14" i="24"/>
  <c r="B14" i="25"/>
  <c r="B14" i="26"/>
  <c r="B15" i="24"/>
  <c r="B15" i="25"/>
  <c r="B15" i="26"/>
  <c r="B17" i="24"/>
  <c r="B17" i="25"/>
  <c r="B17" i="26"/>
  <c r="B18" i="24"/>
  <c r="B18" i="25"/>
  <c r="B18" i="26"/>
  <c r="B20" i="24"/>
  <c r="B20" i="25"/>
  <c r="B20" i="26"/>
  <c r="B21" i="24"/>
  <c r="B21" i="25"/>
  <c r="B21" i="26"/>
  <c r="B22" i="24"/>
  <c r="B22" i="25"/>
  <c r="B22" i="26"/>
  <c r="B23" i="24"/>
  <c r="B23" i="25"/>
  <c r="B23" i="26"/>
  <c r="B24" i="24"/>
  <c r="B24" i="25"/>
  <c r="B24" i="26"/>
  <c r="C9" i="24"/>
  <c r="C9" i="25"/>
  <c r="C9" i="26"/>
  <c r="C10" i="24"/>
  <c r="C10" i="25"/>
  <c r="C10" i="26"/>
  <c r="C12" i="24"/>
  <c r="C12" i="25"/>
  <c r="C12" i="26"/>
  <c r="C13" i="24"/>
  <c r="C13" i="25"/>
  <c r="C13" i="26"/>
  <c r="C14" i="24"/>
  <c r="C14" i="25"/>
  <c r="C14" i="26"/>
  <c r="C15" i="24"/>
  <c r="C15" i="25"/>
  <c r="C15" i="26"/>
  <c r="C16" i="24"/>
  <c r="C16" i="25"/>
  <c r="C16" i="26"/>
  <c r="C17" i="24"/>
  <c r="C17" i="25"/>
  <c r="C17" i="26"/>
  <c r="C18" i="24"/>
  <c r="C18" i="25"/>
  <c r="C18" i="26"/>
  <c r="C19" i="24"/>
  <c r="C19" i="25"/>
  <c r="C19" i="26"/>
  <c r="C20" i="24"/>
  <c r="C20" i="25"/>
  <c r="C20" i="26"/>
  <c r="C21" i="24"/>
  <c r="C21" i="25"/>
  <c r="C21" i="26"/>
  <c r="C22" i="24"/>
  <c r="C22" i="25"/>
  <c r="C22" i="26"/>
  <c r="C23" i="24"/>
  <c r="C23" i="25"/>
  <c r="C23" i="26"/>
  <c r="C24" i="24"/>
  <c r="C24" i="25"/>
  <c r="C24" i="26"/>
  <c r="D9" i="24"/>
  <c r="D9" i="25"/>
  <c r="D9" i="26"/>
  <c r="D10" i="24"/>
  <c r="D10" i="25"/>
  <c r="D10" i="26"/>
  <c r="D11" i="24"/>
  <c r="D11" i="25"/>
  <c r="D11" i="26"/>
  <c r="D12" i="24"/>
  <c r="D12" i="25"/>
  <c r="D12" i="26"/>
  <c r="D13" i="24"/>
  <c r="D13" i="25"/>
  <c r="D13" i="26"/>
  <c r="D14" i="24"/>
  <c r="D14" i="25"/>
  <c r="D14" i="26"/>
  <c r="D15" i="24"/>
  <c r="D15" i="25"/>
  <c r="D15" i="26"/>
  <c r="D16" i="24"/>
  <c r="D16" i="25"/>
  <c r="D16" i="26"/>
  <c r="D17" i="24"/>
  <c r="D17" i="25"/>
  <c r="D17" i="26"/>
  <c r="D18" i="24"/>
  <c r="D18" i="25"/>
  <c r="D18" i="26"/>
  <c r="D19" i="24"/>
  <c r="D19" i="25"/>
  <c r="D19" i="26"/>
  <c r="D20" i="24"/>
  <c r="D20" i="25"/>
  <c r="D20" i="26"/>
  <c r="D21" i="24"/>
  <c r="D21" i="25"/>
  <c r="D21" i="26"/>
  <c r="D22" i="24"/>
  <c r="D22" i="25"/>
  <c r="D22" i="26"/>
  <c r="D23" i="24"/>
  <c r="D23" i="25"/>
  <c r="D23" i="26"/>
  <c r="D24" i="24"/>
  <c r="D24" i="25"/>
  <c r="D24" i="26"/>
  <c r="D16" i="10"/>
  <c r="E9" i="10"/>
  <c r="E10" i="10"/>
  <c r="AI10" i="11" s="1"/>
  <c r="E12" i="10"/>
  <c r="AI12" i="11" s="1"/>
  <c r="E13" i="10"/>
  <c r="AI13" i="11" s="1"/>
  <c r="E14" i="10"/>
  <c r="AI14" i="11" s="1"/>
  <c r="E15" i="10"/>
  <c r="AI15" i="11" s="1"/>
  <c r="E16" i="10"/>
  <c r="AI16" i="11" s="1"/>
  <c r="E17" i="10"/>
  <c r="AI17" i="11" s="1"/>
  <c r="E18" i="10"/>
  <c r="AI18" i="11" s="1"/>
  <c r="E19" i="10"/>
  <c r="AI19" i="11" s="1"/>
  <c r="E20" i="10"/>
  <c r="AI20" i="11" s="1"/>
  <c r="E21" i="10"/>
  <c r="AI21" i="11" s="1"/>
  <c r="E22" i="10"/>
  <c r="AI22" i="11" s="1"/>
  <c r="E23" i="10"/>
  <c r="AI23" i="11" s="1"/>
  <c r="E24" i="10"/>
  <c r="AI24" i="11" s="1"/>
  <c r="G9" i="10"/>
  <c r="G10" i="10"/>
  <c r="AK10" i="11" s="1"/>
  <c r="G12" i="10"/>
  <c r="AK12" i="11" s="1"/>
  <c r="G13" i="10"/>
  <c r="AK13" i="11" s="1"/>
  <c r="G14" i="10"/>
  <c r="AK14" i="11" s="1"/>
  <c r="G15" i="10"/>
  <c r="AK15" i="11" s="1"/>
  <c r="G16" i="10"/>
  <c r="AK16" i="11" s="1"/>
  <c r="G17" i="10"/>
  <c r="AK17" i="11" s="1"/>
  <c r="G18" i="10"/>
  <c r="AK18" i="11" s="1"/>
  <c r="G19" i="10"/>
  <c r="AK19" i="11" s="1"/>
  <c r="G20" i="10"/>
  <c r="AK20" i="11" s="1"/>
  <c r="G21" i="10"/>
  <c r="AK21" i="11" s="1"/>
  <c r="G22" i="10"/>
  <c r="AK22" i="11" s="1"/>
  <c r="G23" i="10"/>
  <c r="AK23" i="11" s="1"/>
  <c r="G24" i="10"/>
  <c r="AK24" i="11" s="1"/>
  <c r="H9" i="10"/>
  <c r="H10" i="10"/>
  <c r="AL10" i="11" s="1"/>
  <c r="H12" i="10"/>
  <c r="AL12" i="11" s="1"/>
  <c r="H14" i="10"/>
  <c r="AL14" i="11" s="1"/>
  <c r="H15" i="10"/>
  <c r="AL15" i="11" s="1"/>
  <c r="H16" i="10"/>
  <c r="AL16" i="11" s="1"/>
  <c r="H17" i="10"/>
  <c r="AL17" i="11" s="1"/>
  <c r="H18" i="10"/>
  <c r="AL18" i="11" s="1"/>
  <c r="H19" i="10"/>
  <c r="AL19" i="11" s="1"/>
  <c r="H20" i="10"/>
  <c r="AL20" i="11" s="1"/>
  <c r="H21" i="10"/>
  <c r="AL21" i="11" s="1"/>
  <c r="H22" i="10"/>
  <c r="AL22" i="11" s="1"/>
  <c r="H23" i="10"/>
  <c r="AL23" i="11" s="1"/>
  <c r="H24" i="10"/>
  <c r="AL24" i="11" s="1"/>
  <c r="J9" i="10"/>
  <c r="J10" i="10"/>
  <c r="AN10" i="11" s="1"/>
  <c r="J11" i="10"/>
  <c r="AN11" i="11" s="1"/>
  <c r="J12" i="10"/>
  <c r="AN12" i="11" s="1"/>
  <c r="J13" i="10"/>
  <c r="AN13" i="11" s="1"/>
  <c r="J14" i="10"/>
  <c r="AN14" i="11" s="1"/>
  <c r="J15" i="10"/>
  <c r="AN15" i="11" s="1"/>
  <c r="J16" i="10"/>
  <c r="AN16" i="11" s="1"/>
  <c r="J17" i="10"/>
  <c r="AN17" i="11" s="1"/>
  <c r="J18" i="10"/>
  <c r="AN18" i="11" s="1"/>
  <c r="J19" i="10"/>
  <c r="AN19" i="11" s="1"/>
  <c r="J20" i="10"/>
  <c r="AN20" i="11" s="1"/>
  <c r="J21" i="10"/>
  <c r="AN21" i="11" s="1"/>
  <c r="J22" i="10"/>
  <c r="AN22" i="11" s="1"/>
  <c r="J23" i="10"/>
  <c r="AN23" i="11" s="1"/>
  <c r="J24" i="10"/>
  <c r="AN24" i="11" s="1"/>
  <c r="B9" i="29"/>
  <c r="B10" i="29"/>
  <c r="B12" i="29"/>
  <c r="B14" i="29"/>
  <c r="B15" i="29"/>
  <c r="B17" i="29"/>
  <c r="B18" i="29"/>
  <c r="B20" i="29"/>
  <c r="B22" i="29"/>
  <c r="B23" i="29"/>
  <c r="B24" i="29"/>
  <c r="C9" i="29"/>
  <c r="C10" i="29"/>
  <c r="C12" i="29"/>
  <c r="C14" i="29"/>
  <c r="C15" i="29"/>
  <c r="C16" i="29"/>
  <c r="C17" i="29"/>
  <c r="C18" i="29"/>
  <c r="C19" i="29"/>
  <c r="C20" i="29"/>
  <c r="C21" i="29"/>
  <c r="C22" i="29"/>
  <c r="C23" i="29"/>
  <c r="C24" i="29"/>
  <c r="D9" i="29"/>
  <c r="D10" i="29"/>
  <c r="D11" i="29"/>
  <c r="D12" i="29"/>
  <c r="D13" i="29"/>
  <c r="D14" i="29"/>
  <c r="D15" i="29"/>
  <c r="D17" i="29"/>
  <c r="D20" i="29"/>
  <c r="D21" i="29"/>
  <c r="D22" i="29"/>
  <c r="D23" i="29"/>
  <c r="E9" i="29"/>
  <c r="E10" i="29"/>
  <c r="AI10" i="31" s="1"/>
  <c r="E12" i="29"/>
  <c r="AI12" i="31" s="1"/>
  <c r="E13" i="29"/>
  <c r="AI13" i="31" s="1"/>
  <c r="E14" i="29"/>
  <c r="AI14" i="31" s="1"/>
  <c r="E15" i="29"/>
  <c r="AI15" i="31" s="1"/>
  <c r="E16" i="29"/>
  <c r="AI16" i="31" s="1"/>
  <c r="E17" i="29"/>
  <c r="AI17" i="31" s="1"/>
  <c r="E18" i="29"/>
  <c r="AI18" i="31" s="1"/>
  <c r="E19" i="29"/>
  <c r="AI19" i="31" s="1"/>
  <c r="E20" i="29"/>
  <c r="AI20" i="31" s="1"/>
  <c r="E21" i="29"/>
  <c r="AI21" i="31" s="1"/>
  <c r="E22" i="29"/>
  <c r="AI22" i="31" s="1"/>
  <c r="E23" i="29"/>
  <c r="AI23" i="31" s="1"/>
  <c r="E24" i="29"/>
  <c r="AI24" i="31" s="1"/>
  <c r="G9" i="29"/>
  <c r="G10" i="29"/>
  <c r="AK10" i="31" s="1"/>
  <c r="G12" i="29"/>
  <c r="AK12" i="31" s="1"/>
  <c r="G13" i="29"/>
  <c r="AK13" i="31" s="1"/>
  <c r="G14" i="29"/>
  <c r="AK14" i="31" s="1"/>
  <c r="G15" i="29"/>
  <c r="AK15" i="31" s="1"/>
  <c r="G16" i="29"/>
  <c r="AK16" i="31" s="1"/>
  <c r="G17" i="29"/>
  <c r="AK17" i="31" s="1"/>
  <c r="G18" i="29"/>
  <c r="AK18" i="31" s="1"/>
  <c r="G19" i="29"/>
  <c r="AK19" i="31" s="1"/>
  <c r="G20" i="29"/>
  <c r="AK20" i="31" s="1"/>
  <c r="G21" i="29"/>
  <c r="AK21" i="31" s="1"/>
  <c r="G22" i="29"/>
  <c r="AK22" i="31" s="1"/>
  <c r="G23" i="29"/>
  <c r="AK23" i="31" s="1"/>
  <c r="G24" i="29"/>
  <c r="AK24" i="31" s="1"/>
  <c r="H9" i="29"/>
  <c r="H10" i="29"/>
  <c r="AL10" i="31" s="1"/>
  <c r="H12" i="29"/>
  <c r="AL12" i="31" s="1"/>
  <c r="H13" i="29"/>
  <c r="AL13" i="31" s="1"/>
  <c r="H14" i="29"/>
  <c r="AL14" i="31" s="1"/>
  <c r="H15" i="29"/>
  <c r="AL15" i="31" s="1"/>
  <c r="H16" i="29"/>
  <c r="AL16" i="31" s="1"/>
  <c r="H17" i="29"/>
  <c r="AL17" i="31" s="1"/>
  <c r="H18" i="29"/>
  <c r="AL18" i="31" s="1"/>
  <c r="H19" i="29"/>
  <c r="AL19" i="31" s="1"/>
  <c r="H20" i="29"/>
  <c r="AL20" i="31" s="1"/>
  <c r="H21" i="29"/>
  <c r="AL21" i="31" s="1"/>
  <c r="H22" i="29"/>
  <c r="AL22" i="31" s="1"/>
  <c r="H23" i="29"/>
  <c r="AL23" i="31" s="1"/>
  <c r="H24" i="29"/>
  <c r="AL24" i="31" s="1"/>
  <c r="J9" i="29"/>
  <c r="J10" i="29"/>
  <c r="AN10" i="31" s="1"/>
  <c r="J11" i="29"/>
  <c r="AN11" i="31" s="1"/>
  <c r="J12" i="29"/>
  <c r="AN12" i="31" s="1"/>
  <c r="J13" i="29"/>
  <c r="AN13" i="31" s="1"/>
  <c r="J14" i="29"/>
  <c r="AN14" i="31" s="1"/>
  <c r="J15" i="29"/>
  <c r="AN15" i="31" s="1"/>
  <c r="J16" i="29"/>
  <c r="AN16" i="31" s="1"/>
  <c r="J17" i="29"/>
  <c r="AN17" i="31" s="1"/>
  <c r="J18" i="29"/>
  <c r="AN18" i="31" s="1"/>
  <c r="J19" i="29"/>
  <c r="AN19" i="31" s="1"/>
  <c r="J20" i="29"/>
  <c r="AN20" i="31" s="1"/>
  <c r="J21" i="29"/>
  <c r="AN21" i="31" s="1"/>
  <c r="J22" i="29"/>
  <c r="AN22" i="31" s="1"/>
  <c r="J23" i="29"/>
  <c r="AN23" i="31" s="1"/>
  <c r="J24" i="29"/>
  <c r="AN24" i="31" s="1"/>
  <c r="B9" i="28"/>
  <c r="B10" i="28"/>
  <c r="B12" i="28"/>
  <c r="B13" i="28"/>
  <c r="B14" i="28"/>
  <c r="B15" i="28"/>
  <c r="B17" i="28"/>
  <c r="B18" i="28"/>
  <c r="B20" i="28"/>
  <c r="B21" i="28"/>
  <c r="B22" i="28"/>
  <c r="B23" i="28"/>
  <c r="B24" i="28"/>
  <c r="C9" i="28"/>
  <c r="C10" i="28"/>
  <c r="C12" i="28"/>
  <c r="C13" i="28"/>
  <c r="C14" i="28"/>
  <c r="C15" i="28"/>
  <c r="C16" i="28"/>
  <c r="C17" i="28"/>
  <c r="C18" i="28"/>
  <c r="C19" i="28"/>
  <c r="C20" i="28"/>
  <c r="C21" i="28"/>
  <c r="C22" i="28"/>
  <c r="C23" i="28"/>
  <c r="C24" i="28"/>
  <c r="D9" i="28"/>
  <c r="D10" i="28"/>
  <c r="D11" i="28"/>
  <c r="D12" i="28"/>
  <c r="D13" i="28"/>
  <c r="D14" i="28"/>
  <c r="D15" i="28"/>
  <c r="D17" i="28"/>
  <c r="D18" i="28"/>
  <c r="D20" i="28"/>
  <c r="D21" i="28"/>
  <c r="D22" i="28"/>
  <c r="D23" i="28"/>
  <c r="D24" i="28"/>
  <c r="B9" i="27"/>
  <c r="B10" i="27"/>
  <c r="B12" i="27"/>
  <c r="B13" i="27"/>
  <c r="B14" i="27"/>
  <c r="B15" i="27"/>
  <c r="B17" i="27"/>
  <c r="B18" i="27"/>
  <c r="B20" i="27"/>
  <c r="B21" i="27"/>
  <c r="B22" i="27"/>
  <c r="B23" i="27"/>
  <c r="B24" i="27"/>
  <c r="C9" i="27"/>
  <c r="C10" i="27"/>
  <c r="C12" i="27"/>
  <c r="C13" i="27"/>
  <c r="C14" i="27"/>
  <c r="C15" i="27"/>
  <c r="C16" i="27"/>
  <c r="C17" i="27"/>
  <c r="C18" i="27"/>
  <c r="C19" i="27"/>
  <c r="C20" i="27"/>
  <c r="C21" i="27"/>
  <c r="C22" i="27"/>
  <c r="C23" i="27"/>
  <c r="C24" i="27"/>
  <c r="D9" i="27"/>
  <c r="D10" i="27"/>
  <c r="D11" i="27"/>
  <c r="D12" i="27"/>
  <c r="D13" i="27"/>
  <c r="D14" i="27"/>
  <c r="D15" i="27"/>
  <c r="D17" i="27"/>
  <c r="D18" i="27"/>
  <c r="D20" i="27"/>
  <c r="D21" i="27"/>
  <c r="D22" i="27"/>
  <c r="D23" i="27"/>
  <c r="D24" i="27"/>
  <c r="B9" i="22"/>
  <c r="B10" i="22"/>
  <c r="B12" i="22"/>
  <c r="B13" i="22"/>
  <c r="B14" i="22"/>
  <c r="B15" i="22"/>
  <c r="B17" i="22"/>
  <c r="B18" i="22"/>
  <c r="B20" i="22"/>
  <c r="B21" i="22"/>
  <c r="B22" i="22"/>
  <c r="B23" i="22"/>
  <c r="B24" i="22"/>
  <c r="C9" i="22"/>
  <c r="C10" i="22"/>
  <c r="C12" i="22"/>
  <c r="C13" i="22"/>
  <c r="C14" i="22"/>
  <c r="C15" i="22"/>
  <c r="C16" i="22"/>
  <c r="C17" i="22"/>
  <c r="C18" i="22"/>
  <c r="C19" i="22"/>
  <c r="C20" i="22"/>
  <c r="C21" i="22"/>
  <c r="C22" i="22"/>
  <c r="C23" i="22"/>
  <c r="C24" i="22"/>
  <c r="D9" i="22"/>
  <c r="D10" i="22"/>
  <c r="D11" i="22"/>
  <c r="D12" i="22"/>
  <c r="D13" i="22"/>
  <c r="D14" i="22"/>
  <c r="D15" i="22"/>
  <c r="D16" i="22"/>
  <c r="D17" i="22"/>
  <c r="D18" i="22"/>
  <c r="D19" i="22"/>
  <c r="D20" i="22"/>
  <c r="D21" i="22"/>
  <c r="D22" i="22"/>
  <c r="D23" i="22"/>
  <c r="D24" i="22"/>
  <c r="B9" i="21"/>
  <c r="B10" i="21"/>
  <c r="B12" i="21"/>
  <c r="B13" i="21"/>
  <c r="B14" i="21"/>
  <c r="B15" i="21"/>
  <c r="B17" i="21"/>
  <c r="B18" i="21"/>
  <c r="B20" i="21"/>
  <c r="B21" i="21"/>
  <c r="B22" i="21"/>
  <c r="B23" i="21"/>
  <c r="B24" i="21"/>
  <c r="C9" i="21"/>
  <c r="C10" i="21"/>
  <c r="C12" i="21"/>
  <c r="C13" i="21"/>
  <c r="C14" i="21"/>
  <c r="C15" i="21"/>
  <c r="C16" i="21"/>
  <c r="C17" i="21"/>
  <c r="C18" i="21"/>
  <c r="C19" i="21"/>
  <c r="C20" i="21"/>
  <c r="C21" i="21"/>
  <c r="C22" i="21"/>
  <c r="C23" i="21"/>
  <c r="C24" i="21"/>
  <c r="D9" i="21"/>
  <c r="D10" i="21"/>
  <c r="D11" i="21"/>
  <c r="D12" i="21"/>
  <c r="D13" i="21"/>
  <c r="D14" i="21"/>
  <c r="D15" i="21"/>
  <c r="D16" i="21"/>
  <c r="D17" i="21"/>
  <c r="D18" i="21"/>
  <c r="D19" i="21"/>
  <c r="D20" i="21"/>
  <c r="D21" i="21"/>
  <c r="D22" i="21"/>
  <c r="D23" i="21"/>
  <c r="D24" i="21"/>
  <c r="B9" i="20"/>
  <c r="B10" i="20"/>
  <c r="B12" i="20"/>
  <c r="B13" i="20"/>
  <c r="B14" i="20"/>
  <c r="B15" i="20"/>
  <c r="B17" i="20"/>
  <c r="B18" i="20"/>
  <c r="B20" i="20"/>
  <c r="B21" i="20"/>
  <c r="B22" i="20"/>
  <c r="B23" i="20"/>
  <c r="B24" i="20"/>
  <c r="C9" i="20"/>
  <c r="C10" i="20"/>
  <c r="C12" i="20"/>
  <c r="C13" i="20"/>
  <c r="C14" i="20"/>
  <c r="C15" i="20"/>
  <c r="C16" i="20"/>
  <c r="C17" i="20"/>
  <c r="C18" i="20"/>
  <c r="C19" i="20"/>
  <c r="C20" i="20"/>
  <c r="C21" i="20"/>
  <c r="C22" i="20"/>
  <c r="C23" i="20"/>
  <c r="C24" i="20"/>
  <c r="D9" i="20"/>
  <c r="D10" i="20"/>
  <c r="D11" i="20"/>
  <c r="D12" i="20"/>
  <c r="D13" i="20"/>
  <c r="D14" i="20"/>
  <c r="D15" i="20"/>
  <c r="D16" i="20"/>
  <c r="D17" i="20"/>
  <c r="D18" i="20"/>
  <c r="D19" i="20"/>
  <c r="D20" i="20"/>
  <c r="D21" i="20"/>
  <c r="D22" i="20"/>
  <c r="D23" i="20"/>
  <c r="D24" i="20"/>
  <c r="AX7" i="11" l="1"/>
  <c r="I6" i="23"/>
  <c r="I6" i="4"/>
  <c r="AM6" i="11" s="1"/>
  <c r="X67" i="18"/>
  <c r="C7" i="27"/>
  <c r="P6" i="4"/>
  <c r="AT6" i="11" s="1"/>
  <c r="AX54" i="11"/>
  <c r="AX40" i="11"/>
  <c r="AX25" i="11"/>
  <c r="X27" i="19"/>
  <c r="S6" i="4"/>
  <c r="T6" i="4"/>
  <c r="R6" i="23"/>
  <c r="T6" i="23"/>
  <c r="L6" i="23"/>
  <c r="P6" i="23"/>
  <c r="N6" i="23"/>
  <c r="M6" i="23"/>
  <c r="AW6" i="11"/>
  <c r="AV7" i="11"/>
  <c r="X42" i="19"/>
  <c r="Q6" i="4"/>
  <c r="AU6" i="11" s="1"/>
  <c r="M6" i="4"/>
  <c r="AQ6" i="11" s="1"/>
  <c r="D7" i="29"/>
  <c r="D22" i="23"/>
  <c r="AH22" i="31" s="1"/>
  <c r="D14" i="23"/>
  <c r="AH14" i="31" s="1"/>
  <c r="C22" i="23"/>
  <c r="AG22" i="31" s="1"/>
  <c r="C14" i="23"/>
  <c r="AG14" i="31" s="1"/>
  <c r="B21" i="23"/>
  <c r="AF21" i="31" s="1"/>
  <c r="B10" i="23"/>
  <c r="AF10" i="31" s="1"/>
  <c r="O6" i="23"/>
  <c r="D19" i="23"/>
  <c r="AH19" i="31" s="1"/>
  <c r="D11" i="23"/>
  <c r="AH11" i="31" s="1"/>
  <c r="C19" i="23"/>
  <c r="AG19" i="31" s="1"/>
  <c r="C10" i="23"/>
  <c r="AG10" i="31" s="1"/>
  <c r="B17" i="23"/>
  <c r="AF17" i="31" s="1"/>
  <c r="F6" i="23"/>
  <c r="B15" i="23"/>
  <c r="AF15" i="31" s="1"/>
  <c r="D10" i="23"/>
  <c r="AH10" i="31" s="1"/>
  <c r="S6" i="23"/>
  <c r="D18" i="23"/>
  <c r="AH18" i="31" s="1"/>
  <c r="C18" i="23"/>
  <c r="AG18" i="31" s="1"/>
  <c r="U6" i="23"/>
  <c r="AU54" i="11"/>
  <c r="Q7" i="20"/>
  <c r="D7" i="27"/>
  <c r="B7" i="29"/>
  <c r="AN9" i="11"/>
  <c r="J7" i="10"/>
  <c r="AN7" i="11" s="1"/>
  <c r="D24" i="23"/>
  <c r="AH24" i="31" s="1"/>
  <c r="D16" i="23"/>
  <c r="AH16" i="31" s="1"/>
  <c r="C24" i="23"/>
  <c r="AG24" i="31" s="1"/>
  <c r="C16" i="23"/>
  <c r="AG16" i="31" s="1"/>
  <c r="C7" i="26"/>
  <c r="B23" i="23"/>
  <c r="AF23" i="31" s="1"/>
  <c r="B13" i="23"/>
  <c r="AF13" i="31" s="1"/>
  <c r="B7" i="25"/>
  <c r="R6" i="4"/>
  <c r="C7" i="21"/>
  <c r="C7" i="28"/>
  <c r="D21" i="23"/>
  <c r="AH21" i="31" s="1"/>
  <c r="D13" i="23"/>
  <c r="AH13" i="31" s="1"/>
  <c r="C21" i="23"/>
  <c r="AG21" i="31" s="1"/>
  <c r="C13" i="23"/>
  <c r="AG13" i="31" s="1"/>
  <c r="C7" i="25"/>
  <c r="B20" i="23"/>
  <c r="AF20" i="31" s="1"/>
  <c r="B9" i="23"/>
  <c r="AF9" i="31" s="1"/>
  <c r="B7" i="24"/>
  <c r="N6" i="4"/>
  <c r="AR6" i="11" s="1"/>
  <c r="L6" i="4"/>
  <c r="AP6" i="11" s="1"/>
  <c r="X9" i="19"/>
  <c r="B7" i="26"/>
  <c r="B7" i="20"/>
  <c r="B7" i="22"/>
  <c r="D7" i="28"/>
  <c r="C15" i="23"/>
  <c r="AG15" i="31" s="1"/>
  <c r="B22" i="23"/>
  <c r="AF22" i="31" s="1"/>
  <c r="Q7" i="21"/>
  <c r="O6" i="4"/>
  <c r="AS6" i="11" s="1"/>
  <c r="AI9" i="11"/>
  <c r="E7" i="10"/>
  <c r="AI7" i="11" s="1"/>
  <c r="D20" i="23"/>
  <c r="AH20" i="31" s="1"/>
  <c r="D12" i="23"/>
  <c r="AH12" i="31" s="1"/>
  <c r="D7" i="25"/>
  <c r="C20" i="23"/>
  <c r="AG20" i="31" s="1"/>
  <c r="C12" i="23"/>
  <c r="AG12" i="31" s="1"/>
  <c r="B18" i="23"/>
  <c r="AF18" i="31" s="1"/>
  <c r="K6" i="4"/>
  <c r="AO6" i="11" s="1"/>
  <c r="D7" i="21"/>
  <c r="C9" i="23"/>
  <c r="AG9" i="31" s="1"/>
  <c r="C7" i="24"/>
  <c r="D7" i="26"/>
  <c r="B7" i="27"/>
  <c r="AK9" i="31"/>
  <c r="G7" i="29"/>
  <c r="C7" i="20"/>
  <c r="C7" i="22"/>
  <c r="AL9" i="31"/>
  <c r="H7" i="29"/>
  <c r="C7" i="29"/>
  <c r="AK9" i="11"/>
  <c r="G7" i="10"/>
  <c r="AK7" i="11" s="1"/>
  <c r="AH16" i="11"/>
  <c r="D7" i="10"/>
  <c r="AH7" i="11" s="1"/>
  <c r="D17" i="23"/>
  <c r="AH17" i="31" s="1"/>
  <c r="D9" i="23"/>
  <c r="AH9" i="31" s="1"/>
  <c r="D7" i="24"/>
  <c r="C17" i="23"/>
  <c r="AG17" i="31" s="1"/>
  <c r="B24" i="23"/>
  <c r="AF24" i="31" s="1"/>
  <c r="B14" i="23"/>
  <c r="AF14" i="31" s="1"/>
  <c r="F6" i="4"/>
  <c r="AJ6" i="11" s="1"/>
  <c r="U6" i="4"/>
  <c r="AY6" i="11" s="1"/>
  <c r="K6" i="23"/>
  <c r="Q7" i="22"/>
  <c r="AI9" i="31"/>
  <c r="E7" i="29"/>
  <c r="D23" i="23"/>
  <c r="AH23" i="31" s="1"/>
  <c r="D15" i="23"/>
  <c r="AH15" i="31" s="1"/>
  <c r="C23" i="23"/>
  <c r="AG23" i="31" s="1"/>
  <c r="B12" i="23"/>
  <c r="AF12" i="31" s="1"/>
  <c r="D7" i="20"/>
  <c r="B7" i="21"/>
  <c r="D7" i="22"/>
  <c r="B7" i="28"/>
  <c r="AN9" i="31"/>
  <c r="J7" i="29"/>
  <c r="AL9" i="11"/>
  <c r="H7" i="10"/>
  <c r="AL7" i="11" s="1"/>
  <c r="Q11" i="23"/>
  <c r="Q7" i="24"/>
  <c r="X27" i="18"/>
  <c r="B7" i="31"/>
  <c r="D7" i="31"/>
  <c r="Y56" i="18"/>
  <c r="C7" i="31"/>
  <c r="X42" i="18"/>
  <c r="Y27" i="18"/>
  <c r="X56" i="18"/>
  <c r="Y42" i="18"/>
  <c r="X18" i="18"/>
  <c r="Y25" i="18"/>
  <c r="Y23" i="18"/>
  <c r="Y24" i="18"/>
  <c r="Y20" i="18"/>
  <c r="Y19" i="18"/>
  <c r="Y22" i="18"/>
  <c r="Y18" i="18"/>
  <c r="Y17" i="18"/>
  <c r="Y21" i="18"/>
  <c r="Y11" i="18"/>
  <c r="Y26" i="18"/>
  <c r="Y8" i="19"/>
  <c r="X25" i="18"/>
  <c r="X17" i="18"/>
  <c r="X26" i="18"/>
  <c r="X19" i="18"/>
  <c r="X22" i="18"/>
  <c r="X24" i="18"/>
  <c r="X11" i="18"/>
  <c r="AX6" i="11" l="1"/>
  <c r="X8" i="19"/>
  <c r="X56" i="19"/>
  <c r="C7" i="23"/>
  <c r="D7" i="23"/>
  <c r="AV6" i="11"/>
  <c r="Q6" i="22"/>
  <c r="Q6" i="20"/>
  <c r="Q7" i="23"/>
  <c r="Q6" i="24"/>
  <c r="Q6" i="23" s="1"/>
  <c r="AU11" i="31"/>
  <c r="X13" i="18"/>
  <c r="Q6" i="21"/>
  <c r="B7" i="23"/>
  <c r="Y8" i="18"/>
  <c r="X21" i="18"/>
  <c r="X20" i="18"/>
  <c r="Y9" i="18"/>
  <c r="X9" i="18" l="1"/>
  <c r="X8"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Susan Lounsbury</author>
    <author>Christiana Datubo-Brown</author>
  </authors>
  <commentList>
    <comment ref="J16" authorId="0" shapeId="0" xr:uid="{50ED99DE-EE20-44AE-AA12-968E0C87D455}">
      <text>
        <r>
          <rPr>
            <sz val="10"/>
            <rFont val="SWISS-C"/>
          </rPr>
          <t xml:space="preserve">Susan Lounsbury:
</t>
        </r>
      </text>
    </comment>
    <comment ref="V23" authorId="1" shapeId="0" xr:uid="{B9AB6572-5F03-4D84-9B3B-2C2F43ED4AD9}">
      <text>
        <r>
          <rPr>
            <b/>
            <sz val="9"/>
            <color indexed="81"/>
            <rFont val="Tahoma"/>
            <charset val="1"/>
          </rPr>
          <t>Christiana Datubo-Brown:</t>
        </r>
        <r>
          <rPr>
            <sz val="9"/>
            <color indexed="81"/>
            <rFont val="Tahoma"/>
            <charset val="1"/>
          </rPr>
          <t xml:space="preserve">
</t>
        </r>
      </text>
    </comment>
    <comment ref="K40" authorId="1" shapeId="0" xr:uid="{A6622DA5-97C2-42D7-A1BF-4C7D50E7D3FC}">
      <text>
        <r>
          <rPr>
            <b/>
            <sz val="9"/>
            <color indexed="81"/>
            <rFont val="Tahoma"/>
            <charset val="1"/>
          </rPr>
          <t>Christiana Datubo-Brown:</t>
        </r>
        <r>
          <rPr>
            <sz val="9"/>
            <color indexed="81"/>
            <rFont val="Tahoma"/>
            <charset val="1"/>
          </rPr>
          <t xml:space="preserve">
</t>
        </r>
      </text>
    </comment>
    <comment ref="V40" authorId="1" shapeId="0" xr:uid="{553462AB-E0A2-40A8-8D9D-47FDD8F14ADF}">
      <text>
        <r>
          <rPr>
            <b/>
            <sz val="9"/>
            <color indexed="81"/>
            <rFont val="Tahoma"/>
            <charset val="1"/>
          </rPr>
          <t>Christiana Datubo-Brown:</t>
        </r>
        <r>
          <rPr>
            <sz val="9"/>
            <color indexed="81"/>
            <rFont val="Tahoma"/>
            <charset val="1"/>
          </rPr>
          <t xml:space="preserve">
</t>
        </r>
      </text>
    </comment>
    <comment ref="J42" authorId="1" shapeId="0" xr:uid="{D2AAEDF3-C51B-4039-8CCF-629FF8F0CD59}">
      <text>
        <r>
          <rPr>
            <b/>
            <sz val="9"/>
            <color indexed="81"/>
            <rFont val="Tahoma"/>
            <charset val="1"/>
          </rPr>
          <t>Christiana Datubo-Brown:</t>
        </r>
        <r>
          <rPr>
            <sz val="9"/>
            <color indexed="81"/>
            <rFont val="Tahoma"/>
            <charset val="1"/>
          </rPr>
          <t xml:space="preserve">
</t>
        </r>
      </text>
    </comment>
    <comment ref="K50" authorId="1" shapeId="0" xr:uid="{D4F0AC5A-A1DF-42B1-98D0-E6DBEDA95BD2}">
      <text>
        <r>
          <rPr>
            <b/>
            <sz val="9"/>
            <color indexed="81"/>
            <rFont val="Tahoma"/>
            <charset val="1"/>
          </rPr>
          <t>Christiana Datubo-Brown:</t>
        </r>
        <r>
          <rPr>
            <sz val="9"/>
            <color indexed="81"/>
            <rFont val="Tahoma"/>
            <charset val="1"/>
          </rPr>
          <t xml:space="preserve">
</t>
        </r>
      </text>
    </comment>
    <comment ref="V64" authorId="1" shapeId="0" xr:uid="{3FF9BD16-ED8D-4999-85EB-6543C491464E}">
      <text>
        <r>
          <rPr>
            <b/>
            <sz val="9"/>
            <color indexed="81"/>
            <rFont val="Tahoma"/>
            <charset val="1"/>
          </rPr>
          <t>Christiana Datubo-Brown:</t>
        </r>
        <r>
          <rPr>
            <sz val="9"/>
            <color indexed="81"/>
            <rFont val="Tahoma"/>
            <charset val="1"/>
          </rPr>
          <t xml:space="preserve">
</t>
        </r>
      </text>
    </comment>
    <comment ref="V65" authorId="1" shapeId="0" xr:uid="{DECC23DD-831E-4DBD-91C0-8646BF6A21F3}">
      <text>
        <r>
          <rPr>
            <b/>
            <sz val="9"/>
            <color indexed="81"/>
            <rFont val="Tahoma"/>
            <charset val="1"/>
          </rPr>
          <t>Christiana Datubo-Brown:</t>
        </r>
        <r>
          <rPr>
            <sz val="9"/>
            <color indexed="81"/>
            <rFont val="Tahoma"/>
            <charset val="1"/>
          </rPr>
          <t xml:space="preserve">
</t>
        </r>
      </text>
    </comment>
    <comment ref="J66" authorId="1" shapeId="0" xr:uid="{182780E1-23AE-45E1-A4B7-F1E41DE54197}">
      <text>
        <r>
          <rPr>
            <b/>
            <sz val="9"/>
            <color indexed="81"/>
            <rFont val="Tahoma"/>
            <charset val="1"/>
          </rPr>
          <t>Christiana Datubo-Brown:</t>
        </r>
        <r>
          <rPr>
            <sz val="9"/>
            <color indexed="81"/>
            <rFont val="Tahoma"/>
            <charset val="1"/>
          </rPr>
          <t xml:space="preserve">
</t>
        </r>
      </text>
    </comment>
    <comment ref="K66" authorId="1" shapeId="0" xr:uid="{89FDFD5A-5190-4C9E-83BD-1AA4DD782692}">
      <text>
        <r>
          <rPr>
            <b/>
            <sz val="9"/>
            <color indexed="81"/>
            <rFont val="Tahoma"/>
            <charset val="1"/>
          </rPr>
          <t>Christiana Datubo-Brown:</t>
        </r>
        <r>
          <rPr>
            <sz val="9"/>
            <color indexed="81"/>
            <rFont val="Tahoma"/>
            <charset val="1"/>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9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xr:uid="{00000000-0006-0000-0900-000002000000}">
      <text>
        <r>
          <rPr>
            <b/>
            <sz val="9"/>
            <color indexed="81"/>
            <rFont val="Tahoma"/>
            <family val="2"/>
          </rPr>
          <t>jmarks:</t>
        </r>
        <r>
          <rPr>
            <sz val="9"/>
            <color indexed="81"/>
            <rFont val="Tahoma"/>
            <family val="2"/>
          </rPr>
          <t xml:space="preserve">
Starting this year, operation/maintenance of plant, depreciation, interest and some other non-operating expenditures are distributed in instruction, research, etc.</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A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M11" authorId="1" shapeId="0" xr:uid="{00000000-0006-0000-0A00-000002000000}">
      <text>
        <r>
          <rPr>
            <b/>
            <sz val="8"/>
            <color indexed="81"/>
            <rFont val="Tahoma"/>
            <family val="2"/>
          </rPr>
          <t>jmarks:</t>
        </r>
        <r>
          <rPr>
            <sz val="8"/>
            <color indexed="81"/>
            <rFont val="Tahoma"/>
            <family val="2"/>
          </rPr>
          <t xml:space="preserve">
U Del from FASB file</t>
        </r>
      </text>
    </comment>
    <comment ref="Q11" authorId="1" shapeId="0" xr:uid="{00000000-0006-0000-0A00-000003000000}">
      <text>
        <r>
          <rPr>
            <b/>
            <sz val="8"/>
            <color indexed="81"/>
            <rFont val="Tahoma"/>
            <family val="2"/>
          </rPr>
          <t>jmarks:</t>
        </r>
        <r>
          <rPr>
            <sz val="8"/>
            <color indexed="81"/>
            <rFont val="Tahoma"/>
            <family val="2"/>
          </rPr>
          <t xml:space="preserve">
U Del from FASB file</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JLM</author>
  </authors>
  <commentList>
    <comment ref="A1" authorId="0" shapeId="0" xr:uid="{00000000-0006-0000-0B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C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M11" authorId="1" shapeId="0" xr:uid="{00000000-0006-0000-0C00-000002000000}">
      <text>
        <r>
          <rPr>
            <b/>
            <sz val="8"/>
            <color indexed="81"/>
            <rFont val="Tahoma"/>
            <family val="2"/>
          </rPr>
          <t>jmarks:</t>
        </r>
        <r>
          <rPr>
            <sz val="8"/>
            <color indexed="81"/>
            <rFont val="Tahoma"/>
            <family val="2"/>
          </rPr>
          <t xml:space="preserve">
U Del from FASB file</t>
        </r>
      </text>
    </comment>
    <comment ref="Q11" authorId="1" shapeId="0" xr:uid="{00000000-0006-0000-0C00-000003000000}">
      <text>
        <r>
          <rPr>
            <b/>
            <sz val="8"/>
            <color indexed="81"/>
            <rFont val="Tahoma"/>
            <family val="2"/>
          </rPr>
          <t>jmarks:</t>
        </r>
        <r>
          <rPr>
            <sz val="8"/>
            <color indexed="81"/>
            <rFont val="Tahoma"/>
            <family val="2"/>
          </rPr>
          <t xml:space="preserve">
U Del from FASB file</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D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I13" authorId="1" shapeId="0" xr:uid="{00000000-0006-0000-0D00-000002000000}">
      <text>
        <r>
          <rPr>
            <b/>
            <sz val="8"/>
            <color indexed="81"/>
            <rFont val="Tahoma"/>
            <family val="2"/>
          </rPr>
          <t>jmarks:</t>
        </r>
        <r>
          <rPr>
            <sz val="8"/>
            <color indexed="81"/>
            <rFont val="Tahoma"/>
            <family val="2"/>
          </rPr>
          <t xml:space="preserve">
revised figure from DE HEC</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E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M11" authorId="1" shapeId="0" xr:uid="{00000000-0006-0000-0E00-000002000000}">
      <text>
        <r>
          <rPr>
            <b/>
            <sz val="8"/>
            <color indexed="81"/>
            <rFont val="Tahoma"/>
            <family val="2"/>
          </rPr>
          <t>jmarks:</t>
        </r>
        <r>
          <rPr>
            <sz val="8"/>
            <color indexed="81"/>
            <rFont val="Tahoma"/>
            <family val="2"/>
          </rPr>
          <t xml:space="preserve">
U Del from FASB file</t>
        </r>
      </text>
    </comment>
    <comment ref="Q11" authorId="1" shapeId="0" xr:uid="{00000000-0006-0000-0E00-000003000000}">
      <text>
        <r>
          <rPr>
            <b/>
            <sz val="8"/>
            <color indexed="81"/>
            <rFont val="Tahoma"/>
            <family val="2"/>
          </rPr>
          <t>jmarks:</t>
        </r>
        <r>
          <rPr>
            <sz val="8"/>
            <color indexed="81"/>
            <rFont val="Tahoma"/>
            <family val="2"/>
          </rPr>
          <t xml:space="preserve">
U Del from FASB file</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JLM</author>
  </authors>
  <commentList>
    <comment ref="A1" authorId="0" shapeId="0" xr:uid="{00000000-0006-0000-0F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10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M11" authorId="1" shapeId="0" xr:uid="{00000000-0006-0000-1000-000002000000}">
      <text>
        <r>
          <rPr>
            <b/>
            <sz val="8"/>
            <color indexed="81"/>
            <rFont val="Tahoma"/>
            <family val="2"/>
          </rPr>
          <t>jmarks:</t>
        </r>
        <r>
          <rPr>
            <sz val="8"/>
            <color indexed="81"/>
            <rFont val="Tahoma"/>
            <family val="2"/>
          </rPr>
          <t xml:space="preserve">
U Del from FASB file</t>
        </r>
      </text>
    </comment>
    <comment ref="Q11" authorId="1" shapeId="0" xr:uid="{00000000-0006-0000-1000-000003000000}">
      <text>
        <r>
          <rPr>
            <b/>
            <sz val="8"/>
            <color indexed="81"/>
            <rFont val="Tahoma"/>
            <family val="2"/>
          </rPr>
          <t>jmarks:</t>
        </r>
        <r>
          <rPr>
            <sz val="8"/>
            <color indexed="81"/>
            <rFont val="Tahoma"/>
            <family val="2"/>
          </rPr>
          <t xml:space="preserve">
U Del from FASB file</t>
        </r>
      </text>
    </comment>
    <comment ref="T65" authorId="1" shapeId="0" xr:uid="{00000000-0006-0000-1000-000004000000}">
      <text>
        <r>
          <rPr>
            <b/>
            <sz val="10"/>
            <color indexed="81"/>
            <rFont val="Tahoma"/>
            <family val="2"/>
          </rPr>
          <t>jmarks:</t>
        </r>
        <r>
          <rPr>
            <sz val="10"/>
            <color indexed="81"/>
            <rFont val="Tahoma"/>
            <family val="2"/>
          </rPr>
          <t xml:space="preserve">
4,964 reported. Substituted extrapolated amount.</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JLM</author>
  </authors>
  <commentList>
    <comment ref="A1" authorId="0" shapeId="0" xr:uid="{00000000-0006-0000-11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12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M11" authorId="1" shapeId="0" xr:uid="{00000000-0006-0000-1200-000002000000}">
      <text>
        <r>
          <rPr>
            <b/>
            <sz val="8"/>
            <color indexed="81"/>
            <rFont val="Tahoma"/>
            <family val="2"/>
          </rPr>
          <t>jmarks:</t>
        </r>
        <r>
          <rPr>
            <sz val="8"/>
            <color indexed="81"/>
            <rFont val="Tahoma"/>
            <family val="2"/>
          </rPr>
          <t xml:space="preserve">
U Del from FASB fle
</t>
        </r>
      </text>
    </comment>
    <comment ref="Q11" authorId="1" shapeId="0" xr:uid="{00000000-0006-0000-1200-000003000000}">
      <text>
        <r>
          <rPr>
            <b/>
            <sz val="8"/>
            <color indexed="81"/>
            <rFont val="Tahoma"/>
            <family val="2"/>
          </rPr>
          <t>jmarks:</t>
        </r>
        <r>
          <rPr>
            <sz val="8"/>
            <color indexed="81"/>
            <rFont val="Tahoma"/>
            <family val="2"/>
          </rPr>
          <t xml:space="preserve">
U Del from FASB fle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Christiana Datubo-Brown</author>
    <author>Susan Lounsbury</author>
    <author>jmarks</author>
  </authors>
  <commentList>
    <comment ref="D8" authorId="0" shapeId="0" xr:uid="{EA0AD9BE-A28F-483D-9F25-15C89538CCBC}">
      <text>
        <r>
          <rPr>
            <b/>
            <sz val="9"/>
            <color indexed="81"/>
            <rFont val="Tahoma"/>
            <charset val="1"/>
          </rPr>
          <t>Christiana Datubo-Brown:</t>
        </r>
        <r>
          <rPr>
            <sz val="9"/>
            <color indexed="81"/>
            <rFont val="Tahoma"/>
            <charset val="1"/>
          </rPr>
          <t xml:space="preserve">
</t>
        </r>
      </text>
    </comment>
    <comment ref="D9" authorId="0" shapeId="0" xr:uid="{10BD965E-CC71-4F3B-94C5-23A87750DA0D}">
      <text>
        <r>
          <rPr>
            <b/>
            <sz val="9"/>
            <color indexed="81"/>
            <rFont val="Tahoma"/>
            <charset val="1"/>
          </rPr>
          <t>Christiana Datubo-Brown:</t>
        </r>
        <r>
          <rPr>
            <sz val="9"/>
            <color indexed="81"/>
            <rFont val="Tahoma"/>
            <charset val="1"/>
          </rPr>
          <t xml:space="preserve">
</t>
        </r>
      </text>
    </comment>
    <comment ref="J9" authorId="1" shapeId="0" xr:uid="{137C72BF-8A48-4BB7-9FAC-361D6070CA0D}">
      <text>
        <r>
          <rPr>
            <sz val="10"/>
            <rFont val="SWISS-C"/>
          </rPr>
          <t xml:space="preserve">Susan Lounsbury:
</t>
        </r>
      </text>
    </comment>
    <comment ref="V13" authorId="0" shapeId="0" xr:uid="{C469F361-35C8-4C5A-8467-80849A628277}">
      <text>
        <r>
          <rPr>
            <b/>
            <sz val="9"/>
            <color indexed="81"/>
            <rFont val="Tahoma"/>
            <charset val="1"/>
          </rPr>
          <t>Christiana Datubo-Brown:</t>
        </r>
        <r>
          <rPr>
            <sz val="9"/>
            <color indexed="81"/>
            <rFont val="Tahoma"/>
            <charset val="1"/>
          </rPr>
          <t xml:space="preserve">
</t>
        </r>
      </text>
    </comment>
    <comment ref="V14" authorId="0" shapeId="0" xr:uid="{4E63F76E-DD5D-4D05-B28E-C2C5BE520D05}">
      <text>
        <r>
          <rPr>
            <b/>
            <sz val="9"/>
            <color indexed="81"/>
            <rFont val="Tahoma"/>
            <charset val="1"/>
          </rPr>
          <t>Christiana Datubo-Brown:</t>
        </r>
        <r>
          <rPr>
            <sz val="9"/>
            <color indexed="81"/>
            <rFont val="Tahoma"/>
            <charset val="1"/>
          </rPr>
          <t xml:space="preserve">
</t>
        </r>
      </text>
    </comment>
    <comment ref="J15" authorId="1" shapeId="0" xr:uid="{57B0D615-53B6-4612-85EF-47F06ED3ED04}">
      <text>
        <r>
          <rPr>
            <sz val="10"/>
            <rFont val="SWISS-C"/>
          </rPr>
          <t xml:space="preserve">Susan Lounsbury:
</t>
        </r>
      </text>
    </comment>
    <comment ref="L15" authorId="1" shapeId="0" xr:uid="{5AF88406-904D-47E3-AEF7-0C746F0DABD4}">
      <text>
        <r>
          <rPr>
            <sz val="10"/>
            <rFont val="SWISS-C"/>
          </rPr>
          <t xml:space="preserve">Susan Lounsbury:
</t>
        </r>
      </text>
    </comment>
    <comment ref="D17" authorId="1" shapeId="0" xr:uid="{57119B9F-BD0C-490D-B03D-96276A3BA0DD}">
      <text>
        <r>
          <rPr>
            <sz val="10"/>
            <rFont val="SWISS-C"/>
          </rPr>
          <t xml:space="preserve">Susan Lounsbury:
</t>
        </r>
      </text>
    </comment>
    <comment ref="D18" authorId="1" shapeId="0" xr:uid="{1C16066D-E63D-4E8D-A111-6D7961D79748}">
      <text>
        <r>
          <rPr>
            <sz val="10"/>
            <rFont val="SWISS-C"/>
          </rPr>
          <t xml:space="preserve">Susan Lounsbury:
</t>
        </r>
      </text>
    </comment>
    <comment ref="J18" authorId="1" shapeId="0" xr:uid="{D540703F-7AA4-4DE5-9A3E-586136000D15}">
      <text>
        <r>
          <rPr>
            <sz val="10"/>
            <rFont val="SWISS-C"/>
          </rPr>
          <t xml:space="preserve">Susan Lounsbury:
</t>
        </r>
      </text>
    </comment>
    <comment ref="K18" authorId="1" shapeId="0" xr:uid="{9C68AF78-A982-4459-B25F-F3B6A1BF545C}">
      <text>
        <r>
          <rPr>
            <sz val="10"/>
            <rFont val="SWISS-C"/>
          </rPr>
          <t xml:space="preserve">Susan Lounsbury:
</t>
        </r>
      </text>
    </comment>
    <comment ref="L18" authorId="1" shapeId="0" xr:uid="{21EC9F22-10ED-4359-AB0E-3AA8C313D162}">
      <text>
        <r>
          <rPr>
            <sz val="10"/>
            <rFont val="SWISS-C"/>
          </rPr>
          <t xml:space="preserve">Susan Lounsbury:
</t>
        </r>
      </text>
    </comment>
    <comment ref="K19" authorId="1" shapeId="0" xr:uid="{613B4535-BF74-45EE-AF7A-47359681ADFB}">
      <text>
        <r>
          <rPr>
            <sz val="10"/>
            <rFont val="SWISS-C"/>
          </rPr>
          <t xml:space="preserve">Susan Lounsbury:
</t>
        </r>
      </text>
    </comment>
    <comment ref="D20" authorId="1" shapeId="0" xr:uid="{8315CB01-F839-4FE3-8F91-E701A0A572EE}">
      <text>
        <r>
          <rPr>
            <sz val="10"/>
            <rFont val="SWISS-C"/>
          </rPr>
          <t xml:space="preserve">Susan Lounsbury:
</t>
        </r>
      </text>
    </comment>
    <comment ref="J20" authorId="1" shapeId="0" xr:uid="{4EDD722A-4CD3-422C-AB7F-F26C121F0DA8}">
      <text>
        <r>
          <rPr>
            <sz val="10"/>
            <rFont val="SWISS-C"/>
          </rPr>
          <t xml:space="preserve">Susan Lounsbury:
</t>
        </r>
      </text>
    </comment>
    <comment ref="K20" authorId="1" shapeId="0" xr:uid="{A7615CD5-DE99-4F1D-9AAE-6E7536641B17}">
      <text>
        <r>
          <rPr>
            <sz val="10"/>
            <rFont val="SWISS-C"/>
          </rPr>
          <t xml:space="preserve">Susan Lounsbury:
</t>
        </r>
      </text>
    </comment>
    <comment ref="D21" authorId="1" shapeId="0" xr:uid="{A81A6AED-1722-4688-9479-3BD7A77E1C7F}">
      <text>
        <r>
          <rPr>
            <sz val="10"/>
            <rFont val="SWISS-C"/>
          </rPr>
          <t xml:space="preserve">Susan Lounsbury:
</t>
        </r>
      </text>
    </comment>
    <comment ref="K21" authorId="1" shapeId="0" xr:uid="{95B09A63-81C8-4A44-B1E4-B1A4FA390BD1}">
      <text>
        <r>
          <rPr>
            <sz val="10"/>
            <rFont val="SWISS-C"/>
          </rPr>
          <t xml:space="preserve">Susan Lounsbury:
</t>
        </r>
      </text>
    </comment>
    <comment ref="D22" authorId="1" shapeId="0" xr:uid="{052D40BB-F841-4E3C-B5D1-C80A43F46CE5}">
      <text>
        <r>
          <rPr>
            <sz val="10"/>
            <rFont val="SWISS-C"/>
          </rPr>
          <t xml:space="preserve">Susan Lounsbury:
</t>
        </r>
      </text>
    </comment>
    <comment ref="J22" authorId="1" shapeId="0" xr:uid="{559012F4-6862-4878-8EDB-0BD6E64581AA}">
      <text>
        <r>
          <rPr>
            <sz val="10"/>
            <rFont val="SWISS-C"/>
          </rPr>
          <t xml:space="preserve">Susan Lounsbury:
</t>
        </r>
      </text>
    </comment>
    <comment ref="J23" authorId="1" shapeId="0" xr:uid="{169DE7A1-F3D5-4B87-9863-81A8ADA29814}">
      <text>
        <r>
          <rPr>
            <sz val="10"/>
            <rFont val="SWISS-C"/>
          </rPr>
          <t xml:space="preserve">Susan Lounsbury:
</t>
        </r>
      </text>
    </comment>
    <comment ref="D24" authorId="1" shapeId="0" xr:uid="{1833AB11-02E6-42D1-9FF5-6D3D81649254}">
      <text>
        <r>
          <rPr>
            <sz val="10"/>
            <rFont val="SWISS-C"/>
          </rPr>
          <t xml:space="preserve">Susan Lounsbury:
</t>
        </r>
      </text>
    </comment>
    <comment ref="J24" authorId="1" shapeId="0" xr:uid="{08CCAF91-FF96-467D-82C4-06246BD36C18}">
      <text>
        <r>
          <rPr>
            <sz val="10"/>
            <rFont val="SWISS-C"/>
          </rPr>
          <t xml:space="preserve">Susan Lounsbury:
</t>
        </r>
      </text>
    </comment>
    <comment ref="J27" authorId="1" shapeId="0" xr:uid="{F568110C-8E0F-4C38-8BE2-867BBF2E7104}">
      <text>
        <r>
          <rPr>
            <sz val="10"/>
            <rFont val="SWISS-C"/>
          </rPr>
          <t xml:space="preserve">Susan Lounsbury:
</t>
        </r>
      </text>
    </comment>
    <comment ref="A29" authorId="0" shapeId="0" xr:uid="{00000000-0006-0000-0100-000001000000}">
      <text>
        <r>
          <rPr>
            <b/>
            <sz val="9"/>
            <color indexed="81"/>
            <rFont val="Tahoma"/>
            <family val="2"/>
          </rPr>
          <t>Christiana Datubo-Brown:</t>
        </r>
        <r>
          <rPr>
            <sz val="9"/>
            <color indexed="81"/>
            <rFont val="Tahoma"/>
            <family val="2"/>
          </rPr>
          <t xml:space="preserve">
Note manual entry for Alaska
</t>
        </r>
      </text>
    </comment>
    <comment ref="I29" authorId="0" shapeId="0" xr:uid="{1629025B-A5FE-4E92-B93B-53400A376364}">
      <text>
        <r>
          <rPr>
            <b/>
            <sz val="9"/>
            <color indexed="81"/>
            <rFont val="Tahoma"/>
            <charset val="1"/>
          </rPr>
          <t>Christiana Datubo-Brown:</t>
        </r>
        <r>
          <rPr>
            <sz val="9"/>
            <color indexed="81"/>
            <rFont val="Tahoma"/>
            <charset val="1"/>
          </rPr>
          <t xml:space="preserve">
manual entry</t>
        </r>
      </text>
    </comment>
    <comment ref="J31" authorId="1" shapeId="0" xr:uid="{5EACF786-5611-4BCB-ADD9-B4AB7F3B6145}">
      <text>
        <r>
          <rPr>
            <sz val="10"/>
            <rFont val="SWISS-C"/>
          </rPr>
          <t xml:space="preserve">Susan Lounsbury:
</t>
        </r>
      </text>
    </comment>
    <comment ref="K31" authorId="1" shapeId="0" xr:uid="{9A3FAAEE-AD72-43C5-AA8C-0893C43C759D}">
      <text>
        <r>
          <rPr>
            <sz val="10"/>
            <rFont val="SWISS-C"/>
          </rPr>
          <t xml:space="preserve">Susan Lounsbury:
</t>
        </r>
      </text>
    </comment>
    <comment ref="J36" authorId="1" shapeId="0" xr:uid="{39E9D686-2004-4268-9504-FEEAF18180DF}">
      <text>
        <r>
          <rPr>
            <sz val="10"/>
            <rFont val="SWISS-C"/>
          </rPr>
          <t xml:space="preserve">Susan Lounsbury:
</t>
        </r>
      </text>
    </comment>
    <comment ref="J37" authorId="1" shapeId="0" xr:uid="{25451603-6865-4771-ACC9-A16367FBDA9A}">
      <text>
        <r>
          <rPr>
            <sz val="10"/>
            <rFont val="SWISS-C"/>
          </rPr>
          <t xml:space="preserve">Susan Lounsbury:
</t>
        </r>
      </text>
    </comment>
    <comment ref="D39" authorId="1" shapeId="0" xr:uid="{BC051FF3-BD44-488B-83E8-B5E970427379}">
      <text>
        <r>
          <rPr>
            <sz val="10"/>
            <rFont val="SWISS-C"/>
          </rPr>
          <t xml:space="preserve">Susan Lounsbury:
</t>
        </r>
      </text>
    </comment>
    <comment ref="J39" authorId="1" shapeId="0" xr:uid="{15A16925-F0BD-4513-A6F2-4A186FA90207}">
      <text>
        <r>
          <rPr>
            <sz val="10"/>
            <rFont val="SWISS-C"/>
          </rPr>
          <t xml:space="preserve">Susan Lounsbury:
</t>
        </r>
      </text>
    </comment>
    <comment ref="J41" authorId="1" shapeId="0" xr:uid="{E110A200-505B-48F1-BB71-DE501714751D}">
      <text>
        <r>
          <rPr>
            <sz val="10"/>
            <rFont val="SWISS-C"/>
          </rPr>
          <t xml:space="preserve">Susan Lounsbury:
</t>
        </r>
      </text>
    </comment>
    <comment ref="D42" authorId="1" shapeId="0" xr:uid="{A0FC2B27-92BE-4032-881E-1908FA5CDEC7}">
      <text>
        <r>
          <rPr>
            <sz val="10"/>
            <rFont val="SWISS-C"/>
          </rPr>
          <t xml:space="preserve">Susan Lounsbury:
</t>
        </r>
      </text>
    </comment>
    <comment ref="D44" authorId="1" shapeId="0" xr:uid="{23AE931F-43EF-40AE-A127-71FD1516D8DE}">
      <text>
        <r>
          <rPr>
            <sz val="10"/>
            <rFont val="SWISS-C"/>
          </rPr>
          <t xml:space="preserve">Susan Lounsbury:
</t>
        </r>
      </text>
    </comment>
    <comment ref="J44" authorId="1" shapeId="0" xr:uid="{2CCF9027-24B1-4A07-AA81-1BC9D0E67E2E}">
      <text>
        <r>
          <rPr>
            <sz val="10"/>
            <rFont val="SWISS-C"/>
          </rPr>
          <t xml:space="preserve">Susan Lounsbury:
</t>
        </r>
      </text>
    </comment>
    <comment ref="D46" authorId="1" shapeId="0" xr:uid="{B34C87F3-5EE2-43B9-BC15-AA59FEEA5DAF}">
      <text>
        <r>
          <rPr>
            <sz val="10"/>
            <rFont val="SWISS-C"/>
          </rPr>
          <t xml:space="preserve">Susan Lounsbury:
</t>
        </r>
      </text>
    </comment>
    <comment ref="D47" authorId="1" shapeId="0" xr:uid="{DDEB4A43-9D1A-4122-949B-1E3EE19568EB}">
      <text>
        <r>
          <rPr>
            <sz val="10"/>
            <rFont val="SWISS-C"/>
          </rPr>
          <t xml:space="preserve">Susan Lounsbury:
</t>
        </r>
      </text>
    </comment>
    <comment ref="D48" authorId="1" shapeId="0" xr:uid="{D079A660-8E85-47E0-86C0-440CEADC61EE}">
      <text>
        <r>
          <rPr>
            <sz val="10"/>
            <rFont val="SWISS-C"/>
          </rPr>
          <t xml:space="preserve">Susan Lounsbury:
</t>
        </r>
      </text>
    </comment>
    <comment ref="J48" authorId="1" shapeId="0" xr:uid="{2AF20891-93ED-41A6-83CD-155187B29D0F}">
      <text>
        <r>
          <rPr>
            <sz val="10"/>
            <rFont val="SWISS-C"/>
          </rPr>
          <t xml:space="preserve">Susan Lounsbury:
</t>
        </r>
      </text>
    </comment>
    <comment ref="V49" authorId="0" shapeId="0" xr:uid="{D48FDC8C-12F3-401E-AC2F-003EE74BB697}">
      <text>
        <r>
          <rPr>
            <b/>
            <sz val="9"/>
            <color indexed="81"/>
            <rFont val="Tahoma"/>
            <charset val="1"/>
          </rPr>
          <t>Christiana Datubo-Brown:</t>
        </r>
        <r>
          <rPr>
            <sz val="9"/>
            <color indexed="81"/>
            <rFont val="Tahoma"/>
            <charset val="1"/>
          </rPr>
          <t xml:space="preserve">
</t>
        </r>
      </text>
    </comment>
    <comment ref="D50" authorId="1" shapeId="0" xr:uid="{7BCE0301-444D-442D-BBB6-D98BBE5BA295}">
      <text>
        <r>
          <rPr>
            <sz val="10"/>
            <rFont val="SWISS-C"/>
          </rPr>
          <t xml:space="preserve">Susan Lounsbury:
</t>
        </r>
      </text>
    </comment>
    <comment ref="J50" authorId="1" shapeId="0" xr:uid="{B4D394D7-F285-4F5C-8852-F8DAD66053AA}">
      <text>
        <r>
          <rPr>
            <sz val="10"/>
            <rFont val="SWISS-C"/>
          </rPr>
          <t xml:space="preserve">Susan Lounsbury:
</t>
        </r>
      </text>
    </comment>
    <comment ref="D51" authorId="1" shapeId="0" xr:uid="{B9432A67-3CAE-4DB3-8485-7FBE0B61BA98}">
      <text>
        <r>
          <rPr>
            <sz val="10"/>
            <rFont val="SWISS-C"/>
          </rPr>
          <t xml:space="preserve">Susan Lounsbury:
</t>
        </r>
      </text>
    </comment>
    <comment ref="J51" authorId="1" shapeId="0" xr:uid="{1C2A46DB-E94D-4182-AA25-4E6F258EEC4D}">
      <text>
        <r>
          <rPr>
            <sz val="10"/>
            <rFont val="SWISS-C"/>
          </rPr>
          <t xml:space="preserve">Susan Lounsbury:
</t>
        </r>
      </text>
    </comment>
    <comment ref="K51" authorId="1" shapeId="0" xr:uid="{649C41E5-6B5F-4DEA-9FD3-62D5E1C4B599}">
      <text>
        <r>
          <rPr>
            <sz val="10"/>
            <rFont val="SWISS-C"/>
          </rPr>
          <t xml:space="preserve">Susan Lounsbury:
</t>
        </r>
      </text>
    </comment>
    <comment ref="J56" authorId="1" shapeId="0" xr:uid="{3306A785-4918-4D16-B17D-D6C3E30049DB}">
      <text>
        <r>
          <rPr>
            <sz val="10"/>
            <rFont val="SWISS-C"/>
          </rPr>
          <t xml:space="preserve">Susan Lounsbury:
</t>
        </r>
      </text>
    </comment>
    <comment ref="K58" authorId="1" shapeId="0" xr:uid="{FD6B743F-2B92-48F2-8B22-CD77F6372269}">
      <text>
        <r>
          <rPr>
            <sz val="10"/>
            <rFont val="SWISS-C"/>
          </rPr>
          <t xml:space="preserve">Susan Lounsbury:
</t>
        </r>
      </text>
    </comment>
    <comment ref="K59" authorId="1" shapeId="0" xr:uid="{E1106FCB-D279-4166-ACC2-A64E9CAA8F28}">
      <text>
        <r>
          <rPr>
            <sz val="10"/>
            <rFont val="SWISS-C"/>
          </rPr>
          <t xml:space="preserve">Susan Lounsbury:
</t>
        </r>
      </text>
    </comment>
    <comment ref="N59" authorId="1" shapeId="0" xr:uid="{7DA0D0E8-9A92-4EAB-9C9A-041022A934BF}">
      <text>
        <r>
          <rPr>
            <sz val="10"/>
            <rFont val="SWISS-C"/>
          </rPr>
          <t xml:space="preserve">Susan Lounsbury:
</t>
        </r>
      </text>
    </comment>
    <comment ref="V59" authorId="0" shapeId="0" xr:uid="{D9DE3031-B822-4B7F-BCC2-B4D1E32C0AB9}">
      <text>
        <r>
          <rPr>
            <b/>
            <sz val="9"/>
            <color indexed="81"/>
            <rFont val="Tahoma"/>
            <charset val="1"/>
          </rPr>
          <t>Christiana Datubo-Brown:</t>
        </r>
        <r>
          <rPr>
            <sz val="9"/>
            <color indexed="81"/>
            <rFont val="Tahoma"/>
            <charset val="1"/>
          </rPr>
          <t xml:space="preserve">
</t>
        </r>
      </text>
    </comment>
    <comment ref="D60" authorId="1" shapeId="0" xr:uid="{71BE6583-ACF3-465C-9522-E9752C77EC7D}">
      <text>
        <r>
          <rPr>
            <sz val="10"/>
            <rFont val="SWISS-C"/>
          </rPr>
          <t xml:space="preserve">Susan Lounsbury:
</t>
        </r>
      </text>
    </comment>
    <comment ref="J60" authorId="1" shapeId="0" xr:uid="{5F9F700B-A80F-4C70-B56B-C03F564FE248}">
      <text>
        <r>
          <rPr>
            <sz val="10"/>
            <rFont val="SWISS-C"/>
          </rPr>
          <t xml:space="preserve">Susan Lounsbury:
</t>
        </r>
      </text>
    </comment>
    <comment ref="J61" authorId="1" shapeId="0" xr:uid="{247408A7-EE8C-4893-A06C-5BD087335C75}">
      <text>
        <r>
          <rPr>
            <sz val="10"/>
            <rFont val="SWISS-C"/>
          </rPr>
          <t xml:space="preserve">Susan Lounsbury:
</t>
        </r>
      </text>
    </comment>
    <comment ref="K61" authorId="0" shapeId="0" xr:uid="{89535543-193F-49BF-852E-84E3BF0E3BF5}">
      <text>
        <r>
          <rPr>
            <b/>
            <sz val="9"/>
            <color indexed="81"/>
            <rFont val="Tahoma"/>
            <charset val="1"/>
          </rPr>
          <t>Christiana Datubo-Brown:</t>
        </r>
        <r>
          <rPr>
            <sz val="9"/>
            <color indexed="81"/>
            <rFont val="Tahoma"/>
            <charset val="1"/>
          </rPr>
          <t xml:space="preserve">
</t>
        </r>
      </text>
    </comment>
    <comment ref="V61" authorId="0" shapeId="0" xr:uid="{949E3895-5D6B-453D-9068-CC46ABC6C69C}">
      <text>
        <r>
          <rPr>
            <b/>
            <sz val="9"/>
            <color indexed="81"/>
            <rFont val="Tahoma"/>
            <charset val="1"/>
          </rPr>
          <t>Christiana Datubo-Brown:</t>
        </r>
        <r>
          <rPr>
            <sz val="9"/>
            <color indexed="81"/>
            <rFont val="Tahoma"/>
            <charset val="1"/>
          </rPr>
          <t xml:space="preserve">
</t>
        </r>
      </text>
    </comment>
    <comment ref="J62" authorId="1" shapeId="0" xr:uid="{BCA70AE9-5EBB-4587-B1C5-D05B9EB9CD64}">
      <text>
        <r>
          <rPr>
            <sz val="10"/>
            <rFont val="SWISS-C"/>
          </rPr>
          <t xml:space="preserve">Susan Lounsbury:
</t>
        </r>
      </text>
    </comment>
    <comment ref="K62" authorId="0" shapeId="0" xr:uid="{F561347B-6570-4EA2-AA7A-302FB4DEF2C6}">
      <text>
        <r>
          <rPr>
            <b/>
            <sz val="9"/>
            <color indexed="81"/>
            <rFont val="Tahoma"/>
            <charset val="1"/>
          </rPr>
          <t>Christiana Datubo-Brown:</t>
        </r>
        <r>
          <rPr>
            <sz val="9"/>
            <color indexed="81"/>
            <rFont val="Tahoma"/>
            <charset val="1"/>
          </rPr>
          <t xml:space="preserve">
</t>
        </r>
      </text>
    </comment>
    <comment ref="J63" authorId="1" shapeId="0" xr:uid="{2CEAD2CD-7D7C-485E-A566-5504F31ACD15}">
      <text>
        <r>
          <rPr>
            <sz val="10"/>
            <rFont val="SWISS-C"/>
          </rPr>
          <t xml:space="preserve">Susan Lounsbury:
</t>
        </r>
      </text>
    </comment>
    <comment ref="K63" authorId="0" shapeId="0" xr:uid="{988BFAB9-919F-4270-82CC-751B8C8C2429}">
      <text>
        <r>
          <rPr>
            <b/>
            <sz val="9"/>
            <color indexed="81"/>
            <rFont val="Tahoma"/>
            <charset val="1"/>
          </rPr>
          <t>Christiana Datubo-Brown:</t>
        </r>
        <r>
          <rPr>
            <sz val="9"/>
            <color indexed="81"/>
            <rFont val="Tahoma"/>
            <charset val="1"/>
          </rPr>
          <t xml:space="preserve">
</t>
        </r>
      </text>
    </comment>
    <comment ref="J64" authorId="1" shapeId="0" xr:uid="{58867A93-52A9-4288-9C9A-D7212E65BCBB}">
      <text>
        <r>
          <rPr>
            <sz val="10"/>
            <rFont val="SWISS-C"/>
          </rPr>
          <t xml:space="preserve">Susan Lounsbury:
</t>
        </r>
      </text>
    </comment>
    <comment ref="K64" authorId="1" shapeId="0" xr:uid="{4EB14303-626B-4CC6-B5BA-65E2971CC284}">
      <text>
        <r>
          <rPr>
            <sz val="10"/>
            <rFont val="SWISS-C"/>
          </rPr>
          <t xml:space="preserve">Susan Lounsbury:
</t>
        </r>
      </text>
    </comment>
    <comment ref="V65" authorId="0" shapeId="0" xr:uid="{D9FCA9F0-FEEA-4F5E-9F50-49D6EA5E495B}">
      <text>
        <r>
          <rPr>
            <b/>
            <sz val="9"/>
            <color indexed="81"/>
            <rFont val="Tahoma"/>
            <charset val="1"/>
          </rPr>
          <t>Christiana Datubo-Brown:</t>
        </r>
        <r>
          <rPr>
            <sz val="9"/>
            <color indexed="81"/>
            <rFont val="Tahoma"/>
            <charset val="1"/>
          </rPr>
          <t xml:space="preserve">
</t>
        </r>
      </text>
    </comment>
    <comment ref="N66" authorId="1" shapeId="0" xr:uid="{AD742165-307C-40EB-95BB-AD23BD8527C8}">
      <text>
        <r>
          <rPr>
            <sz val="10"/>
            <rFont val="SWISS-C"/>
          </rPr>
          <t xml:space="preserve">Susan Lounsbury:
</t>
        </r>
      </text>
    </comment>
    <comment ref="V66" authorId="0" shapeId="0" xr:uid="{81700253-9CE2-4841-9A03-E7C2145390C3}">
      <text>
        <r>
          <rPr>
            <b/>
            <sz val="9"/>
            <color indexed="81"/>
            <rFont val="Tahoma"/>
            <charset val="1"/>
          </rPr>
          <t>Christiana Datubo-Brown:</t>
        </r>
        <r>
          <rPr>
            <sz val="9"/>
            <color indexed="81"/>
            <rFont val="Tahoma"/>
            <charset val="1"/>
          </rPr>
          <t xml:space="preserve">
</t>
        </r>
      </text>
    </comment>
    <comment ref="C67" authorId="2" shapeId="0" xr:uid="{00000000-0006-0000-0100-000002000000}">
      <text>
        <r>
          <rPr>
            <b/>
            <sz val="10"/>
            <color indexed="81"/>
            <rFont val="Tahoma"/>
            <family val="2"/>
          </rPr>
          <t>jmarks:</t>
        </r>
        <r>
          <rPr>
            <sz val="10"/>
            <color indexed="81"/>
            <rFont val="Tahoma"/>
            <family val="2"/>
          </rPr>
          <t xml:space="preserve">
Note manual entry.</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JLM</author>
  </authors>
  <commentList>
    <comment ref="A1" authorId="0" shapeId="0" xr:uid="{00000000-0006-0000-13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14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xr:uid="{00000000-0006-0000-1400-000002000000}">
      <text>
        <r>
          <rPr>
            <b/>
            <sz val="9"/>
            <color indexed="81"/>
            <rFont val="Tahoma"/>
            <family val="2"/>
          </rPr>
          <t>jmarks:</t>
        </r>
        <r>
          <rPr>
            <sz val="9"/>
            <color indexed="81"/>
            <rFont val="Tahoma"/>
            <family val="2"/>
          </rPr>
          <t xml:space="preserve">
Starting this year, depreciation, interest and some other non-operating expenditures are distributed in instruction, research, etc.</t>
        </r>
      </text>
    </comment>
    <comment ref="Q11" authorId="0" shapeId="0" xr:uid="{00000000-0006-0000-1400-000003000000}">
      <text>
        <r>
          <rPr>
            <b/>
            <sz val="10"/>
            <color indexed="81"/>
            <rFont val="Tahoma"/>
            <family val="2"/>
          </rPr>
          <t>JLM:</t>
        </r>
        <r>
          <rPr>
            <sz val="10"/>
            <color indexed="81"/>
            <rFont val="Tahoma"/>
            <family val="2"/>
          </rPr>
          <t xml:space="preserve">
U. Del from FASB file</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15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xr:uid="{00000000-0006-0000-1500-000002000000}">
      <text>
        <r>
          <rPr>
            <b/>
            <sz val="9"/>
            <color indexed="81"/>
            <rFont val="Tahoma"/>
            <family val="2"/>
          </rPr>
          <t>jmarks:</t>
        </r>
        <r>
          <rPr>
            <sz val="9"/>
            <color indexed="81"/>
            <rFont val="Tahoma"/>
            <family val="2"/>
          </rPr>
          <t xml:space="preserve">
Starting this year, depreciation, interest and some other non-operating expenditures are distributed in instruction, research, etc.</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16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xr:uid="{00000000-0006-0000-1600-000002000000}">
      <text>
        <r>
          <rPr>
            <b/>
            <sz val="9"/>
            <color indexed="81"/>
            <rFont val="Tahoma"/>
            <family val="2"/>
          </rPr>
          <t>jmarks:</t>
        </r>
        <r>
          <rPr>
            <sz val="9"/>
            <color indexed="81"/>
            <rFont val="Tahoma"/>
            <family val="2"/>
          </rPr>
          <t xml:space="preserve">
Starting this year, operation/maintenance of plant, depreciation, interest and some other non-operating expenditures are distributed in instruction, research, etc.</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17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xr:uid="{00000000-0006-0000-1700-000002000000}">
      <text>
        <r>
          <rPr>
            <b/>
            <sz val="9"/>
            <color indexed="81"/>
            <rFont val="Tahoma"/>
            <family val="2"/>
          </rPr>
          <t>jmarks:</t>
        </r>
        <r>
          <rPr>
            <sz val="9"/>
            <color indexed="81"/>
            <rFont val="Tahoma"/>
            <family val="2"/>
          </rPr>
          <t xml:space="preserve">
Starting this year, operation/maintenance of plant, depreciation, interest and some other non-operating expenditures are distributed in instruction, research, etc.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2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M11" authorId="1" shapeId="0" xr:uid="{00000000-0006-0000-0200-000002000000}">
      <text>
        <r>
          <rPr>
            <b/>
            <sz val="8"/>
            <color indexed="81"/>
            <rFont val="Tahoma"/>
            <family val="2"/>
          </rPr>
          <t>jmarks:</t>
        </r>
        <r>
          <rPr>
            <sz val="8"/>
            <color indexed="81"/>
            <rFont val="Tahoma"/>
            <family val="2"/>
          </rPr>
          <t xml:space="preserve">
U Del from FASB file</t>
        </r>
      </text>
    </comment>
    <comment ref="Q11" authorId="1" shapeId="0" xr:uid="{00000000-0006-0000-0200-000003000000}">
      <text>
        <r>
          <rPr>
            <b/>
            <sz val="8"/>
            <color indexed="81"/>
            <rFont val="Tahoma"/>
            <family val="2"/>
          </rPr>
          <t>jmarks:</t>
        </r>
        <r>
          <rPr>
            <sz val="8"/>
            <color indexed="81"/>
            <rFont val="Tahoma"/>
            <family val="2"/>
          </rPr>
          <t xml:space="preserve">
U Del from FASB file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3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I15" authorId="1" shapeId="0" xr:uid="{00000000-0006-0000-0300-000002000000}">
      <text>
        <r>
          <rPr>
            <b/>
            <sz val="8"/>
            <color indexed="81"/>
            <rFont val="Tahoma"/>
            <family val="2"/>
          </rPr>
          <t>jmarks:</t>
        </r>
        <r>
          <rPr>
            <sz val="8"/>
            <color indexed="81"/>
            <rFont val="Tahoma"/>
            <family val="2"/>
          </rPr>
          <t xml:space="preserve">
revised figure from DE HEC</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4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xr:uid="{00000000-0006-0000-0400-000002000000}">
      <text>
        <r>
          <rPr>
            <b/>
            <sz val="9"/>
            <color indexed="81"/>
            <rFont val="Tahoma"/>
            <family val="2"/>
          </rPr>
          <t>jmarks:</t>
        </r>
        <r>
          <rPr>
            <sz val="9"/>
            <color indexed="81"/>
            <rFont val="Tahoma"/>
            <family val="2"/>
          </rPr>
          <t xml:space="preserve">
Starting this year, operation/maintenance of plant, depreciation, interest and some other non-operating expenditures are distributed in instruction, research, etc.</t>
        </r>
      </text>
    </comment>
    <comment ref="M11" authorId="1" shapeId="0" xr:uid="{00000000-0006-0000-0400-000003000000}">
      <text>
        <r>
          <rPr>
            <b/>
            <sz val="8"/>
            <color indexed="81"/>
            <rFont val="Tahoma"/>
            <family val="2"/>
          </rPr>
          <t>jmarks:</t>
        </r>
        <r>
          <rPr>
            <sz val="8"/>
            <color indexed="81"/>
            <rFont val="Tahoma"/>
            <family val="2"/>
          </rPr>
          <t xml:space="preserve">
U Del from FASB file</t>
        </r>
      </text>
    </comment>
    <comment ref="Q11" authorId="1" shapeId="0" xr:uid="{00000000-0006-0000-0400-000004000000}">
      <text>
        <r>
          <rPr>
            <b/>
            <sz val="8"/>
            <color indexed="81"/>
            <rFont val="Tahoma"/>
            <family val="2"/>
          </rPr>
          <t>jmarks:</t>
        </r>
        <r>
          <rPr>
            <sz val="8"/>
            <color indexed="81"/>
            <rFont val="Tahoma"/>
            <family val="2"/>
          </rPr>
          <t xml:space="preserve">
U Del from FASB file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5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xr:uid="{00000000-0006-0000-0500-000002000000}">
      <text>
        <r>
          <rPr>
            <b/>
            <sz val="9"/>
            <color indexed="81"/>
            <rFont val="Tahoma"/>
            <family val="2"/>
          </rPr>
          <t>jmarks:</t>
        </r>
        <r>
          <rPr>
            <sz val="9"/>
            <color indexed="81"/>
            <rFont val="Tahoma"/>
            <family val="2"/>
          </rPr>
          <t xml:space="preserve">
Starting this year, operation/maintenance of plant, depreciation, interest and some other non-operating expenditures are distributed in instruction, research, etc.</t>
        </r>
      </text>
    </comment>
    <comment ref="I13" authorId="1" shapeId="0" xr:uid="{00000000-0006-0000-0500-000003000000}">
      <text>
        <r>
          <rPr>
            <b/>
            <sz val="8"/>
            <color indexed="81"/>
            <rFont val="Tahoma"/>
            <family val="2"/>
          </rPr>
          <t>jmarks:</t>
        </r>
        <r>
          <rPr>
            <sz val="8"/>
            <color indexed="81"/>
            <rFont val="Tahoma"/>
            <family val="2"/>
          </rPr>
          <t xml:space="preserve">
revised figure from DE HEC</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6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xr:uid="{00000000-0006-0000-0600-000002000000}">
      <text>
        <r>
          <rPr>
            <b/>
            <sz val="9"/>
            <color indexed="81"/>
            <rFont val="Tahoma"/>
            <family val="2"/>
          </rPr>
          <t>jmarks:</t>
        </r>
        <r>
          <rPr>
            <sz val="9"/>
            <color indexed="81"/>
            <rFont val="Tahoma"/>
            <family val="2"/>
          </rPr>
          <t xml:space="preserve">
Starting this year, operation/maintenance of plant, depreciation, interest and some other non-operating expenditures are distributed in instruction, research, etc.</t>
        </r>
      </text>
    </comment>
    <comment ref="M11" authorId="1" shapeId="0" xr:uid="{00000000-0006-0000-0600-000003000000}">
      <text>
        <r>
          <rPr>
            <b/>
            <sz val="8"/>
            <color indexed="81"/>
            <rFont val="Tahoma"/>
            <family val="2"/>
          </rPr>
          <t>jmarks:</t>
        </r>
        <r>
          <rPr>
            <sz val="8"/>
            <color indexed="81"/>
            <rFont val="Tahoma"/>
            <family val="2"/>
          </rPr>
          <t xml:space="preserve">
U Del from FASB file</t>
        </r>
      </text>
    </comment>
    <comment ref="Q11" authorId="1" shapeId="0" xr:uid="{00000000-0006-0000-0600-000004000000}">
      <text>
        <r>
          <rPr>
            <b/>
            <sz val="8"/>
            <color indexed="81"/>
            <rFont val="Tahoma"/>
            <family val="2"/>
          </rPr>
          <t>jmarks:</t>
        </r>
        <r>
          <rPr>
            <sz val="8"/>
            <color indexed="81"/>
            <rFont val="Tahoma"/>
            <family val="2"/>
          </rPr>
          <t xml:space="preserve">
U Del from FASB file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7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xr:uid="{00000000-0006-0000-0700-000002000000}">
      <text>
        <r>
          <rPr>
            <b/>
            <sz val="9"/>
            <color indexed="81"/>
            <rFont val="Tahoma"/>
            <family val="2"/>
          </rPr>
          <t>jmarks:</t>
        </r>
        <r>
          <rPr>
            <sz val="9"/>
            <color indexed="81"/>
            <rFont val="Tahoma"/>
            <family val="2"/>
          </rPr>
          <t xml:space="preserve">
Starting this year, operation/maintenance of plant, depreciation, interest and some other non-operating expenditures are distributed in instruction, research, etc.</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8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xr:uid="{00000000-0006-0000-0800-000002000000}">
      <text>
        <r>
          <rPr>
            <b/>
            <sz val="9"/>
            <color indexed="81"/>
            <rFont val="Tahoma"/>
            <family val="2"/>
          </rPr>
          <t>jmarks:</t>
        </r>
        <r>
          <rPr>
            <sz val="9"/>
            <color indexed="81"/>
            <rFont val="Tahoma"/>
            <family val="2"/>
          </rPr>
          <t xml:space="preserve">
Starting this year, operation/maintenance of plant, depreciation, interest and some other non-operating expenditures are distributed in instruction, research, etc.</t>
        </r>
      </text>
    </comment>
    <comment ref="M11" authorId="1" shapeId="0" xr:uid="{00000000-0006-0000-0800-000003000000}">
      <text>
        <r>
          <rPr>
            <b/>
            <sz val="8"/>
            <color indexed="81"/>
            <rFont val="Tahoma"/>
            <family val="2"/>
          </rPr>
          <t>jmarks:</t>
        </r>
        <r>
          <rPr>
            <sz val="8"/>
            <color indexed="81"/>
            <rFont val="Tahoma"/>
            <family val="2"/>
          </rPr>
          <t xml:space="preserve">
U Del from FASB file</t>
        </r>
      </text>
    </comment>
    <comment ref="Q11" authorId="1" shapeId="0" xr:uid="{00000000-0006-0000-0800-000004000000}">
      <text>
        <r>
          <rPr>
            <b/>
            <sz val="8"/>
            <color indexed="81"/>
            <rFont val="Tahoma"/>
            <family val="2"/>
          </rPr>
          <t>jmarks:</t>
        </r>
        <r>
          <rPr>
            <sz val="8"/>
            <color indexed="81"/>
            <rFont val="Tahoma"/>
            <family val="2"/>
          </rPr>
          <t xml:space="preserve">
U Del from FASB file</t>
        </r>
      </text>
    </comment>
  </commentList>
</comments>
</file>

<file path=xl/sharedStrings.xml><?xml version="1.0" encoding="utf-8"?>
<sst xmlns="http://schemas.openxmlformats.org/spreadsheetml/2006/main" count="2853" uniqueCount="163">
  <si>
    <t>Table 96</t>
  </si>
  <si>
    <r>
      <t>Percent Distribution of Spending</t>
    </r>
    <r>
      <rPr>
        <vertAlign val="superscript"/>
        <sz val="10"/>
        <rFont val="Arial"/>
        <family val="2"/>
      </rPr>
      <t>1</t>
    </r>
  </si>
  <si>
    <t>at Public Four-Year Colleges and Universities</t>
  </si>
  <si>
    <t>2018-19</t>
  </si>
  <si>
    <t>Percentage-Point Change, 2013-14 to 2018-19</t>
  </si>
  <si>
    <t>2013-14</t>
  </si>
  <si>
    <t xml:space="preserve"> </t>
  </si>
  <si>
    <t>Public</t>
  </si>
  <si>
    <t>Academic and Administrative</t>
  </si>
  <si>
    <t>Scholarships and</t>
  </si>
  <si>
    <t>All</t>
  </si>
  <si>
    <t>Operation and</t>
  </si>
  <si>
    <r>
      <t>Instruction</t>
    </r>
    <r>
      <rPr>
        <vertAlign val="superscript"/>
        <sz val="10"/>
        <rFont val="Arial"/>
        <family val="2"/>
      </rPr>
      <t>2</t>
    </r>
  </si>
  <si>
    <r>
      <t>Research</t>
    </r>
    <r>
      <rPr>
        <vertAlign val="superscript"/>
        <sz val="10"/>
        <rFont val="Arial"/>
        <family val="2"/>
      </rPr>
      <t>2</t>
    </r>
  </si>
  <si>
    <r>
      <t>Service</t>
    </r>
    <r>
      <rPr>
        <vertAlign val="superscript"/>
        <sz val="10"/>
        <rFont val="Arial"/>
        <family val="2"/>
      </rPr>
      <t>2</t>
    </r>
  </si>
  <si>
    <r>
      <t>Support</t>
    </r>
    <r>
      <rPr>
        <vertAlign val="superscript"/>
        <sz val="10"/>
        <rFont val="Arial"/>
        <family val="2"/>
      </rPr>
      <t>3</t>
    </r>
  </si>
  <si>
    <t>Fellowships</t>
  </si>
  <si>
    <r>
      <t>Other</t>
    </r>
    <r>
      <rPr>
        <vertAlign val="superscript"/>
        <sz val="10"/>
        <rFont val="Arial"/>
        <family val="2"/>
      </rPr>
      <t>2</t>
    </r>
  </si>
  <si>
    <t>Instruction</t>
  </si>
  <si>
    <t>Research</t>
  </si>
  <si>
    <r>
      <t>Support</t>
    </r>
    <r>
      <rPr>
        <vertAlign val="superscript"/>
        <sz val="10"/>
        <rFont val="Arial"/>
        <family val="2"/>
      </rPr>
      <t>2</t>
    </r>
  </si>
  <si>
    <t>Maintenance</t>
  </si>
  <si>
    <r>
      <t>Other</t>
    </r>
    <r>
      <rPr>
        <vertAlign val="superscript"/>
        <sz val="10"/>
        <rFont val="Arial"/>
        <family val="2"/>
      </rPr>
      <t>3</t>
    </r>
  </si>
  <si>
    <t>Check Figures</t>
  </si>
  <si>
    <t>50 states and D.C.</t>
  </si>
  <si>
    <t>SREB states</t>
  </si>
  <si>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</si>
  <si>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</si>
  <si>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</si>
  <si>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</si>
  <si>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</si>
  <si>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</si>
  <si>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</si>
  <si>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</si>
  <si>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</si>
  <si>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</si>
  <si>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</si>
  <si>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</si>
  <si>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</si>
  <si>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</si>
  <si>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</si>
  <si>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</si>
  <si>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West</t>
  </si>
  <si>
    <t>Alaska</t>
  </si>
  <si>
    <t>Arizona</t>
  </si>
  <si>
    <t>California</t>
  </si>
  <si>
    <t>Colorado</t>
  </si>
  <si>
    <t>Hawaii</t>
  </si>
  <si>
    <t>Idaho</t>
  </si>
  <si>
    <t>Montana</t>
  </si>
  <si>
    <t>Nevada</t>
  </si>
  <si>
    <t>New Mexico</t>
  </si>
  <si>
    <t>Oregon</t>
  </si>
  <si>
    <t>Utah</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</si>
  <si>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</si>
  <si>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</si>
  <si>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</si>
  <si>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</si>
  <si>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</si>
  <si>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</si>
  <si>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</si>
  <si>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</si>
  <si>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</si>
  <si>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</si>
  <si>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</si>
  <si>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</si>
  <si>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</si>
  <si>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</si>
  <si>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</si>
  <si>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</si>
  <si>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</si>
  <si>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</si>
  <si>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</si>
  <si>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</si>
  <si>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</si>
  <si>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</si>
  <si>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</si>
  <si>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</si>
  <si>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</si>
  <si>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t>District of Columbia</t>
  </si>
  <si>
    <r>
      <rPr>
        <vertAlign val="superscript"/>
        <sz val="10"/>
        <rFont val="Arial"/>
        <family val="2"/>
      </rPr>
      <t xml:space="preserve">1 </t>
    </r>
    <r>
      <rPr>
        <sz val="10"/>
        <rFont val="Arial"/>
        <family val="2"/>
      </rPr>
      <t>Educational and general operating spending consists of current operating spending minus the spending of auxiliary enterprises, hospitals and independent operations. Auxiliary enterprises are essentially self-supporting operations that exist to furnish a service to students, faculty or staff and that charge a fee that is directly related to, although not necessarily equal to, the cost of the service. Examples are residence halls, food services, college stores and intercollegiate athletics. Independent operations are essentially independent institutes or centers affiliated with a college or university, such as a formally designated Federally Funded Research and Development Center.</t>
    </r>
  </si>
  <si>
    <t>Source: SREB analysis of National Center for Education Statistics finance survey — www.nces.ed.gov/ipeds.</t>
  </si>
  <si>
    <t>"*" indicates less than 0.005 percent.</t>
  </si>
  <si>
    <r>
      <rPr>
        <vertAlign val="superscript"/>
        <sz val="10"/>
        <rFont val="Arial"/>
        <family val="2"/>
      </rPr>
      <t xml:space="preserve">2 </t>
    </r>
    <r>
      <rPr>
        <sz val="10"/>
        <rFont val="Arial"/>
        <family val="2"/>
      </rPr>
      <t>Starting with the 2013 Fact Book, amounts for operation/maintenance of plant, depreciation, interest and some other non-operating expenditures formerly reported in "All Other" are distributed across instruction, research and public service.</t>
    </r>
  </si>
  <si>
    <r>
      <rPr>
        <vertAlign val="superscript"/>
        <sz val="10"/>
        <rFont val="Arial"/>
        <family val="2"/>
      </rPr>
      <t>3</t>
    </r>
    <r>
      <rPr>
        <sz val="10"/>
        <rFont val="Arial"/>
        <family val="2"/>
      </rPr>
      <t xml:space="preserve"> Includes academic support (such as libraries), student services (such as counseling and placement centers) and institutional support (such as the general administrative offices).</t>
    </r>
  </si>
  <si>
    <t xml:space="preserve">  June 2021</t>
  </si>
  <si>
    <t xml:space="preserve">Table 97 </t>
  </si>
  <si>
    <t>at Public Two-Year Colleges</t>
  </si>
  <si>
    <t>Plant
 Operation</t>
  </si>
  <si>
    <t>and Maintenance</t>
  </si>
  <si>
    <t>NA</t>
  </si>
  <si>
    <t>"*" indicates less than 0.005 percent or percentage-point change.</t>
  </si>
  <si>
    <t>"NA" indicates not applicable. There was no institution of this SREB category in the state during the specified years.</t>
  </si>
  <si>
    <r>
      <rPr>
        <vertAlign val="superscript"/>
        <sz val="10"/>
        <rFont val="Arial"/>
        <family val="2"/>
      </rPr>
      <t>1</t>
    </r>
    <r>
      <rPr>
        <sz val="10"/>
        <rFont val="Arial"/>
        <family val="2"/>
      </rPr>
      <t xml:space="preserve"> Educational and general operating spending consists of current operating spending minus the spending of auxiliary enterprises, hospitals and independent operations. Auxiliary enterprises are essentially self-supporting operations that exist to furnish a service to students, faculty or staff and that charge a fee that is directly related to, although not necessarily equal to, the cost of the service. Examples are residence halls, food services, college stores and intercollegiate athletics. Independent operations are essentially independent institutes or centers affiliated with a college or university, such as a formally designated Federally Funded Research and Development Center.</t>
    </r>
  </si>
  <si>
    <t>Educational &amp; General Expenditures, Public Institutions (000s)-------------</t>
  </si>
  <si>
    <t>Total E &amp; G Expenditures +  Transfers------------</t>
  </si>
  <si>
    <t>4-yr</t>
  </si>
  <si>
    <t xml:space="preserve">   as a percent of U.S.</t>
  </si>
  <si>
    <t>* Subtotal: Educational Expenditures</t>
  </si>
  <si>
    <t xml:space="preserve">SREB analysis of National Center for </t>
  </si>
  <si>
    <t>DE SOURCE: NSF</t>
  </si>
  <si>
    <t>Source: NCES unpublished</t>
  </si>
  <si>
    <t xml:space="preserve">Education Statistics finance surveys — </t>
  </si>
  <si>
    <t xml:space="preserve">WebCASPAR </t>
  </si>
  <si>
    <t>Finance data 99-2000</t>
  </si>
  <si>
    <t>(www.nces.ed.gov/ipeds) and (http://caspar.nsf.gov).</t>
  </si>
  <si>
    <t xml:space="preserve">Database </t>
  </si>
  <si>
    <t>System</t>
  </si>
  <si>
    <t>CHECK DATA</t>
  </si>
  <si>
    <t>2-yr</t>
  </si>
  <si>
    <t>Educational &amp; General Expenditures, Public Institutions (000s)</t>
  </si>
  <si>
    <t>2012</t>
  </si>
  <si>
    <t>2013</t>
  </si>
  <si>
    <t>2014</t>
  </si>
  <si>
    <t>2015</t>
  </si>
  <si>
    <t>2016</t>
  </si>
  <si>
    <t>2017</t>
  </si>
  <si>
    <t>4yr</t>
  </si>
  <si>
    <t>4 yr</t>
  </si>
  <si>
    <t>SOURCES:</t>
  </si>
  <si>
    <t>Source:  SREB analysis of unpublished</t>
  </si>
  <si>
    <t>Source:  NCES unpublished</t>
  </si>
  <si>
    <t xml:space="preserve">NCES finance data </t>
  </si>
  <si>
    <t>Finance data 9697</t>
  </si>
  <si>
    <t>Finance data 992000</t>
  </si>
  <si>
    <t>(analyzed March 2001)</t>
  </si>
  <si>
    <t>Instruction------------</t>
  </si>
  <si>
    <t>NCES finance data 91-92</t>
  </si>
  <si>
    <t>Finance data 96-97</t>
  </si>
  <si>
    <t>Research---------------</t>
  </si>
  <si>
    <t>Public Service------------</t>
  </si>
  <si>
    <t>Academic &amp; Administrative Support</t>
  </si>
  <si>
    <t>(Academic Support + Student Services + Institutional Support)</t>
  </si>
  <si>
    <t>calculated</t>
  </si>
  <si>
    <t>Academic Support--------</t>
  </si>
  <si>
    <t>Student Services-------</t>
  </si>
  <si>
    <t>Institutional Support-------</t>
  </si>
  <si>
    <t>Scholarships and Fellowships-------------</t>
  </si>
  <si>
    <t>*SOURCE: NSF</t>
  </si>
  <si>
    <t>All Other (E&amp;G Mandatory and Non-Mandatory Transfers)</t>
  </si>
  <si>
    <t xml:space="preserve">Educational and General Mandatory Transfers </t>
  </si>
  <si>
    <t>Mandatory + Nonmandatory transfers</t>
  </si>
  <si>
    <t>mandatory</t>
  </si>
  <si>
    <t>sometimes total includes indep ops why</t>
  </si>
  <si>
    <t>transfer +</t>
  </si>
  <si>
    <t xml:space="preserve"> * All</t>
  </si>
  <si>
    <t>non</t>
  </si>
  <si>
    <t>Other =</t>
  </si>
  <si>
    <t>Educational</t>
  </si>
  <si>
    <t>and General</t>
  </si>
  <si>
    <t>Mandatory</t>
  </si>
  <si>
    <t>independent</t>
  </si>
  <si>
    <t>Transfers</t>
  </si>
  <si>
    <t>operations</t>
  </si>
  <si>
    <t>?</t>
  </si>
  <si>
    <t>and</t>
  </si>
  <si>
    <t>Operation and Maintenance of Plant-------</t>
  </si>
  <si>
    <t>Academic
 &amp; Administrative</t>
  </si>
  <si>
    <r>
      <t>Public Service</t>
    </r>
    <r>
      <rPr>
        <vertAlign val="superscript"/>
        <sz val="10"/>
        <rFont val="Arial"/>
        <family val="2"/>
      </rPr>
      <t>2</t>
    </r>
  </si>
  <si>
    <t>Public Service</t>
  </si>
  <si>
    <r>
      <t>All Other</t>
    </r>
    <r>
      <rPr>
        <vertAlign val="superscript"/>
        <sz val="10"/>
        <rFont val="Arial"/>
        <family val="2"/>
      </rPr>
      <t>2</t>
    </r>
  </si>
  <si>
    <t>Scholarships and Fellowships</t>
  </si>
  <si>
    <r>
      <t>Academic and Administrative Support</t>
    </r>
    <r>
      <rPr>
        <vertAlign val="superscript"/>
        <sz val="10"/>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</si>
</sst>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_)"/>
    <numFmt numFmtId="165" formatCode="#,##0.0_);\(#,##0.0\)"/>
    <numFmt numFmtId="166" formatCode="0.0"/>
    <numFmt numFmtId="167" formatCode="#,##0.0"/>
  </numFmts>
  <fonts count="23">
    <font>
      <sz val="10"/>
      <name val="SWISS-C"/>
    </font>
    <font>
      <sz val="10"/>
      <name val="Arial"/>
      <family val="2"/>
    </font>
    <font>
      <b/>
      <sz val="10"/>
      <name val="Arial"/>
      <family val="2"/>
    </font>
    <font>
      <vertAlign val="superscript"/>
      <sz val="10"/>
      <name val="Arial"/>
      <family val="2"/>
    </font>
    <font>
      <sz val="10"/>
      <color indexed="10"/>
      <name val="Arial"/>
      <family val="2"/>
    </font>
    <font>
      <sz val="10"/>
      <name val="Arial"/>
      <family val="2"/>
    </font>
    <font>
      <sz val="8"/>
      <name val="SWISS-C"/>
    </font>
    <font>
      <b/>
      <sz val="10"/>
      <color indexed="10"/>
      <name val="Arial"/>
      <family val="2"/>
    </font>
    <font>
      <sz val="10"/>
      <color indexed="0"/>
      <name val="Times New Roman"/>
      <family val="1"/>
    </font>
    <font>
      <sz val="8"/>
      <color indexed="81"/>
      <name val="Tahoma"/>
      <family val="2"/>
    </font>
    <font>
      <b/>
      <sz val="8"/>
      <color indexed="81"/>
      <name val="Tahoma"/>
      <family val="2"/>
    </font>
    <font>
      <sz val="10"/>
      <name val="SWISS-C"/>
    </font>
    <font>
      <sz val="10"/>
      <color indexed="81"/>
      <name val="Tahoma"/>
      <family val="2"/>
    </font>
    <font>
      <b/>
      <sz val="10"/>
      <color indexed="81"/>
      <name val="Tahoma"/>
      <family val="2"/>
    </font>
    <font>
      <sz val="10"/>
      <color indexed="12"/>
      <name val="Arial"/>
      <family val="2"/>
    </font>
    <font>
      <sz val="10"/>
      <name val="Times New Roman"/>
      <family val="1"/>
    </font>
    <font>
      <sz val="10"/>
      <color rgb="FF0000FF"/>
      <name val="Arial"/>
      <family val="2"/>
    </font>
    <font>
      <b/>
      <sz val="9"/>
      <color indexed="81"/>
      <name val="Tahoma"/>
      <family val="2"/>
    </font>
    <font>
      <sz val="9"/>
      <color indexed="81"/>
      <name val="Tahoma"/>
      <family val="2"/>
    </font>
    <font>
      <b/>
      <sz val="10"/>
      <color rgb="FFFF0000"/>
      <name val="Arial"/>
      <family val="2"/>
    </font>
    <font>
      <sz val="12"/>
      <name val="AGaramond"/>
      <family val="3"/>
    </font>
    <font>
      <sz val="9"/>
      <color indexed="81"/>
      <name val="Tahoma"/>
      <charset val="1"/>
    </font>
    <font>
      <b/>
      <sz val="9"/>
      <color indexed="81"/>
      <name val="Tahoma"/>
      <charset val="1"/>
    </font>
  </fonts>
  <fills count="10">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rgb="FF00CCFF"/>
        <bgColor indexed="64"/>
      </patternFill>
    </fill>
    <fill>
      <patternFill patternType="solid">
        <fgColor rgb="FFFF0000"/>
        <bgColor indexed="64"/>
      </patternFill>
    </fill>
  </fills>
  <borders count="17">
    <border>
      <left/>
      <right/>
      <top/>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8"/>
      </top>
      <bottom style="thin">
        <color indexed="8"/>
      </bottom>
      <diagonal/>
    </border>
    <border>
      <left style="thin">
        <color indexed="64"/>
      </left>
      <right/>
      <top/>
      <bottom/>
      <diagonal/>
    </border>
    <border>
      <left style="thin">
        <color indexed="64"/>
      </left>
      <right/>
      <top/>
      <bottom style="thin">
        <color indexed="8"/>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8"/>
      </top>
      <bottom/>
      <diagonal/>
    </border>
    <border>
      <left/>
      <right style="thin">
        <color indexed="64"/>
      </right>
      <top/>
      <bottom style="thin">
        <color indexed="8"/>
      </bottom>
      <diagonal/>
    </border>
    <border>
      <left style="thin">
        <color indexed="64"/>
      </left>
      <right/>
      <top style="thin">
        <color indexed="8"/>
      </top>
      <bottom/>
      <diagonal/>
    </border>
  </borders>
  <cellStyleXfs count="3">
    <xf numFmtId="0" fontId="0" fillId="0" borderId="0">
      <alignment horizontal="left" wrapText="1"/>
    </xf>
    <xf numFmtId="43" fontId="11" fillId="0" borderId="0" applyFont="0" applyFill="0" applyBorder="0" applyAlignment="0" applyProtection="0"/>
    <xf numFmtId="43" fontId="20" fillId="0" borderId="0" applyFont="0" applyFill="0" applyBorder="0" applyAlignment="0" applyProtection="0"/>
  </cellStyleXfs>
  <cellXfs count="122">
    <xf numFmtId="37" fontId="0" fillId="0" borderId="0" xfId="0" applyNumberFormat="1" applyAlignment="1"/>
    <xf numFmtId="37" fontId="1" fillId="0" borderId="0" xfId="0" applyNumberFormat="1" applyFont="1" applyAlignment="1"/>
    <xf numFmtId="37" fontId="1" fillId="0" borderId="0" xfId="0" applyNumberFormat="1" applyFont="1" applyAlignment="1">
      <alignment horizontal="centerContinuous"/>
    </xf>
    <xf numFmtId="37" fontId="1" fillId="0" borderId="1" xfId="0" applyNumberFormat="1" applyFont="1" applyBorder="1" applyAlignment="1">
      <alignment horizontal="centerContinuous"/>
    </xf>
    <xf numFmtId="37" fontId="1" fillId="0" borderId="0" xfId="0" applyNumberFormat="1" applyFont="1" applyAlignment="1">
      <alignment horizontal="center"/>
    </xf>
    <xf numFmtId="37" fontId="2" fillId="0" borderId="0" xfId="0" applyNumberFormat="1" applyFont="1" applyAlignment="1"/>
    <xf numFmtId="37" fontId="2" fillId="0" borderId="2" xfId="0" applyNumberFormat="1" applyFont="1" applyBorder="1" applyAlignment="1"/>
    <xf numFmtId="37" fontId="1" fillId="0" borderId="0" xfId="0" applyNumberFormat="1" applyFont="1" applyAlignment="1">
      <alignment horizontal="left"/>
    </xf>
    <xf numFmtId="37" fontId="1" fillId="0" borderId="0" xfId="0" applyNumberFormat="1" applyFont="1" applyAlignment="1">
      <alignment horizontal="right"/>
    </xf>
    <xf numFmtId="37" fontId="1" fillId="0" borderId="0" xfId="0" applyNumberFormat="1" applyFont="1" applyAlignment="1">
      <alignment horizontal="fill"/>
    </xf>
    <xf numFmtId="164" fontId="1" fillId="0" borderId="0" xfId="0" applyNumberFormat="1" applyFont="1" applyAlignment="1"/>
    <xf numFmtId="37" fontId="1" fillId="0" borderId="2" xfId="0" applyNumberFormat="1" applyFont="1" applyBorder="1" applyAlignment="1"/>
    <xf numFmtId="37" fontId="4" fillId="0" borderId="0" xfId="0" applyNumberFormat="1" applyFont="1" applyAlignment="1"/>
    <xf numFmtId="37" fontId="1" fillId="2" borderId="0" xfId="0" applyNumberFormat="1" applyFont="1" applyFill="1" applyAlignment="1">
      <alignment horizontal="left"/>
    </xf>
    <xf numFmtId="37" fontId="0" fillId="0" borderId="0" xfId="0" applyNumberFormat="1" applyAlignment="1">
      <alignment vertical="top"/>
    </xf>
    <xf numFmtId="37" fontId="2" fillId="0" borderId="0" xfId="0" applyNumberFormat="1" applyFont="1" applyAlignment="1">
      <alignment horizontal="right"/>
    </xf>
    <xf numFmtId="164" fontId="1" fillId="0" borderId="0" xfId="0" applyNumberFormat="1" applyFont="1" applyAlignment="1">
      <alignment horizontal="right"/>
    </xf>
    <xf numFmtId="37" fontId="0" fillId="0" borderId="0" xfId="0" applyNumberFormat="1" applyAlignment="1">
      <alignment horizontal="right" vertical="top"/>
    </xf>
    <xf numFmtId="37" fontId="0" fillId="0" borderId="0" xfId="0" applyNumberFormat="1" applyAlignment="1">
      <alignment horizontal="right"/>
    </xf>
    <xf numFmtId="0" fontId="8" fillId="0" borderId="0" xfId="0" applyFont="1" applyAlignment="1">
      <alignment horizontal="left"/>
    </xf>
    <xf numFmtId="37" fontId="2" fillId="0" borderId="3" xfId="0" applyNumberFormat="1" applyFont="1" applyBorder="1" applyAlignment="1"/>
    <xf numFmtId="165" fontId="1" fillId="0" borderId="0" xfId="0" applyNumberFormat="1" applyFont="1" applyAlignment="1">
      <alignment horizontal="left" vertical="top"/>
    </xf>
    <xf numFmtId="37" fontId="1" fillId="3" borderId="0" xfId="0" applyNumberFormat="1" applyFont="1" applyFill="1" applyAlignment="1">
      <alignment horizontal="right"/>
    </xf>
    <xf numFmtId="37" fontId="1" fillId="0" borderId="4" xfId="0" applyNumberFormat="1" applyFont="1" applyBorder="1" applyAlignment="1"/>
    <xf numFmtId="37" fontId="1" fillId="0" borderId="2" xfId="0" applyNumberFormat="1" applyFont="1" applyBorder="1" applyAlignment="1">
      <alignment horizontal="centerContinuous"/>
    </xf>
    <xf numFmtId="37" fontId="1" fillId="0" borderId="2" xfId="0" applyNumberFormat="1" applyFont="1" applyBorder="1" applyAlignment="1">
      <alignment horizontal="center"/>
    </xf>
    <xf numFmtId="0" fontId="1" fillId="0" borderId="0" xfId="0" applyFont="1" applyAlignment="1"/>
    <xf numFmtId="164" fontId="1" fillId="2" borderId="0" xfId="0" applyNumberFormat="1" applyFont="1" applyFill="1" applyAlignment="1"/>
    <xf numFmtId="0" fontId="1" fillId="0" borderId="0" xfId="0" applyFont="1" applyAlignment="1">
      <alignment vertical="top"/>
    </xf>
    <xf numFmtId="0" fontId="1" fillId="0" borderId="0" xfId="0" applyFont="1" applyAlignment="1">
      <alignment horizontal="left"/>
    </xf>
    <xf numFmtId="0" fontId="5" fillId="0" borderId="0" xfId="0" applyFont="1" applyAlignment="1">
      <alignment horizontal="left"/>
    </xf>
    <xf numFmtId="37" fontId="11" fillId="0" borderId="0" xfId="0" applyNumberFormat="1" applyFont="1" applyAlignment="1">
      <alignment vertical="top"/>
    </xf>
    <xf numFmtId="49" fontId="1" fillId="0" borderId="0" xfId="0" applyNumberFormat="1" applyFont="1" applyAlignment="1">
      <alignment horizontal="right"/>
    </xf>
    <xf numFmtId="49" fontId="14" fillId="0" borderId="0" xfId="0" applyNumberFormat="1" applyFont="1" applyAlignment="1">
      <alignment horizontal="right"/>
    </xf>
    <xf numFmtId="37" fontId="7" fillId="0" borderId="0" xfId="0" quotePrefix="1" applyNumberFormat="1" applyFont="1" applyAlignment="1"/>
    <xf numFmtId="166" fontId="1" fillId="0" borderId="0" xfId="0" applyNumberFormat="1" applyFont="1" applyAlignment="1">
      <alignment horizontal="center"/>
    </xf>
    <xf numFmtId="166" fontId="1" fillId="4" borderId="0" xfId="0" applyNumberFormat="1" applyFont="1" applyFill="1" applyAlignment="1">
      <alignment horizontal="center"/>
    </xf>
    <xf numFmtId="164" fontId="1" fillId="4" borderId="0" xfId="0" applyNumberFormat="1" applyFont="1" applyFill="1" applyAlignment="1">
      <alignment horizontal="center"/>
    </xf>
    <xf numFmtId="164" fontId="1" fillId="4" borderId="0" xfId="0" applyNumberFormat="1" applyFont="1" applyFill="1" applyAlignment="1">
      <alignment horizontal="right"/>
    </xf>
    <xf numFmtId="0" fontId="1" fillId="0" borderId="0" xfId="0" applyFont="1" applyAlignment="1">
      <alignment horizontal="right"/>
    </xf>
    <xf numFmtId="0" fontId="1" fillId="0" borderId="0" xfId="0" quotePrefix="1" applyFont="1" applyAlignment="1">
      <alignment horizontal="right"/>
    </xf>
    <xf numFmtId="3" fontId="1" fillId="0" borderId="0" xfId="0" applyNumberFormat="1" applyFont="1" applyAlignment="1">
      <alignment horizontal="right" wrapText="1"/>
    </xf>
    <xf numFmtId="0" fontId="15" fillId="0" borderId="0" xfId="0" applyFont="1" applyAlignment="1">
      <alignment horizontal="left"/>
    </xf>
    <xf numFmtId="0" fontId="0" fillId="0" borderId="0" xfId="0" applyAlignment="1"/>
    <xf numFmtId="3" fontId="1" fillId="0" borderId="4" xfId="0" applyNumberFormat="1" applyFont="1" applyBorder="1" applyAlignment="1">
      <alignment horizontal="right" wrapText="1"/>
    </xf>
    <xf numFmtId="37" fontId="1" fillId="0" borderId="5" xfId="0" applyNumberFormat="1" applyFont="1" applyBorder="1" applyAlignment="1"/>
    <xf numFmtId="3" fontId="1" fillId="0" borderId="5" xfId="0" applyNumberFormat="1" applyFont="1" applyBorder="1" applyAlignment="1">
      <alignment horizontal="right" wrapText="1"/>
    </xf>
    <xf numFmtId="37" fontId="16" fillId="0" borderId="0" xfId="0" applyNumberFormat="1" applyFont="1" applyAlignment="1"/>
    <xf numFmtId="3" fontId="16" fillId="0" borderId="4" xfId="0" applyNumberFormat="1" applyFont="1" applyBorder="1" applyAlignment="1">
      <alignment horizontal="right" wrapText="1"/>
    </xf>
    <xf numFmtId="37" fontId="16" fillId="0" borderId="4" xfId="0" applyNumberFormat="1" applyFont="1" applyBorder="1" applyAlignment="1"/>
    <xf numFmtId="37" fontId="16" fillId="0" borderId="5" xfId="0" applyNumberFormat="1" applyFont="1" applyBorder="1" applyAlignment="1"/>
    <xf numFmtId="37" fontId="14" fillId="0" borderId="4" xfId="0" quotePrefix="1" applyNumberFormat="1" applyFont="1" applyBorder="1" applyAlignment="1"/>
    <xf numFmtId="3" fontId="1" fillId="5" borderId="0" xfId="0" applyNumberFormat="1" applyFont="1" applyFill="1" applyAlignment="1"/>
    <xf numFmtId="3" fontId="1" fillId="0" borderId="0" xfId="0" applyNumberFormat="1" applyFont="1" applyAlignment="1"/>
    <xf numFmtId="3" fontId="1" fillId="0" borderId="4" xfId="0" applyNumberFormat="1" applyFont="1" applyBorder="1" applyAlignment="1"/>
    <xf numFmtId="3" fontId="1" fillId="5" borderId="4" xfId="0" applyNumberFormat="1" applyFont="1" applyFill="1" applyBorder="1" applyAlignment="1"/>
    <xf numFmtId="3" fontId="1" fillId="0" borderId="6" xfId="0" applyNumberFormat="1" applyFont="1" applyBorder="1" applyAlignment="1"/>
    <xf numFmtId="37" fontId="1" fillId="0" borderId="7" xfId="0" applyNumberFormat="1" applyFont="1" applyBorder="1" applyAlignment="1">
      <alignment horizontal="centerContinuous"/>
    </xf>
    <xf numFmtId="37" fontId="1" fillId="0" borderId="8" xfId="0" applyNumberFormat="1" applyFont="1" applyBorder="1" applyAlignment="1">
      <alignment horizontal="centerContinuous"/>
    </xf>
    <xf numFmtId="37" fontId="1" fillId="0" borderId="9" xfId="0" applyNumberFormat="1" applyFont="1" applyBorder="1" applyAlignment="1">
      <alignment horizontal="centerContinuous"/>
    </xf>
    <xf numFmtId="167" fontId="1" fillId="0" borderId="4" xfId="0" applyNumberFormat="1" applyFont="1" applyBorder="1" applyAlignment="1">
      <alignment horizontal="right"/>
    </xf>
    <xf numFmtId="167" fontId="1" fillId="0" borderId="10" xfId="0" applyNumberFormat="1" applyFont="1" applyBorder="1" applyAlignment="1">
      <alignment horizontal="right"/>
    </xf>
    <xf numFmtId="167" fontId="1" fillId="0" borderId="0" xfId="0" applyNumberFormat="1" applyFont="1" applyAlignment="1">
      <alignment horizontal="right"/>
    </xf>
    <xf numFmtId="167" fontId="1" fillId="0" borderId="8" xfId="0" applyNumberFormat="1" applyFont="1" applyBorder="1" applyAlignment="1">
      <alignment horizontal="right"/>
    </xf>
    <xf numFmtId="167" fontId="1" fillId="5" borderId="0" xfId="0" applyNumberFormat="1" applyFont="1" applyFill="1" applyAlignment="1">
      <alignment horizontal="right"/>
    </xf>
    <xf numFmtId="167" fontId="1" fillId="5" borderId="8" xfId="0" applyNumberFormat="1" applyFont="1" applyFill="1" applyBorder="1" applyAlignment="1">
      <alignment horizontal="right"/>
    </xf>
    <xf numFmtId="167" fontId="1" fillId="5" borderId="4" xfId="0" applyNumberFormat="1" applyFont="1" applyFill="1" applyBorder="1" applyAlignment="1">
      <alignment horizontal="right"/>
    </xf>
    <xf numFmtId="167" fontId="1" fillId="5" borderId="10" xfId="0" applyNumberFormat="1" applyFont="1" applyFill="1" applyBorder="1" applyAlignment="1">
      <alignment horizontal="right"/>
    </xf>
    <xf numFmtId="167" fontId="1" fillId="0" borderId="6" xfId="0" applyNumberFormat="1" applyFont="1" applyBorder="1" applyAlignment="1">
      <alignment horizontal="right"/>
    </xf>
    <xf numFmtId="167" fontId="1" fillId="0" borderId="11" xfId="0" applyNumberFormat="1" applyFont="1" applyBorder="1" applyAlignment="1">
      <alignment horizontal="right"/>
    </xf>
    <xf numFmtId="167" fontId="1" fillId="0" borderId="5" xfId="0" applyNumberFormat="1" applyFont="1" applyBorder="1" applyAlignment="1">
      <alignment horizontal="right"/>
    </xf>
    <xf numFmtId="167" fontId="1" fillId="0" borderId="12" xfId="0" applyNumberFormat="1" applyFont="1" applyBorder="1" applyAlignment="1">
      <alignment horizontal="right"/>
    </xf>
    <xf numFmtId="37" fontId="1" fillId="6" borderId="0" xfId="0" applyNumberFormat="1" applyFont="1" applyFill="1" applyAlignment="1"/>
    <xf numFmtId="37" fontId="1" fillId="0" borderId="0" xfId="0" applyNumberFormat="1" applyFont="1" applyAlignment="1">
      <alignment horizontal="centerContinuous" wrapText="1"/>
    </xf>
    <xf numFmtId="37" fontId="1" fillId="7" borderId="0" xfId="0" applyNumberFormat="1" applyFont="1" applyFill="1" applyAlignment="1"/>
    <xf numFmtId="49" fontId="1" fillId="7" borderId="0" xfId="0" applyNumberFormat="1" applyFont="1" applyFill="1" applyAlignment="1">
      <alignment horizontal="right"/>
    </xf>
    <xf numFmtId="0" fontId="1" fillId="7" borderId="0" xfId="0" applyFont="1" applyFill="1" applyAlignment="1"/>
    <xf numFmtId="167" fontId="1" fillId="0" borderId="0" xfId="0" applyNumberFormat="1" applyFont="1" applyAlignment="1">
      <alignment horizontal="center"/>
    </xf>
    <xf numFmtId="37" fontId="1" fillId="0" borderId="0" xfId="0" applyNumberFormat="1" applyFont="1" applyAlignment="1">
      <alignment horizontal="center" wrapText="1"/>
    </xf>
    <xf numFmtId="37" fontId="1" fillId="0" borderId="4" xfId="0" applyNumberFormat="1" applyFont="1" applyBorder="1" applyAlignment="1">
      <alignment horizontal="centerContinuous"/>
    </xf>
    <xf numFmtId="3" fontId="0" fillId="0" borderId="0" xfId="1" applyNumberFormat="1" applyFont="1"/>
    <xf numFmtId="3" fontId="1" fillId="0" borderId="0" xfId="1" applyNumberFormat="1" applyFont="1" applyAlignment="1">
      <alignment horizontal="right"/>
    </xf>
    <xf numFmtId="3" fontId="16" fillId="0" borderId="4" xfId="1" applyNumberFormat="1" applyFont="1" applyBorder="1" applyAlignment="1">
      <alignment horizontal="right" wrapText="1"/>
    </xf>
    <xf numFmtId="3" fontId="16" fillId="0" borderId="0" xfId="1" applyNumberFormat="1" applyFont="1"/>
    <xf numFmtId="3" fontId="1" fillId="0" borderId="0" xfId="1" applyNumberFormat="1" applyFont="1"/>
    <xf numFmtId="3" fontId="1" fillId="0" borderId="4" xfId="1" applyNumberFormat="1" applyFont="1" applyBorder="1"/>
    <xf numFmtId="3" fontId="1" fillId="0" borderId="5" xfId="1" applyNumberFormat="1" applyFont="1" applyBorder="1"/>
    <xf numFmtId="3" fontId="1" fillId="0" borderId="0" xfId="1" applyNumberFormat="1" applyFont="1" applyAlignment="1">
      <alignment horizontal="right" wrapText="1"/>
    </xf>
    <xf numFmtId="3" fontId="1" fillId="0" borderId="4" xfId="1" applyNumberFormat="1" applyFont="1" applyBorder="1" applyAlignment="1">
      <alignment horizontal="right" wrapText="1"/>
    </xf>
    <xf numFmtId="3" fontId="1" fillId="0" borderId="5" xfId="1" applyNumberFormat="1" applyFont="1" applyBorder="1" applyAlignment="1">
      <alignment horizontal="right" wrapText="1"/>
    </xf>
    <xf numFmtId="3" fontId="16" fillId="0" borderId="0" xfId="0" applyNumberFormat="1" applyFont="1" applyAlignment="1"/>
    <xf numFmtId="3" fontId="1" fillId="0" borderId="5" xfId="0" applyNumberFormat="1" applyFont="1" applyBorder="1" applyAlignment="1"/>
    <xf numFmtId="49" fontId="1" fillId="0" borderId="4" xfId="0" applyNumberFormat="1" applyFont="1" applyBorder="1" applyAlignment="1">
      <alignment horizontal="right"/>
    </xf>
    <xf numFmtId="0" fontId="1" fillId="0" borderId="4" xfId="0" applyFont="1" applyBorder="1" applyAlignment="1">
      <alignment horizontal="right"/>
    </xf>
    <xf numFmtId="0" fontId="1" fillId="7" borderId="4" xfId="0" applyFont="1" applyFill="1" applyBorder="1" applyAlignment="1"/>
    <xf numFmtId="49" fontId="1" fillId="8" borderId="0" xfId="0" applyNumberFormat="1" applyFont="1" applyFill="1" applyAlignment="1">
      <alignment horizontal="right"/>
    </xf>
    <xf numFmtId="0" fontId="1" fillId="8" borderId="0" xfId="0" applyFont="1" applyFill="1" applyAlignment="1">
      <alignment horizontal="right"/>
    </xf>
    <xf numFmtId="167" fontId="1" fillId="0" borderId="13" xfId="0" applyNumberFormat="1" applyFont="1" applyBorder="1" applyAlignment="1">
      <alignment horizontal="right"/>
    </xf>
    <xf numFmtId="167" fontId="1" fillId="5" borderId="13" xfId="0" applyNumberFormat="1" applyFont="1" applyFill="1" applyBorder="1" applyAlignment="1">
      <alignment horizontal="right"/>
    </xf>
    <xf numFmtId="0" fontId="1" fillId="7" borderId="0" xfId="0" applyFont="1" applyFill="1" applyAlignment="1">
      <alignment horizontal="right"/>
    </xf>
    <xf numFmtId="37" fontId="1" fillId="9" borderId="0" xfId="0" applyNumberFormat="1" applyFont="1" applyFill="1" applyAlignment="1"/>
    <xf numFmtId="37" fontId="19" fillId="0" borderId="0" xfId="0" applyNumberFormat="1" applyFont="1" applyAlignment="1"/>
    <xf numFmtId="37" fontId="1" fillId="0" borderId="0" xfId="0" applyNumberFormat="1" applyFont="1" applyAlignment="1">
      <alignment vertical="top"/>
    </xf>
    <xf numFmtId="2" fontId="1" fillId="4" borderId="0" xfId="0" applyNumberFormat="1" applyFont="1" applyFill="1" applyAlignment="1">
      <alignment horizontal="center"/>
    </xf>
    <xf numFmtId="4" fontId="1" fillId="0" borderId="4" xfId="0" applyNumberFormat="1" applyFont="1" applyBorder="1" applyAlignment="1">
      <alignment horizontal="right"/>
    </xf>
    <xf numFmtId="4" fontId="1" fillId="0" borderId="0" xfId="0" applyNumberFormat="1" applyFont="1" applyAlignment="1">
      <alignment horizontal="right"/>
    </xf>
    <xf numFmtId="4" fontId="1" fillId="5" borderId="0" xfId="0" applyNumberFormat="1" applyFont="1" applyFill="1" applyAlignment="1">
      <alignment horizontal="right"/>
    </xf>
    <xf numFmtId="4" fontId="1" fillId="0" borderId="6" xfId="0" applyNumberFormat="1" applyFont="1" applyBorder="1" applyAlignment="1">
      <alignment horizontal="right"/>
    </xf>
    <xf numFmtId="4" fontId="1" fillId="5" borderId="4" xfId="0" applyNumberFormat="1" applyFont="1" applyFill="1" applyBorder="1" applyAlignment="1">
      <alignment horizontal="right"/>
    </xf>
    <xf numFmtId="165" fontId="3" fillId="0" borderId="0" xfId="0" applyNumberFormat="1" applyFont="1" applyAlignment="1">
      <alignment horizontal="left" vertical="top" wrapText="1"/>
    </xf>
    <xf numFmtId="37" fontId="0" fillId="0" borderId="0" xfId="0" applyNumberFormat="1" applyAlignment="1">
      <alignment wrapText="1"/>
    </xf>
    <xf numFmtId="165" fontId="1" fillId="0" borderId="0" xfId="0" applyNumberFormat="1" applyFont="1" applyAlignment="1">
      <alignment horizontal="left" vertical="top" wrapText="1"/>
    </xf>
    <xf numFmtId="37" fontId="0" fillId="0" borderId="0" xfId="0" applyNumberFormat="1" applyAlignment="1">
      <alignment vertical="top" wrapText="1"/>
    </xf>
    <xf numFmtId="37" fontId="1" fillId="0" borderId="3" xfId="0" applyNumberFormat="1" applyFont="1" applyBorder="1" applyAlignment="1">
      <alignment horizontal="center"/>
    </xf>
    <xf numFmtId="37" fontId="1" fillId="0" borderId="3" xfId="0" applyNumberFormat="1" applyFont="1" applyBorder="1" applyAlignment="1">
      <alignment horizontal="center" wrapText="1"/>
    </xf>
    <xf numFmtId="37" fontId="0" fillId="0" borderId="2" xfId="0" applyNumberFormat="1" applyBorder="1" applyAlignment="1">
      <alignment horizontal="center" wrapText="1"/>
    </xf>
    <xf numFmtId="37" fontId="1" fillId="0" borderId="14" xfId="0" applyNumberFormat="1" applyFont="1" applyBorder="1" applyAlignment="1">
      <alignment horizontal="center" wrapText="1"/>
    </xf>
    <xf numFmtId="37" fontId="0" fillId="0" borderId="15" xfId="0" applyNumberFormat="1" applyBorder="1" applyAlignment="1">
      <alignment horizontal="center" wrapText="1"/>
    </xf>
    <xf numFmtId="37" fontId="0" fillId="0" borderId="2" xfId="0" applyNumberFormat="1" applyBorder="1" applyAlignment="1">
      <alignment wrapText="1"/>
    </xf>
    <xf numFmtId="37" fontId="1" fillId="0" borderId="16" xfId="0" applyNumberFormat="1" applyFont="1" applyBorder="1" applyAlignment="1">
      <alignment horizontal="center"/>
    </xf>
    <xf numFmtId="37" fontId="0" fillId="0" borderId="9" xfId="0" applyNumberFormat="1" applyBorder="1" applyAlignment="1">
      <alignment horizontal="center"/>
    </xf>
    <xf numFmtId="37" fontId="0" fillId="0" borderId="2" xfId="0" applyNumberFormat="1" applyBorder="1" applyAlignment="1">
      <alignment horizontal="center"/>
    </xf>
  </cellXfs>
  <cellStyles count="3">
    <cellStyle name="Comma" xfId="1" builtinId="3"/>
    <cellStyle name="Comma 2" xfId="2" xr:uid="{C69AA955-805F-4F0B-8C68-0AFECD9C5A8C}"/>
    <cellStyle name="Normal" xfId="0" builtinId="0"/>
  </cellStyles>
  <dxfs count="2">
    <dxf>
      <font>
        <condense val="0"/>
        <extend val="0"/>
        <color indexed="10"/>
      </font>
    </dxf>
    <dxf>
      <font>
        <condense val="0"/>
        <extend val="0"/>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FF"/>
      <color rgb="FF0099FF"/>
      <color rgb="FF990033"/>
      <color rgb="FF003399"/>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 Distribution of Spending at Public Four-Year Colleges and Universities, 2018-19</a:t>
            </a:r>
          </a:p>
        </c:rich>
      </c:tx>
      <c:overlay val="0"/>
    </c:title>
    <c:autoTitleDeleted val="0"/>
    <c:plotArea>
      <c:layout/>
      <c:barChart>
        <c:barDir val="col"/>
        <c:grouping val="clustered"/>
        <c:varyColors val="0"/>
        <c:ser>
          <c:idx val="0"/>
          <c:order val="0"/>
          <c:tx>
            <c:strRef>
              <c:f>'TABLE 96'!$A$8</c:f>
              <c:strCache>
                <c:ptCount val="1"/>
                <c:pt idx="0">
                  <c:v>50 states and D.C.</c:v>
                </c:pt>
              </c:strCache>
            </c:strRef>
          </c:tx>
          <c:spPr>
            <a:solidFill>
              <a:srgbClr val="003399"/>
            </a:solidFill>
            <a:ln>
              <a:solidFill>
                <a:prstClr val="black"/>
              </a:solidFill>
            </a:ln>
          </c:spPr>
          <c:invertIfNegative val="0"/>
          <c:dLbls>
            <c:spPr>
              <a:noFill/>
              <a:ln>
                <a:noFill/>
              </a:ln>
              <a:effectLst/>
            </c:spPr>
            <c:txPr>
              <a:bodyPr/>
              <a:lstStyle/>
              <a:p>
                <a:pPr>
                  <a:defRPr b="1" i="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96'!$C$6:$H$7</c:f>
              <c:multiLvlStrCache>
                <c:ptCount val="6"/>
                <c:lvl>
                  <c:pt idx="0">
                    <c:v>Instruction2</c:v>
                  </c:pt>
                  <c:pt idx="1">
                    <c:v>Research2</c:v>
                  </c:pt>
                </c:lvl>
                <c:lvl>
                  <c:pt idx="2">
                    <c:v>Public Service2</c:v>
                  </c:pt>
                  <c:pt idx="3">
                    <c:v>Academic and Administrative Support3</c:v>
                  </c:pt>
                  <c:pt idx="4">
                    <c:v>Scholarships and Fellowships</c:v>
                  </c:pt>
                  <c:pt idx="5">
                    <c:v>All Other2</c:v>
                  </c:pt>
                </c:lvl>
              </c:multiLvlStrCache>
            </c:multiLvlStrRef>
          </c:cat>
          <c:val>
            <c:numRef>
              <c:f>'TABLE 96'!$C$8:$H$8</c:f>
              <c:numCache>
                <c:formatCode>#,##0.0</c:formatCode>
                <c:ptCount val="6"/>
                <c:pt idx="0">
                  <c:v>33.601612186621523</c:v>
                </c:pt>
                <c:pt idx="1">
                  <c:v>15.177355526745323</c:v>
                </c:pt>
                <c:pt idx="2">
                  <c:v>5.7747445492550602</c:v>
                </c:pt>
                <c:pt idx="3">
                  <c:v>24.609852825485216</c:v>
                </c:pt>
                <c:pt idx="4">
                  <c:v>14.51756988000256</c:v>
                </c:pt>
                <c:pt idx="5">
                  <c:v>6.3188650318903461</c:v>
                </c:pt>
              </c:numCache>
            </c:numRef>
          </c:val>
          <c:extLst>
            <c:ext xmlns:c16="http://schemas.microsoft.com/office/drawing/2014/chart" uri="{C3380CC4-5D6E-409C-BE32-E72D297353CC}">
              <c16:uniqueId val="{00000000-4D6F-46F8-BA6B-F073B38F9A4F}"/>
            </c:ext>
          </c:extLst>
        </c:ser>
        <c:ser>
          <c:idx val="1"/>
          <c:order val="1"/>
          <c:tx>
            <c:strRef>
              <c:f>'TABLE 96'!$A$9</c:f>
              <c:strCache>
                <c:ptCount val="1"/>
                <c:pt idx="0">
                  <c:v>SREB states</c:v>
                </c:pt>
              </c:strCache>
            </c:strRef>
          </c:tx>
          <c:spPr>
            <a:solidFill>
              <a:srgbClr val="990033"/>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96'!$C$6:$H$7</c:f>
              <c:multiLvlStrCache>
                <c:ptCount val="6"/>
                <c:lvl>
                  <c:pt idx="0">
                    <c:v>Instruction2</c:v>
                  </c:pt>
                  <c:pt idx="1">
                    <c:v>Research2</c:v>
                  </c:pt>
                </c:lvl>
                <c:lvl>
                  <c:pt idx="2">
                    <c:v>Public Service2</c:v>
                  </c:pt>
                  <c:pt idx="3">
                    <c:v>Academic and Administrative Support3</c:v>
                  </c:pt>
                  <c:pt idx="4">
                    <c:v>Scholarships and Fellowships</c:v>
                  </c:pt>
                  <c:pt idx="5">
                    <c:v>All Other2</c:v>
                  </c:pt>
                </c:lvl>
              </c:multiLvlStrCache>
            </c:multiLvlStrRef>
          </c:cat>
          <c:val>
            <c:numRef>
              <c:f>'TABLE 96'!$C$9:$H$9</c:f>
              <c:numCache>
                <c:formatCode>#,##0.0</c:formatCode>
                <c:ptCount val="6"/>
                <c:pt idx="0">
                  <c:v>33.181781488660619</c:v>
                </c:pt>
                <c:pt idx="1">
                  <c:v>16.110343367709444</c:v>
                </c:pt>
                <c:pt idx="2">
                  <c:v>6.5127110115257087</c:v>
                </c:pt>
                <c:pt idx="3">
                  <c:v>23.313207192151921</c:v>
                </c:pt>
                <c:pt idx="4">
                  <c:v>15.188503234129469</c:v>
                </c:pt>
                <c:pt idx="5">
                  <c:v>5.6934537058228418</c:v>
                </c:pt>
              </c:numCache>
            </c:numRef>
          </c:val>
          <c:extLst>
            <c:ext xmlns:c16="http://schemas.microsoft.com/office/drawing/2014/chart" uri="{C3380CC4-5D6E-409C-BE32-E72D297353CC}">
              <c16:uniqueId val="{00000001-4D6F-46F8-BA6B-F073B38F9A4F}"/>
            </c:ext>
          </c:extLst>
        </c:ser>
        <c:ser>
          <c:idx val="2"/>
          <c:order val="2"/>
          <c:tx>
            <c:v>State</c:v>
          </c:tx>
          <c:spPr>
            <a:solidFill>
              <a:srgbClr val="006600"/>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96'!$C$6:$H$7</c:f>
              <c:multiLvlStrCache>
                <c:ptCount val="6"/>
                <c:lvl>
                  <c:pt idx="0">
                    <c:v>Instruction2</c:v>
                  </c:pt>
                  <c:pt idx="1">
                    <c:v>Research2</c:v>
                  </c:pt>
                </c:lvl>
                <c:lvl>
                  <c:pt idx="2">
                    <c:v>Public Service2</c:v>
                  </c:pt>
                  <c:pt idx="3">
                    <c:v>Academic and Administrative Support3</c:v>
                  </c:pt>
                  <c:pt idx="4">
                    <c:v>Scholarships and Fellowships</c:v>
                  </c:pt>
                  <c:pt idx="5">
                    <c:v>All Other2</c:v>
                  </c:pt>
                </c:lvl>
              </c:multiLvlStrCache>
            </c:multiLvlStrRef>
          </c:cat>
          <c:val>
            <c:numRef>
              <c:f>'TABLE 96'!$C$11:$H$11</c:f>
              <c:numCache>
                <c:formatCode>#,##0.0</c:formatCode>
                <c:ptCount val="6"/>
                <c:pt idx="0">
                  <c:v>26.943995986596576</c:v>
                </c:pt>
                <c:pt idx="1">
                  <c:v>13.470052579166236</c:v>
                </c:pt>
                <c:pt idx="2">
                  <c:v>7.5214968578745909</c:v>
                </c:pt>
                <c:pt idx="3">
                  <c:v>27.598981129035639</c:v>
                </c:pt>
                <c:pt idx="4">
                  <c:v>16.985799282588637</c:v>
                </c:pt>
                <c:pt idx="5">
                  <c:v>7.4796741647383245</c:v>
                </c:pt>
              </c:numCache>
            </c:numRef>
          </c:val>
          <c:extLst>
            <c:ext xmlns:c16="http://schemas.microsoft.com/office/drawing/2014/chart" uri="{C3380CC4-5D6E-409C-BE32-E72D297353CC}">
              <c16:uniqueId val="{00000002-4D6F-46F8-BA6B-F073B38F9A4F}"/>
            </c:ext>
          </c:extLst>
        </c:ser>
        <c:dLbls>
          <c:showLegendKey val="0"/>
          <c:showVal val="1"/>
          <c:showCatName val="0"/>
          <c:showSerName val="0"/>
          <c:showPercent val="0"/>
          <c:showBubbleSize val="0"/>
        </c:dLbls>
        <c:gapWidth val="150"/>
        <c:axId val="181724728"/>
        <c:axId val="182575944"/>
      </c:barChart>
      <c:catAx>
        <c:axId val="181724728"/>
        <c:scaling>
          <c:orientation val="minMax"/>
        </c:scaling>
        <c:delete val="0"/>
        <c:axPos val="b"/>
        <c:numFmt formatCode="General" sourceLinked="0"/>
        <c:majorTickMark val="out"/>
        <c:minorTickMark val="none"/>
        <c:tickLblPos val="nextTo"/>
        <c:txPr>
          <a:bodyPr/>
          <a:lstStyle/>
          <a:p>
            <a:pPr>
              <a:defRPr b="1"/>
            </a:pPr>
            <a:endParaRPr lang="en-US"/>
          </a:p>
        </c:txPr>
        <c:crossAx val="182575944"/>
        <c:crosses val="autoZero"/>
        <c:auto val="1"/>
        <c:lblAlgn val="ctr"/>
        <c:lblOffset val="100"/>
        <c:noMultiLvlLbl val="0"/>
      </c:catAx>
      <c:valAx>
        <c:axId val="182575944"/>
        <c:scaling>
          <c:orientation val="minMax"/>
        </c:scaling>
        <c:delete val="1"/>
        <c:axPos val="l"/>
        <c:numFmt formatCode="#,##0.0" sourceLinked="1"/>
        <c:majorTickMark val="out"/>
        <c:minorTickMark val="none"/>
        <c:tickLblPos val="none"/>
        <c:crossAx val="181724728"/>
        <c:crosses val="autoZero"/>
        <c:crossBetween val="between"/>
      </c:valAx>
    </c:plotArea>
    <c:legend>
      <c:legendPos val="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Percentage-Point Change 2013-14 to 2018-19</a:t>
            </a:r>
          </a:p>
        </c:rich>
      </c:tx>
      <c:overlay val="0"/>
    </c:title>
    <c:autoTitleDeleted val="0"/>
    <c:plotArea>
      <c:layout>
        <c:manualLayout>
          <c:layoutTarget val="inner"/>
          <c:xMode val="edge"/>
          <c:yMode val="edge"/>
          <c:x val="0.14604848736013296"/>
          <c:y val="8.8977295962011219E-2"/>
          <c:w val="0.71984182898190363"/>
          <c:h val="0.9089029372123395"/>
        </c:manualLayout>
      </c:layout>
      <c:barChart>
        <c:barDir val="bar"/>
        <c:grouping val="clustered"/>
        <c:varyColors val="0"/>
        <c:ser>
          <c:idx val="0"/>
          <c:order val="0"/>
          <c:tx>
            <c:strRef>
              <c:f>'TABLE 96'!$A$8</c:f>
              <c:strCache>
                <c:ptCount val="1"/>
                <c:pt idx="0">
                  <c:v>50 states and D.C.</c:v>
                </c:pt>
              </c:strCache>
            </c:strRef>
          </c:tx>
          <c:spPr>
            <a:solidFill>
              <a:srgbClr val="003399"/>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96'!$I$6:$N$7</c:f>
              <c:strCache>
                <c:ptCount val="6"/>
                <c:pt idx="0">
                  <c:v>Instruction</c:v>
                </c:pt>
                <c:pt idx="1">
                  <c:v>Research</c:v>
                </c:pt>
                <c:pt idx="2">
                  <c:v>Public Service</c:v>
                </c:pt>
                <c:pt idx="3">
                  <c:v>Academic and Administrative Support3</c:v>
                </c:pt>
                <c:pt idx="4">
                  <c:v>Scholarships and Fellowships</c:v>
                </c:pt>
                <c:pt idx="5">
                  <c:v>All Other2</c:v>
                </c:pt>
              </c:strCache>
            </c:strRef>
          </c:cat>
          <c:val>
            <c:numRef>
              <c:f>'TABLE 96'!$I$8:$N$8</c:f>
              <c:numCache>
                <c:formatCode>#,##0.0</c:formatCode>
                <c:ptCount val="6"/>
                <c:pt idx="0">
                  <c:v>-2.3805412649284037</c:v>
                </c:pt>
                <c:pt idx="1">
                  <c:v>-0.97647096151971269</c:v>
                </c:pt>
                <c:pt idx="2">
                  <c:v>-0.45749182629629193</c:v>
                </c:pt>
                <c:pt idx="3">
                  <c:v>-0.92747393537986866</c:v>
                </c:pt>
                <c:pt idx="4">
                  <c:v>6.0621591284293785E-2</c:v>
                </c:pt>
                <c:pt idx="5">
                  <c:v>4.6813563968400249</c:v>
                </c:pt>
              </c:numCache>
            </c:numRef>
          </c:val>
          <c:extLst>
            <c:ext xmlns:c16="http://schemas.microsoft.com/office/drawing/2014/chart" uri="{C3380CC4-5D6E-409C-BE32-E72D297353CC}">
              <c16:uniqueId val="{00000000-32D0-414D-9BA4-1414354F4F6E}"/>
            </c:ext>
          </c:extLst>
        </c:ser>
        <c:ser>
          <c:idx val="1"/>
          <c:order val="1"/>
          <c:tx>
            <c:strRef>
              <c:f>'TABLE 96'!$A$9</c:f>
              <c:strCache>
                <c:ptCount val="1"/>
                <c:pt idx="0">
                  <c:v>SREB states</c:v>
                </c:pt>
              </c:strCache>
            </c:strRef>
          </c:tx>
          <c:spPr>
            <a:solidFill>
              <a:srgbClr val="990033"/>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96'!$I$6:$N$7</c:f>
              <c:strCache>
                <c:ptCount val="6"/>
                <c:pt idx="0">
                  <c:v>Instruction</c:v>
                </c:pt>
                <c:pt idx="1">
                  <c:v>Research</c:v>
                </c:pt>
                <c:pt idx="2">
                  <c:v>Public Service</c:v>
                </c:pt>
                <c:pt idx="3">
                  <c:v>Academic and Administrative Support3</c:v>
                </c:pt>
                <c:pt idx="4">
                  <c:v>Scholarships and Fellowships</c:v>
                </c:pt>
                <c:pt idx="5">
                  <c:v>All Other2</c:v>
                </c:pt>
              </c:strCache>
            </c:strRef>
          </c:cat>
          <c:val>
            <c:numRef>
              <c:f>'TABLE 96'!$I$9:$N$9</c:f>
              <c:numCache>
                <c:formatCode>#,##0.0</c:formatCode>
                <c:ptCount val="6"/>
                <c:pt idx="0">
                  <c:v>-1.9572324958072613</c:v>
                </c:pt>
                <c:pt idx="1">
                  <c:v>-0.10537399141007953</c:v>
                </c:pt>
                <c:pt idx="2">
                  <c:v>-0.27760720557897045</c:v>
                </c:pt>
                <c:pt idx="3">
                  <c:v>-1.0845806164024623</c:v>
                </c:pt>
                <c:pt idx="4">
                  <c:v>-0.22451123466422196</c:v>
                </c:pt>
                <c:pt idx="5">
                  <c:v>3.649305543862996</c:v>
                </c:pt>
              </c:numCache>
            </c:numRef>
          </c:val>
          <c:extLst>
            <c:ext xmlns:c16="http://schemas.microsoft.com/office/drawing/2014/chart" uri="{C3380CC4-5D6E-409C-BE32-E72D297353CC}">
              <c16:uniqueId val="{00000001-32D0-414D-9BA4-1414354F4F6E}"/>
            </c:ext>
          </c:extLst>
        </c:ser>
        <c:ser>
          <c:idx val="2"/>
          <c:order val="2"/>
          <c:tx>
            <c:v>State</c:v>
          </c:tx>
          <c:spPr>
            <a:solidFill>
              <a:srgbClr val="006600"/>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96'!$I$6:$N$7</c:f>
              <c:strCache>
                <c:ptCount val="6"/>
                <c:pt idx="0">
                  <c:v>Instruction</c:v>
                </c:pt>
                <c:pt idx="1">
                  <c:v>Research</c:v>
                </c:pt>
                <c:pt idx="2">
                  <c:v>Public Service</c:v>
                </c:pt>
                <c:pt idx="3">
                  <c:v>Academic and Administrative Support3</c:v>
                </c:pt>
                <c:pt idx="4">
                  <c:v>Scholarships and Fellowships</c:v>
                </c:pt>
                <c:pt idx="5">
                  <c:v>All Other2</c:v>
                </c:pt>
              </c:strCache>
            </c:strRef>
          </c:cat>
          <c:val>
            <c:numRef>
              <c:f>'TABLE 96'!$I$11:$N$11</c:f>
              <c:numCache>
                <c:formatCode>#,##0.0</c:formatCode>
                <c:ptCount val="6"/>
                <c:pt idx="0">
                  <c:v>-6.5342411348790392</c:v>
                </c:pt>
                <c:pt idx="1">
                  <c:v>0.42179025327743958</c:v>
                </c:pt>
                <c:pt idx="2">
                  <c:v>-1.7294604834493752</c:v>
                </c:pt>
                <c:pt idx="3">
                  <c:v>-1.2657434196890307</c:v>
                </c:pt>
                <c:pt idx="4">
                  <c:v>2.3791156151847463</c:v>
                </c:pt>
                <c:pt idx="5">
                  <c:v>6.7285391695552645</c:v>
                </c:pt>
              </c:numCache>
            </c:numRef>
          </c:val>
          <c:extLst>
            <c:ext xmlns:c16="http://schemas.microsoft.com/office/drawing/2014/chart" uri="{C3380CC4-5D6E-409C-BE32-E72D297353CC}">
              <c16:uniqueId val="{00000002-32D0-414D-9BA4-1414354F4F6E}"/>
            </c:ext>
          </c:extLst>
        </c:ser>
        <c:dLbls>
          <c:showLegendKey val="0"/>
          <c:showVal val="1"/>
          <c:showCatName val="0"/>
          <c:showSerName val="0"/>
          <c:showPercent val="0"/>
          <c:showBubbleSize val="0"/>
        </c:dLbls>
        <c:gapWidth val="150"/>
        <c:axId val="182665736"/>
        <c:axId val="182666120"/>
      </c:barChart>
      <c:catAx>
        <c:axId val="182665736"/>
        <c:scaling>
          <c:orientation val="maxMin"/>
        </c:scaling>
        <c:delete val="0"/>
        <c:axPos val="l"/>
        <c:numFmt formatCode="General" sourceLinked="0"/>
        <c:majorTickMark val="out"/>
        <c:minorTickMark val="none"/>
        <c:tickLblPos val="low"/>
        <c:txPr>
          <a:bodyPr/>
          <a:lstStyle/>
          <a:p>
            <a:pPr>
              <a:defRPr b="1"/>
            </a:pPr>
            <a:endParaRPr lang="en-US"/>
          </a:p>
        </c:txPr>
        <c:crossAx val="182666120"/>
        <c:crosses val="autoZero"/>
        <c:auto val="1"/>
        <c:lblAlgn val="ctr"/>
        <c:lblOffset val="100"/>
        <c:noMultiLvlLbl val="0"/>
      </c:catAx>
      <c:valAx>
        <c:axId val="182666120"/>
        <c:scaling>
          <c:orientation val="minMax"/>
        </c:scaling>
        <c:delete val="1"/>
        <c:axPos val="t"/>
        <c:numFmt formatCode="#,##0.0" sourceLinked="1"/>
        <c:majorTickMark val="out"/>
        <c:minorTickMark val="none"/>
        <c:tickLblPos val="none"/>
        <c:crossAx val="182665736"/>
        <c:crosses val="autoZero"/>
        <c:crossBetween val="between"/>
      </c:valAx>
    </c:plotArea>
    <c:legend>
      <c:legendPos val="r"/>
      <c:layout>
        <c:manualLayout>
          <c:xMode val="edge"/>
          <c:yMode val="edge"/>
          <c:x val="0.87967477749491918"/>
          <c:y val="0.34287361933494476"/>
          <c:w val="0.11280642551260039"/>
          <c:h val="0.37784576609958764"/>
        </c:manualLayout>
      </c:layou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 Distribution of Spending at Public Two-Year Colleges, 2018-19</a:t>
            </a:r>
          </a:p>
        </c:rich>
      </c:tx>
      <c:overlay val="0"/>
    </c:title>
    <c:autoTitleDeleted val="0"/>
    <c:plotArea>
      <c:layout/>
      <c:barChart>
        <c:barDir val="col"/>
        <c:grouping val="clustered"/>
        <c:varyColors val="0"/>
        <c:ser>
          <c:idx val="0"/>
          <c:order val="0"/>
          <c:tx>
            <c:strRef>
              <c:f>'TABLE 97'!$A$8</c:f>
              <c:strCache>
                <c:ptCount val="1"/>
                <c:pt idx="0">
                  <c:v>50 states and D.C.</c:v>
                </c:pt>
              </c:strCache>
            </c:strRef>
          </c:tx>
          <c:spPr>
            <a:solidFill>
              <a:srgbClr val="003399"/>
            </a:solidFill>
            <a:ln>
              <a:solidFill>
                <a:prstClr val="black"/>
              </a:solidFill>
            </a:ln>
          </c:spPr>
          <c:invertIfNegative val="0"/>
          <c:dLbls>
            <c:spPr>
              <a:noFill/>
              <a:ln>
                <a:noFill/>
              </a:ln>
              <a:effectLst/>
            </c:spPr>
            <c:txPr>
              <a:bodyPr/>
              <a:lstStyle/>
              <a:p>
                <a:pPr>
                  <a:defRPr b="1" i="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96'!$C$6:$H$7</c:f>
              <c:multiLvlStrCache>
                <c:ptCount val="6"/>
                <c:lvl>
                  <c:pt idx="0">
                    <c:v>Instruction2</c:v>
                  </c:pt>
                  <c:pt idx="1">
                    <c:v>Research2</c:v>
                  </c:pt>
                </c:lvl>
                <c:lvl>
                  <c:pt idx="2">
                    <c:v>Public Service2</c:v>
                  </c:pt>
                  <c:pt idx="3">
                    <c:v>Academic and Administrative Support3</c:v>
                  </c:pt>
                  <c:pt idx="4">
                    <c:v>Scholarships and Fellowships</c:v>
                  </c:pt>
                  <c:pt idx="5">
                    <c:v>All Other2</c:v>
                  </c:pt>
                </c:lvl>
              </c:multiLvlStrCache>
            </c:multiLvlStrRef>
          </c:cat>
          <c:val>
            <c:numRef>
              <c:f>'TABLE 97'!$C$8:$H$8</c:f>
              <c:numCache>
                <c:formatCode>#,##0.00</c:formatCode>
                <c:ptCount val="6"/>
                <c:pt idx="0" formatCode="#,##0.0">
                  <c:v>38.357821551047579</c:v>
                </c:pt>
                <c:pt idx="1">
                  <c:v>4.9158837797236996E-2</c:v>
                </c:pt>
                <c:pt idx="2" formatCode="#,##0.0">
                  <c:v>1.2807813377982467</c:v>
                </c:pt>
                <c:pt idx="3" formatCode="#,##0.0">
                  <c:v>33.034307801564132</c:v>
                </c:pt>
                <c:pt idx="4" formatCode="#,##0.0">
                  <c:v>19.109238534950247</c:v>
                </c:pt>
                <c:pt idx="5" formatCode="#,##0.0">
                  <c:v>8.1686919368425723</c:v>
                </c:pt>
              </c:numCache>
            </c:numRef>
          </c:val>
          <c:extLst>
            <c:ext xmlns:c16="http://schemas.microsoft.com/office/drawing/2014/chart" uri="{C3380CC4-5D6E-409C-BE32-E72D297353CC}">
              <c16:uniqueId val="{00000000-6A1C-4AAA-9C73-5D86C1A601CC}"/>
            </c:ext>
          </c:extLst>
        </c:ser>
        <c:ser>
          <c:idx val="1"/>
          <c:order val="1"/>
          <c:tx>
            <c:strRef>
              <c:f>'TABLE 97'!$A$9</c:f>
              <c:strCache>
                <c:ptCount val="1"/>
                <c:pt idx="0">
                  <c:v>SREB states</c:v>
                </c:pt>
              </c:strCache>
            </c:strRef>
          </c:tx>
          <c:spPr>
            <a:solidFill>
              <a:srgbClr val="990033"/>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96'!$C$6:$H$7</c:f>
              <c:multiLvlStrCache>
                <c:ptCount val="6"/>
                <c:lvl>
                  <c:pt idx="0">
                    <c:v>Instruction2</c:v>
                  </c:pt>
                  <c:pt idx="1">
                    <c:v>Research2</c:v>
                  </c:pt>
                </c:lvl>
                <c:lvl>
                  <c:pt idx="2">
                    <c:v>Public Service2</c:v>
                  </c:pt>
                  <c:pt idx="3">
                    <c:v>Academic and Administrative Support3</c:v>
                  </c:pt>
                  <c:pt idx="4">
                    <c:v>Scholarships and Fellowships</c:v>
                  </c:pt>
                  <c:pt idx="5">
                    <c:v>All Other2</c:v>
                  </c:pt>
                </c:lvl>
              </c:multiLvlStrCache>
            </c:multiLvlStrRef>
          </c:cat>
          <c:val>
            <c:numRef>
              <c:f>'TABLE 97'!$C$9:$H$9</c:f>
              <c:numCache>
                <c:formatCode>#,##0.00</c:formatCode>
                <c:ptCount val="6"/>
                <c:pt idx="0" formatCode="#,##0.0">
                  <c:v>37.367798936561798</c:v>
                </c:pt>
                <c:pt idx="1">
                  <c:v>6.1565188161539965E-3</c:v>
                </c:pt>
                <c:pt idx="2" formatCode="#,##0.0">
                  <c:v>0.93614463340859855</c:v>
                </c:pt>
                <c:pt idx="3" formatCode="#,##0.0">
                  <c:v>32.443078511918578</c:v>
                </c:pt>
                <c:pt idx="4" formatCode="#,##0.0">
                  <c:v>23.20695952164526</c:v>
                </c:pt>
                <c:pt idx="5" formatCode="#,##0.0">
                  <c:v>6.0398618776496198</c:v>
                </c:pt>
              </c:numCache>
            </c:numRef>
          </c:val>
          <c:extLst>
            <c:ext xmlns:c16="http://schemas.microsoft.com/office/drawing/2014/chart" uri="{C3380CC4-5D6E-409C-BE32-E72D297353CC}">
              <c16:uniqueId val="{00000001-6A1C-4AAA-9C73-5D86C1A601CC}"/>
            </c:ext>
          </c:extLst>
        </c:ser>
        <c:ser>
          <c:idx val="2"/>
          <c:order val="2"/>
          <c:tx>
            <c:v>State</c:v>
          </c:tx>
          <c:spPr>
            <a:solidFill>
              <a:srgbClr val="006600"/>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96'!$C$6:$H$7</c:f>
              <c:multiLvlStrCache>
                <c:ptCount val="6"/>
                <c:lvl>
                  <c:pt idx="0">
                    <c:v>Instruction2</c:v>
                  </c:pt>
                  <c:pt idx="1">
                    <c:v>Research2</c:v>
                  </c:pt>
                </c:lvl>
                <c:lvl>
                  <c:pt idx="2">
                    <c:v>Public Service2</c:v>
                  </c:pt>
                  <c:pt idx="3">
                    <c:v>Academic and Administrative Support3</c:v>
                  </c:pt>
                  <c:pt idx="4">
                    <c:v>Scholarships and Fellowships</c:v>
                  </c:pt>
                  <c:pt idx="5">
                    <c:v>All Other2</c:v>
                  </c:pt>
                </c:lvl>
              </c:multiLvlStrCache>
            </c:multiLvlStrRef>
          </c:cat>
          <c:val>
            <c:numRef>
              <c:f>'TABLE 97'!$C$11:$H$11</c:f>
              <c:numCache>
                <c:formatCode>#,##0.0</c:formatCode>
                <c:ptCount val="6"/>
                <c:pt idx="0">
                  <c:v>34.301732689013029</c:v>
                </c:pt>
                <c:pt idx="1">
                  <c:v>0</c:v>
                </c:pt>
                <c:pt idx="2">
                  <c:v>0.33661497334743407</c:v>
                </c:pt>
                <c:pt idx="3">
                  <c:v>29.396889964887141</c:v>
                </c:pt>
                <c:pt idx="4">
                  <c:v>25.912886393548622</c:v>
                </c:pt>
                <c:pt idx="5">
                  <c:v>10.051875979203771</c:v>
                </c:pt>
              </c:numCache>
            </c:numRef>
          </c:val>
          <c:extLst>
            <c:ext xmlns:c16="http://schemas.microsoft.com/office/drawing/2014/chart" uri="{C3380CC4-5D6E-409C-BE32-E72D297353CC}">
              <c16:uniqueId val="{00000002-6A1C-4AAA-9C73-5D86C1A601CC}"/>
            </c:ext>
          </c:extLst>
        </c:ser>
        <c:dLbls>
          <c:showLegendKey val="0"/>
          <c:showVal val="1"/>
          <c:showCatName val="0"/>
          <c:showSerName val="0"/>
          <c:showPercent val="0"/>
          <c:showBubbleSize val="0"/>
        </c:dLbls>
        <c:gapWidth val="150"/>
        <c:axId val="362622496"/>
        <c:axId val="182689744"/>
      </c:barChart>
      <c:catAx>
        <c:axId val="362622496"/>
        <c:scaling>
          <c:orientation val="minMax"/>
        </c:scaling>
        <c:delete val="0"/>
        <c:axPos val="b"/>
        <c:numFmt formatCode="General" sourceLinked="0"/>
        <c:majorTickMark val="out"/>
        <c:minorTickMark val="none"/>
        <c:tickLblPos val="nextTo"/>
        <c:txPr>
          <a:bodyPr/>
          <a:lstStyle/>
          <a:p>
            <a:pPr>
              <a:defRPr b="1"/>
            </a:pPr>
            <a:endParaRPr lang="en-US"/>
          </a:p>
        </c:txPr>
        <c:crossAx val="182689744"/>
        <c:crosses val="autoZero"/>
        <c:auto val="1"/>
        <c:lblAlgn val="ctr"/>
        <c:lblOffset val="100"/>
        <c:noMultiLvlLbl val="0"/>
      </c:catAx>
      <c:valAx>
        <c:axId val="182689744"/>
        <c:scaling>
          <c:orientation val="minMax"/>
        </c:scaling>
        <c:delete val="1"/>
        <c:axPos val="l"/>
        <c:numFmt formatCode="#,##0.0" sourceLinked="1"/>
        <c:majorTickMark val="out"/>
        <c:minorTickMark val="none"/>
        <c:tickLblPos val="none"/>
        <c:crossAx val="362622496"/>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Percentage-Point Change 2013-14 to 2018-19</a:t>
            </a:r>
          </a:p>
        </c:rich>
      </c:tx>
      <c:overlay val="0"/>
    </c:title>
    <c:autoTitleDeleted val="0"/>
    <c:plotArea>
      <c:layout>
        <c:manualLayout>
          <c:layoutTarget val="inner"/>
          <c:xMode val="edge"/>
          <c:yMode val="edge"/>
          <c:x val="0.14604848736013307"/>
          <c:y val="8.8977295962011246E-2"/>
          <c:w val="0.71984182898190363"/>
          <c:h val="0.9089029372123395"/>
        </c:manualLayout>
      </c:layout>
      <c:barChart>
        <c:barDir val="bar"/>
        <c:grouping val="clustered"/>
        <c:varyColors val="0"/>
        <c:ser>
          <c:idx val="0"/>
          <c:order val="0"/>
          <c:tx>
            <c:strRef>
              <c:f>'TABLE 97'!$A$8</c:f>
              <c:strCache>
                <c:ptCount val="1"/>
                <c:pt idx="0">
                  <c:v>50 states and D.C.</c:v>
                </c:pt>
              </c:strCache>
            </c:strRef>
          </c:tx>
          <c:spPr>
            <a:solidFill>
              <a:srgbClr val="003399"/>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96'!$I$6:$N$7</c:f>
              <c:strCache>
                <c:ptCount val="6"/>
                <c:pt idx="0">
                  <c:v>Instruction</c:v>
                </c:pt>
                <c:pt idx="1">
                  <c:v>Research</c:v>
                </c:pt>
                <c:pt idx="2">
                  <c:v>Public Service</c:v>
                </c:pt>
                <c:pt idx="3">
                  <c:v>Academic and Administrative Support3</c:v>
                </c:pt>
                <c:pt idx="4">
                  <c:v>Scholarships and Fellowships</c:v>
                </c:pt>
                <c:pt idx="5">
                  <c:v>All Other2</c:v>
                </c:pt>
              </c:strCache>
            </c:strRef>
          </c:cat>
          <c:val>
            <c:numRef>
              <c:f>'TABLE 97'!$I$8:$N$8</c:f>
              <c:numCache>
                <c:formatCode>#,##0.00</c:formatCode>
                <c:ptCount val="6"/>
                <c:pt idx="0" formatCode="#,##0.0">
                  <c:v>-1.4347719049658991</c:v>
                </c:pt>
                <c:pt idx="1">
                  <c:v>-1.3442672584816226E-2</c:v>
                </c:pt>
                <c:pt idx="2" formatCode="#,##0.0">
                  <c:v>-0.13695670175078156</c:v>
                </c:pt>
                <c:pt idx="3" formatCode="#,##0.0">
                  <c:v>1.0135727658127749</c:v>
                </c:pt>
                <c:pt idx="4" formatCode="#,##0.0">
                  <c:v>-4.4755545638771572</c:v>
                </c:pt>
                <c:pt idx="5" formatCode="#,##0.0">
                  <c:v>5.0471530773658948</c:v>
                </c:pt>
              </c:numCache>
            </c:numRef>
          </c:val>
          <c:extLst>
            <c:ext xmlns:c16="http://schemas.microsoft.com/office/drawing/2014/chart" uri="{C3380CC4-5D6E-409C-BE32-E72D297353CC}">
              <c16:uniqueId val="{00000000-3CBF-45FE-BCA1-05EEEFB6FFC5}"/>
            </c:ext>
          </c:extLst>
        </c:ser>
        <c:ser>
          <c:idx val="1"/>
          <c:order val="1"/>
          <c:tx>
            <c:strRef>
              <c:f>'TABLE 97'!$A$9</c:f>
              <c:strCache>
                <c:ptCount val="1"/>
                <c:pt idx="0">
                  <c:v>SREB states</c:v>
                </c:pt>
              </c:strCache>
            </c:strRef>
          </c:tx>
          <c:spPr>
            <a:solidFill>
              <a:srgbClr val="990033"/>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96'!$I$6:$N$7</c:f>
              <c:strCache>
                <c:ptCount val="6"/>
                <c:pt idx="0">
                  <c:v>Instruction</c:v>
                </c:pt>
                <c:pt idx="1">
                  <c:v>Research</c:v>
                </c:pt>
                <c:pt idx="2">
                  <c:v>Public Service</c:v>
                </c:pt>
                <c:pt idx="3">
                  <c:v>Academic and Administrative Support3</c:v>
                </c:pt>
                <c:pt idx="4">
                  <c:v>Scholarships and Fellowships</c:v>
                </c:pt>
                <c:pt idx="5">
                  <c:v>All Other2</c:v>
                </c:pt>
              </c:strCache>
            </c:strRef>
          </c:cat>
          <c:val>
            <c:numRef>
              <c:f>'TABLE 97'!$I$9:$N$9</c:f>
              <c:numCache>
                <c:formatCode>#,##0.0</c:formatCode>
                <c:ptCount val="6"/>
                <c:pt idx="0">
                  <c:v>-2.151949238869868</c:v>
                </c:pt>
                <c:pt idx="1">
                  <c:v>0</c:v>
                </c:pt>
                <c:pt idx="2">
                  <c:v>-0.13735765494659957</c:v>
                </c:pt>
                <c:pt idx="3">
                  <c:v>1.0597168375705515</c:v>
                </c:pt>
                <c:pt idx="4">
                  <c:v>-3.0506204742490937</c:v>
                </c:pt>
                <c:pt idx="5">
                  <c:v>4.2829004725462338</c:v>
                </c:pt>
              </c:numCache>
            </c:numRef>
          </c:val>
          <c:extLst>
            <c:ext xmlns:c16="http://schemas.microsoft.com/office/drawing/2014/chart" uri="{C3380CC4-5D6E-409C-BE32-E72D297353CC}">
              <c16:uniqueId val="{00000001-3CBF-45FE-BCA1-05EEEFB6FFC5}"/>
            </c:ext>
          </c:extLst>
        </c:ser>
        <c:ser>
          <c:idx val="2"/>
          <c:order val="2"/>
          <c:tx>
            <c:v>State</c:v>
          </c:tx>
          <c:spPr>
            <a:solidFill>
              <a:srgbClr val="006600"/>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96'!$I$6:$N$7</c:f>
              <c:strCache>
                <c:ptCount val="6"/>
                <c:pt idx="0">
                  <c:v>Instruction</c:v>
                </c:pt>
                <c:pt idx="1">
                  <c:v>Research</c:v>
                </c:pt>
                <c:pt idx="2">
                  <c:v>Public Service</c:v>
                </c:pt>
                <c:pt idx="3">
                  <c:v>Academic and Administrative Support3</c:v>
                </c:pt>
                <c:pt idx="4">
                  <c:v>Scholarships and Fellowships</c:v>
                </c:pt>
                <c:pt idx="5">
                  <c:v>All Other2</c:v>
                </c:pt>
              </c:strCache>
            </c:strRef>
          </c:cat>
          <c:val>
            <c:numRef>
              <c:f>'TABLE 97'!$I$11:$N$11</c:f>
              <c:numCache>
                <c:formatCode>#,##0.0</c:formatCode>
                <c:ptCount val="6"/>
                <c:pt idx="0">
                  <c:v>-4.9057038986314154</c:v>
                </c:pt>
                <c:pt idx="1">
                  <c:v>0</c:v>
                </c:pt>
                <c:pt idx="2">
                  <c:v>-0.5233264788322145</c:v>
                </c:pt>
                <c:pt idx="3">
                  <c:v>-2.3962632431829434</c:v>
                </c:pt>
                <c:pt idx="4">
                  <c:v>-1.3608740790265443</c:v>
                </c:pt>
                <c:pt idx="5">
                  <c:v>9.1861676996731187</c:v>
                </c:pt>
              </c:numCache>
            </c:numRef>
          </c:val>
          <c:extLst>
            <c:ext xmlns:c16="http://schemas.microsoft.com/office/drawing/2014/chart" uri="{C3380CC4-5D6E-409C-BE32-E72D297353CC}">
              <c16:uniqueId val="{00000002-3CBF-45FE-BCA1-05EEEFB6FFC5}"/>
            </c:ext>
          </c:extLst>
        </c:ser>
        <c:dLbls>
          <c:showLegendKey val="0"/>
          <c:showVal val="1"/>
          <c:showCatName val="0"/>
          <c:showSerName val="0"/>
          <c:showPercent val="0"/>
          <c:showBubbleSize val="0"/>
        </c:dLbls>
        <c:gapWidth val="150"/>
        <c:axId val="362270416"/>
        <c:axId val="362241272"/>
      </c:barChart>
      <c:catAx>
        <c:axId val="362270416"/>
        <c:scaling>
          <c:orientation val="maxMin"/>
        </c:scaling>
        <c:delete val="0"/>
        <c:axPos val="l"/>
        <c:numFmt formatCode="General" sourceLinked="0"/>
        <c:majorTickMark val="out"/>
        <c:minorTickMark val="none"/>
        <c:tickLblPos val="low"/>
        <c:txPr>
          <a:bodyPr/>
          <a:lstStyle/>
          <a:p>
            <a:pPr>
              <a:defRPr b="1"/>
            </a:pPr>
            <a:endParaRPr lang="en-US"/>
          </a:p>
        </c:txPr>
        <c:crossAx val="362241272"/>
        <c:crosses val="autoZero"/>
        <c:auto val="1"/>
        <c:lblAlgn val="ctr"/>
        <c:lblOffset val="100"/>
        <c:noMultiLvlLbl val="0"/>
      </c:catAx>
      <c:valAx>
        <c:axId val="362241272"/>
        <c:scaling>
          <c:orientation val="minMax"/>
        </c:scaling>
        <c:delete val="1"/>
        <c:axPos val="t"/>
        <c:numFmt formatCode="#,##0.0" sourceLinked="1"/>
        <c:majorTickMark val="out"/>
        <c:minorTickMark val="none"/>
        <c:tickLblPos val="none"/>
        <c:crossAx val="362270416"/>
        <c:crosses val="autoZero"/>
        <c:crossBetween val="between"/>
      </c:valAx>
    </c:plotArea>
    <c:legend>
      <c:legendPos val="r"/>
      <c:layout>
        <c:manualLayout>
          <c:xMode val="edge"/>
          <c:yMode val="edge"/>
          <c:x val="0.87967477749491962"/>
          <c:y val="0.34287361933494503"/>
          <c:w val="0.11280642551260039"/>
          <c:h val="0.37784576609958787"/>
        </c:manualLayout>
      </c:layou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26</xdr:col>
      <xdr:colOff>276224</xdr:colOff>
      <xdr:row>5</xdr:row>
      <xdr:rowOff>0</xdr:rowOff>
    </xdr:from>
    <xdr:to>
      <xdr:col>42</xdr:col>
      <xdr:colOff>66675</xdr:colOff>
      <xdr:row>31</xdr:row>
      <xdr:rowOff>114300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265642</xdr:colOff>
      <xdr:row>32</xdr:row>
      <xdr:rowOff>104774</xdr:rowOff>
    </xdr:from>
    <xdr:to>
      <xdr:col>42</xdr:col>
      <xdr:colOff>37042</xdr:colOff>
      <xdr:row>68</xdr:row>
      <xdr:rowOff>276225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42</xdr:col>
      <xdr:colOff>247650</xdr:colOff>
      <xdr:row>4</xdr:row>
      <xdr:rowOff>76199</xdr:rowOff>
    </xdr:from>
    <xdr:to>
      <xdr:col>44</xdr:col>
      <xdr:colOff>561975</xdr:colOff>
      <xdr:row>15</xdr:row>
      <xdr:rowOff>105832</xdr:rowOff>
    </xdr:to>
    <xdr:sp macro="" textlink="">
      <xdr:nvSpPr>
        <xdr:cNvPr id="4" name="Oval Callout 3">
          <a:extLst>
            <a:ext uri="{FF2B5EF4-FFF2-40B4-BE49-F238E27FC236}">
              <a16:creationId xmlns:a16="http://schemas.microsoft.com/office/drawing/2014/main" id="{00000000-0008-0000-0000-000004000000}"/>
            </a:ext>
          </a:extLst>
        </xdr:cNvPr>
        <xdr:cNvSpPr/>
      </xdr:nvSpPr>
      <xdr:spPr>
        <a:xfrm>
          <a:off x="28875567" y="732366"/>
          <a:ext cx="1626658" cy="1966383"/>
        </a:xfrm>
        <a:prstGeom prst="wedgeEllipseCallout">
          <a:avLst>
            <a:gd name="adj1" fmla="val -180327"/>
            <a:gd name="adj2" fmla="val 90743"/>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0</xdr:colOff>
      <xdr:row>7</xdr:row>
      <xdr:rowOff>0</xdr:rowOff>
    </xdr:from>
    <xdr:to>
      <xdr:col>39</xdr:col>
      <xdr:colOff>209551</xdr:colOff>
      <xdr:row>34</xdr:row>
      <xdr:rowOff>133350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819150</xdr:colOff>
      <xdr:row>36</xdr:row>
      <xdr:rowOff>47625</xdr:rowOff>
    </xdr:from>
    <xdr:to>
      <xdr:col>39</xdr:col>
      <xdr:colOff>180975</xdr:colOff>
      <xdr:row>70</xdr:row>
      <xdr:rowOff>657226</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39</xdr:col>
      <xdr:colOff>419100</xdr:colOff>
      <xdr:row>3</xdr:row>
      <xdr:rowOff>85725</xdr:rowOff>
    </xdr:from>
    <xdr:to>
      <xdr:col>41</xdr:col>
      <xdr:colOff>371475</xdr:colOff>
      <xdr:row>12</xdr:row>
      <xdr:rowOff>138640</xdr:rowOff>
    </xdr:to>
    <xdr:sp macro="" textlink="">
      <xdr:nvSpPr>
        <xdr:cNvPr id="4" name="Oval Callout 3">
          <a:extLst>
            <a:ext uri="{FF2B5EF4-FFF2-40B4-BE49-F238E27FC236}">
              <a16:creationId xmlns:a16="http://schemas.microsoft.com/office/drawing/2014/main" id="{00000000-0008-0000-0100-000004000000}"/>
            </a:ext>
          </a:extLst>
        </xdr:cNvPr>
        <xdr:cNvSpPr/>
      </xdr:nvSpPr>
      <xdr:spPr>
        <a:xfrm>
          <a:off x="30470475" y="590550"/>
          <a:ext cx="1609725" cy="1853140"/>
        </a:xfrm>
        <a:prstGeom prst="wedgeEllipseCallout">
          <a:avLst>
            <a:gd name="adj1" fmla="val -170568"/>
            <a:gd name="adj2" fmla="val 116892"/>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1">
    <tabColor indexed="16"/>
  </sheetPr>
  <dimension ref="A1:AD85"/>
  <sheetViews>
    <sheetView showGridLines="0" view="pageBreakPreview" topLeftCell="U19" zoomScale="90" zoomScaleNormal="75" zoomScaleSheetLayoutView="90" workbookViewId="0">
      <selection activeCell="M42" sqref="M42"/>
    </sheetView>
  </sheetViews>
  <sheetFormatPr defaultColWidth="9.85546875" defaultRowHeight="12.75"/>
  <cols>
    <col min="1" max="1" width="8.85546875" customWidth="1"/>
    <col min="2" max="2" width="9.5703125" customWidth="1"/>
    <col min="3" max="3" width="10.140625" customWidth="1"/>
    <col min="4" max="4" width="9.42578125" bestFit="1" customWidth="1"/>
    <col min="5" max="5" width="7.85546875" bestFit="1" customWidth="1"/>
    <col min="6" max="6" width="13.140625" customWidth="1"/>
    <col min="7" max="7" width="12.5703125" bestFit="1" customWidth="1"/>
    <col min="8" max="8" width="7" bestFit="1" customWidth="1"/>
    <col min="9" max="9" width="9.85546875" bestFit="1" customWidth="1"/>
    <col min="10" max="10" width="8.85546875" bestFit="1" customWidth="1"/>
    <col min="11" max="11" width="7.140625" bestFit="1" customWidth="1"/>
    <col min="12" max="12" width="13.140625" customWidth="1"/>
    <col min="13" max="13" width="12.42578125" customWidth="1"/>
    <col min="14" max="14" width="11.85546875" bestFit="1" customWidth="1"/>
    <col min="15" max="15" width="7.140625" style="18" customWidth="1"/>
    <col min="16" max="18" width="10.140625" style="18" customWidth="1"/>
    <col min="19" max="19" width="17" style="18" customWidth="1"/>
    <col min="20" max="20" width="15.42578125" style="18" customWidth="1"/>
    <col min="21" max="21" width="17.140625" style="18" customWidth="1"/>
    <col min="22" max="22" width="10.140625" style="18" customWidth="1"/>
    <col min="23" max="23" width="2.5703125" style="18" customWidth="1"/>
    <col min="24" max="24" width="9.85546875" customWidth="1"/>
    <col min="25" max="25" width="10.42578125" customWidth="1"/>
  </cols>
  <sheetData>
    <row r="1" spans="1:30">
      <c r="A1" s="7" t="s">
        <v>0</v>
      </c>
      <c r="B1" s="7"/>
      <c r="C1" s="2"/>
      <c r="D1" s="2"/>
      <c r="E1" s="2"/>
      <c r="F1" s="2"/>
      <c r="G1" s="2"/>
      <c r="I1" s="2"/>
      <c r="J1" s="4"/>
      <c r="K1" s="4"/>
      <c r="L1" s="4"/>
      <c r="M1" s="4"/>
      <c r="N1" s="4"/>
      <c r="O1" s="8"/>
      <c r="P1" s="8"/>
      <c r="Q1" s="8"/>
      <c r="R1" s="8"/>
      <c r="S1" s="8"/>
      <c r="T1" s="8"/>
      <c r="U1" s="8"/>
      <c r="V1" s="8"/>
      <c r="W1" s="8"/>
      <c r="X1" s="1"/>
      <c r="Y1" s="2"/>
      <c r="Z1" s="1"/>
      <c r="AA1" s="1"/>
      <c r="AB1" s="1"/>
      <c r="AC1" s="1"/>
      <c r="AD1" s="1"/>
    </row>
    <row r="2" spans="1:30" ht="14.25">
      <c r="A2" s="7" t="s">
        <v>1</v>
      </c>
      <c r="B2" s="7"/>
      <c r="C2" s="2"/>
      <c r="D2" s="2"/>
      <c r="E2" s="2"/>
      <c r="F2" s="2"/>
      <c r="G2" s="2"/>
      <c r="H2" s="2"/>
      <c r="I2" s="2"/>
      <c r="J2" s="4"/>
      <c r="K2" s="4"/>
      <c r="L2" s="4"/>
      <c r="M2" s="4"/>
      <c r="N2" s="4"/>
      <c r="O2" s="8"/>
      <c r="P2" s="8"/>
      <c r="Q2" s="8"/>
      <c r="R2" s="8"/>
      <c r="S2" s="8"/>
      <c r="T2" s="8"/>
      <c r="U2" s="8"/>
      <c r="V2" s="8"/>
      <c r="W2" s="8"/>
      <c r="X2" s="1"/>
      <c r="Y2" s="2"/>
      <c r="Z2" s="1"/>
      <c r="AA2" s="1"/>
      <c r="AB2" s="1"/>
      <c r="AC2" s="1"/>
      <c r="AD2" s="1"/>
    </row>
    <row r="3" spans="1:30">
      <c r="A3" s="1" t="s">
        <v>2</v>
      </c>
      <c r="B3" s="7"/>
      <c r="C3" s="2"/>
      <c r="D3" s="1"/>
      <c r="E3" s="1"/>
      <c r="F3" s="1"/>
      <c r="G3" s="1"/>
      <c r="H3" s="1"/>
      <c r="I3" s="2"/>
      <c r="J3" s="4"/>
      <c r="K3" s="4"/>
      <c r="L3" s="4"/>
      <c r="M3" s="4"/>
      <c r="N3" s="4"/>
      <c r="O3" s="8"/>
      <c r="P3" s="8"/>
      <c r="Q3" s="8"/>
      <c r="R3" s="8"/>
      <c r="S3" s="8"/>
      <c r="T3" s="8"/>
      <c r="U3" s="8"/>
      <c r="V3" s="8"/>
      <c r="W3" s="8"/>
      <c r="X3" s="1"/>
      <c r="Y3" s="1"/>
      <c r="Z3" s="1"/>
      <c r="AA3" s="1"/>
      <c r="AB3" s="1"/>
      <c r="AC3" s="1"/>
      <c r="AD3" s="1"/>
    </row>
    <row r="4" spans="1:30">
      <c r="A4" s="1"/>
      <c r="B4" s="1"/>
      <c r="C4" s="1"/>
      <c r="D4" s="1"/>
      <c r="E4" s="1"/>
      <c r="F4" s="1"/>
      <c r="G4" s="1"/>
      <c r="H4" s="1"/>
      <c r="I4" s="1"/>
      <c r="J4" s="1"/>
      <c r="K4" s="1"/>
      <c r="L4" s="1"/>
      <c r="M4" s="1"/>
      <c r="N4" s="1"/>
      <c r="O4" s="8"/>
      <c r="X4" s="1"/>
      <c r="Y4" s="1"/>
      <c r="Z4" s="1"/>
      <c r="AA4" s="1"/>
      <c r="AB4" s="1"/>
      <c r="AC4" s="1"/>
      <c r="AD4" s="1"/>
    </row>
    <row r="5" spans="1:30">
      <c r="A5" s="20"/>
      <c r="B5" s="20"/>
      <c r="C5" s="3" t="s">
        <v>3</v>
      </c>
      <c r="D5" s="3"/>
      <c r="E5" s="3"/>
      <c r="F5" s="3"/>
      <c r="G5" s="3"/>
      <c r="H5" s="3"/>
      <c r="I5" s="57" t="s">
        <v>4</v>
      </c>
      <c r="J5" s="3"/>
      <c r="K5" s="3"/>
      <c r="L5" s="3"/>
      <c r="M5" s="3"/>
      <c r="N5" s="3"/>
      <c r="O5" s="15"/>
      <c r="P5" s="3" t="s">
        <v>5</v>
      </c>
      <c r="Q5" s="3"/>
      <c r="R5" s="3"/>
      <c r="S5" s="3"/>
      <c r="T5" s="3"/>
      <c r="U5" s="3"/>
      <c r="V5" s="3"/>
      <c r="W5" s="2"/>
      <c r="X5" s="1" t="s">
        <v>6</v>
      </c>
      <c r="Y5" s="1"/>
      <c r="Z5" s="2"/>
      <c r="AA5" s="2"/>
      <c r="AB5" s="1"/>
      <c r="AC5" s="1"/>
      <c r="AD5" s="1"/>
    </row>
    <row r="6" spans="1:30" ht="25.5">
      <c r="A6" s="5"/>
      <c r="B6" s="5"/>
      <c r="C6" s="2"/>
      <c r="D6" s="2"/>
      <c r="E6" s="114" t="s">
        <v>158</v>
      </c>
      <c r="F6" s="114" t="s">
        <v>162</v>
      </c>
      <c r="G6" s="114" t="s">
        <v>161</v>
      </c>
      <c r="H6" s="116" t="s">
        <v>160</v>
      </c>
      <c r="I6" s="119" t="s">
        <v>18</v>
      </c>
      <c r="J6" s="113" t="s">
        <v>19</v>
      </c>
      <c r="K6" s="114" t="s">
        <v>159</v>
      </c>
      <c r="L6" s="114" t="s">
        <v>162</v>
      </c>
      <c r="M6" s="114" t="s">
        <v>161</v>
      </c>
      <c r="N6" s="114" t="s">
        <v>160</v>
      </c>
      <c r="O6" s="15"/>
      <c r="P6" s="2"/>
      <c r="Q6" s="2"/>
      <c r="R6" s="114" t="s">
        <v>159</v>
      </c>
      <c r="S6" s="73" t="s">
        <v>157</v>
      </c>
      <c r="T6" s="2" t="s">
        <v>11</v>
      </c>
      <c r="U6" s="2" t="s">
        <v>9</v>
      </c>
      <c r="V6" s="4" t="s">
        <v>10</v>
      </c>
      <c r="W6" s="4"/>
      <c r="X6" s="1" t="s">
        <v>6</v>
      </c>
      <c r="Y6" s="1"/>
      <c r="Z6" s="2"/>
      <c r="AA6" s="2"/>
      <c r="AB6" s="1"/>
      <c r="AC6" s="1"/>
      <c r="AD6" s="1"/>
    </row>
    <row r="7" spans="1:30" ht="14.25">
      <c r="A7" s="6"/>
      <c r="B7" s="6"/>
      <c r="C7" s="24" t="s">
        <v>12</v>
      </c>
      <c r="D7" s="24" t="s">
        <v>13</v>
      </c>
      <c r="E7" s="115"/>
      <c r="F7" s="118"/>
      <c r="G7" s="115"/>
      <c r="H7" s="117"/>
      <c r="I7" s="120"/>
      <c r="J7" s="121"/>
      <c r="K7" s="115"/>
      <c r="L7" s="118"/>
      <c r="M7" s="115"/>
      <c r="N7" s="115"/>
      <c r="O7" s="15"/>
      <c r="P7" s="24" t="s">
        <v>18</v>
      </c>
      <c r="Q7" s="24" t="s">
        <v>19</v>
      </c>
      <c r="R7" s="115"/>
      <c r="S7" s="24" t="s">
        <v>20</v>
      </c>
      <c r="T7" s="24" t="s">
        <v>21</v>
      </c>
      <c r="U7" s="24" t="s">
        <v>16</v>
      </c>
      <c r="V7" s="25" t="s">
        <v>22</v>
      </c>
      <c r="W7" s="4"/>
      <c r="X7" s="13" t="s">
        <v>23</v>
      </c>
      <c r="Y7" s="13"/>
      <c r="Z7" s="2"/>
      <c r="AA7" s="2"/>
      <c r="AB7" s="1"/>
      <c r="AC7" s="1"/>
      <c r="AD7" s="1"/>
    </row>
    <row r="8" spans="1:30">
      <c r="A8" s="54" t="s">
        <v>24</v>
      </c>
      <c r="B8" s="54"/>
      <c r="C8" s="60">
        <f>'Instruction-4YR'!AE6/'T E&amp;G 4YR'!AE6*100</f>
        <v>33.601612186621523</v>
      </c>
      <c r="D8" s="60">
        <f>'RESEARCH 4yr'!AE6/'T E&amp;G 4YR'!AE6*100</f>
        <v>15.177355526745323</v>
      </c>
      <c r="E8" s="60">
        <f>'PUBLIC SERVICE 4yr'!AE6/'T E&amp;G 4YR'!AE6*100</f>
        <v>5.7747445492550602</v>
      </c>
      <c r="F8" s="60">
        <f>'ASptISptSSv 4yr'!AE6/'T E&amp;G 4YR'!AE6*100</f>
        <v>24.609852825485216</v>
      </c>
      <c r="G8" s="60">
        <f>'SCHOLAR FELLOW 4yr'!AE6/'T E&amp;G 4YR'!AE6*100</f>
        <v>14.51756988000256</v>
      </c>
      <c r="H8" s="60">
        <f>('All Other 4yr'!AE6/'T E&amp;G 4YR'!AE6)*100</f>
        <v>6.3188650318903461</v>
      </c>
      <c r="I8" s="61">
        <f t="shared" ref="I8:L9" si="0">IF((C8-P8)=0,(C8-P8),IF((C8-P8)&gt;=0.005,(C8-P8),IF((C8-P8&lt;=-0.005),(C8-P8),"*")))</f>
        <v>-2.3805412649284037</v>
      </c>
      <c r="J8" s="60">
        <f t="shared" si="0"/>
        <v>-0.97647096151971269</v>
      </c>
      <c r="K8" s="60">
        <f t="shared" si="0"/>
        <v>-0.45749182629629193</v>
      </c>
      <c r="L8" s="60">
        <f t="shared" si="0"/>
        <v>-0.92747393537986866</v>
      </c>
      <c r="M8" s="60">
        <f>IF((G8-U8)=0,(G8-U8),IF((G8-U8)&gt;=0.005,(G8-U8),IF((G8-U8&lt;=-0.005),(G8-U8),"*")))</f>
        <v>6.0621591284293785E-2</v>
      </c>
      <c r="N8" s="60">
        <f>IF((H8-V8)=0,(H8-V8),IF((H8-V8)&gt;=0.005,(H8-V8),IF((H8-V8&lt;=-0.005),(H8-V8),"*")))</f>
        <v>4.6813563968400249</v>
      </c>
      <c r="O8" s="22"/>
      <c r="P8" s="37">
        <f>('Instruction-4YR'!Z6)/'T E&amp;G 4YR'!Z6*100</f>
        <v>35.982153451549927</v>
      </c>
      <c r="Q8" s="37">
        <f>('RESEARCH 4yr'!Z6)/('T E&amp;G 4YR'!Z6)*100</f>
        <v>16.153826488265036</v>
      </c>
      <c r="R8" s="37">
        <f>('PUBLIC SERVICE 4yr'!Z6)/('T E&amp;G 4YR'!Z6)*100</f>
        <v>6.2322363755513521</v>
      </c>
      <c r="S8" s="37">
        <f>('ASptISptSSv 4yr'!Z6)/('T E&amp;G 4YR'!Z6)*100</f>
        <v>25.537326760865085</v>
      </c>
      <c r="T8" s="38">
        <f>('PLANT OPER MAIN 4yr'!Z6)/('T E&amp;G 4YR'!Z6)*100</f>
        <v>0</v>
      </c>
      <c r="U8" s="37">
        <f>('SCHOLAR FELLOW 4yr'!Z6)/('T E&amp;G 4YR'!Z6)*100</f>
        <v>14.456948288718266</v>
      </c>
      <c r="V8" s="36">
        <f>IF((('All Other 4yr'!Z6/'T E&amp;G 4YR'!Z6)*100)&gt;=0.005,('All Other 4yr'!Z6/'T E&amp;G 4YR'!Z6)*100,"*")</f>
        <v>1.6375086350503214</v>
      </c>
      <c r="W8" s="36"/>
      <c r="X8" s="27">
        <f>SUM(P8:V8)</f>
        <v>99.999999999999986</v>
      </c>
      <c r="Y8" s="27">
        <f>SUM(C8:H8)</f>
        <v>100.00000000000001</v>
      </c>
      <c r="Z8" s="1"/>
      <c r="AA8" s="1"/>
      <c r="AB8" s="1"/>
      <c r="AC8" s="1"/>
      <c r="AD8" s="1"/>
    </row>
    <row r="9" spans="1:30">
      <c r="A9" s="53" t="s">
        <v>25</v>
      </c>
      <c r="B9" s="53"/>
      <c r="C9" s="62">
        <f>'Instruction-4YR'!AE7/'T E&amp;G 4YR'!AE7*100</f>
        <v>33.181781488660619</v>
      </c>
      <c r="D9" s="62">
        <f>'RESEARCH 4yr'!AE7/'T E&amp;G 4YR'!AE7*100</f>
        <v>16.110343367709444</v>
      </c>
      <c r="E9" s="62">
        <f>'PUBLIC SERVICE 4yr'!AE7/'T E&amp;G 4YR'!AE7*100</f>
        <v>6.5127110115257087</v>
      </c>
      <c r="F9" s="62">
        <f>'ASptISptSSv 4yr'!AE7/'T E&amp;G 4YR'!AE7*100</f>
        <v>23.313207192151921</v>
      </c>
      <c r="G9" s="62">
        <f>'SCHOLAR FELLOW 4yr'!AE7/'T E&amp;G 4YR'!AE7*100</f>
        <v>15.188503234129469</v>
      </c>
      <c r="H9" s="62">
        <f>('All Other 4yr'!AE7/'T E&amp;G 4YR'!AE7)*100</f>
        <v>5.6934537058228418</v>
      </c>
      <c r="I9" s="63">
        <f t="shared" si="0"/>
        <v>-1.9572324958072613</v>
      </c>
      <c r="J9" s="62">
        <f t="shared" si="0"/>
        <v>-0.10537399141007953</v>
      </c>
      <c r="K9" s="62">
        <f t="shared" si="0"/>
        <v>-0.27760720557897045</v>
      </c>
      <c r="L9" s="62">
        <f t="shared" si="0"/>
        <v>-1.0845806164024623</v>
      </c>
      <c r="M9" s="62">
        <f>IF((G9-U9)=0,(G9-U9),IF((G9-U9)&gt;=0.005,(G9-U9),IF((G9-U9&lt;=-0.005),(G9-U9),"*")))</f>
        <v>-0.22451123466422196</v>
      </c>
      <c r="N9" s="62">
        <f>IF((H9-V9)=0,(H9-V9),IF((H9-V9)&gt;=0.005,(H9-V9),IF((H9-V9&lt;=-0.005),(H9-V9),"*")))</f>
        <v>3.649305543862996</v>
      </c>
      <c r="O9" s="22"/>
      <c r="P9" s="37">
        <f>('Instruction-4YR'!Z7)/'T E&amp;G 4YR'!Z7*100</f>
        <v>35.13901398446788</v>
      </c>
      <c r="Q9" s="37">
        <f>('RESEARCH 4yr'!Z7)/('T E&amp;G 4YR'!Z7)*100</f>
        <v>16.215717359119523</v>
      </c>
      <c r="R9" s="37">
        <f>('PUBLIC SERVICE 4yr'!Z7)/('T E&amp;G 4YR'!Z7)*100</f>
        <v>6.7903182171046792</v>
      </c>
      <c r="S9" s="37">
        <f>('ASptISptSSv 4yr'!Z7)/('T E&amp;G 4YR'!Z7)*100</f>
        <v>24.397787808554384</v>
      </c>
      <c r="T9" s="38">
        <f>('PLANT OPER MAIN 4yr'!Z7)/('T E&amp;G 4YR'!Z7)*100</f>
        <v>0</v>
      </c>
      <c r="U9" s="37">
        <f>('SCHOLAR FELLOW 4yr'!Z7)/('T E&amp;G 4YR'!Z7)*100</f>
        <v>15.413014468793691</v>
      </c>
      <c r="V9" s="36">
        <f>IF((('All Other 4yr'!Z7/'T E&amp;G 4YR'!Z7)*100)&gt;=0.005,('All Other 4yr'!Z7/'T E&amp;G 4YR'!Z7)*100,"*")</f>
        <v>2.0441481619598458</v>
      </c>
      <c r="W9" s="36"/>
      <c r="X9" s="27">
        <f>SUM(P9:V9)</f>
        <v>99.999999999999986</v>
      </c>
      <c r="Y9" s="27">
        <f>SUM(C9:H9)</f>
        <v>100.00000000000001</v>
      </c>
      <c r="Z9" s="1"/>
      <c r="AA9" s="1"/>
      <c r="AB9" s="1"/>
      <c r="AC9" s="1"/>
      <c r="AD9" s="1"/>
    </row>
    <row r="10" spans="1:30">
      <c r="A10" s="53"/>
      <c r="B10" s="53"/>
      <c r="C10" s="62"/>
      <c r="D10" s="62"/>
      <c r="E10" s="62"/>
      <c r="F10" s="62"/>
      <c r="G10" s="62"/>
      <c r="H10" s="62"/>
      <c r="I10" s="63"/>
      <c r="J10" s="62"/>
      <c r="K10" s="62"/>
      <c r="L10" s="77"/>
      <c r="M10" s="62"/>
      <c r="N10" s="62"/>
      <c r="O10" s="8"/>
      <c r="P10" s="37"/>
      <c r="Q10" s="37"/>
      <c r="R10" s="37"/>
      <c r="S10" s="37"/>
      <c r="T10" s="38"/>
      <c r="U10" s="37"/>
      <c r="V10" s="36"/>
      <c r="W10" s="35"/>
      <c r="X10" s="10"/>
      <c r="Y10" s="10"/>
      <c r="Z10" s="1"/>
      <c r="AA10" s="1"/>
      <c r="AB10" s="1"/>
      <c r="AC10" s="1"/>
      <c r="AD10" s="1"/>
    </row>
    <row r="11" spans="1:30">
      <c r="A11" s="52" t="s">
        <v>26</v>
      </c>
      <c r="B11" s="52"/>
      <c r="C11" s="64">
        <f>'Instruction-4YR'!AE9/'T E&amp;G 4YR'!AE9*100</f>
        <v>26.943995986596576</v>
      </c>
      <c r="D11" s="64">
        <f>'RESEARCH 4yr'!AE9/'T E&amp;G 4YR'!AE9*100</f>
        <v>13.470052579166236</v>
      </c>
      <c r="E11" s="64">
        <f>'PUBLIC SERVICE 4yr'!AE9/'T E&amp;G 4YR'!AE9*100</f>
        <v>7.5214968578745909</v>
      </c>
      <c r="F11" s="64">
        <f>'ASptISptSSv 4yr'!AE9/'T E&amp;G 4YR'!AE9*100</f>
        <v>27.598981129035639</v>
      </c>
      <c r="G11" s="64">
        <f>'SCHOLAR FELLOW 4yr'!AE9/'T E&amp;G 4YR'!AE9*100</f>
        <v>16.985799282588637</v>
      </c>
      <c r="H11" s="64">
        <f>('All Other 4yr'!AE9/'T E&amp;G 4YR'!AE9)*100</f>
        <v>7.4796741647383245</v>
      </c>
      <c r="I11" s="65">
        <f t="shared" ref="I11:I27" si="1">IF((C11-P11)=0,(C11-P11),IF((C11-P11)&gt;=0.005,(C11-P11),IF((C11-P11&lt;=-0.005),(C11-P11),"*")))</f>
        <v>-6.5342411348790392</v>
      </c>
      <c r="J11" s="64">
        <f t="shared" ref="J11:J27" si="2">IF((D11-Q11)=0,(D11-Q11),IF((D11-Q11)&gt;=0.005,(D11-Q11),IF((D11-Q11&lt;=-0.005),(D11-Q11),"*")))</f>
        <v>0.42179025327743958</v>
      </c>
      <c r="K11" s="64">
        <f t="shared" ref="K11:K27" si="3">IF((E11-R11)=0,(E11-R11),IF((E11-R11)&gt;=0.005,(E11-R11),IF((E11-R11&lt;=-0.005),(E11-R11),"*")))</f>
        <v>-1.7294604834493752</v>
      </c>
      <c r="L11" s="64">
        <f t="shared" ref="L11:L27" si="4">IF((F11-S11)=0,(F11-S11),IF((F11-S11)&gt;=0.005,(F11-S11),IF((F11-S11&lt;=-0.005),(F11-S11),"*")))</f>
        <v>-1.2657434196890307</v>
      </c>
      <c r="M11" s="64">
        <f t="shared" ref="M11:M27" si="5">IF((G11-U11)=0,(G11-U11),IF((G11-U11)&gt;=0.005,(G11-U11),IF((G11-U11&lt;=-0.005),(G11-U11),"*")))</f>
        <v>2.3791156151847463</v>
      </c>
      <c r="N11" s="64">
        <f t="shared" ref="N11:N27" si="6">IF((H11-V11)=0,(H11-V11),IF((H11-V11)&gt;=0.005,(H11-V11),IF((H11-V11&lt;=-0.005),(H11-V11),"*")))</f>
        <v>6.7285391695552645</v>
      </c>
      <c r="O11" s="8"/>
      <c r="P11" s="37">
        <f>('Instruction-4YR'!Z9)/'T E&amp;G 4YR'!Z9*100</f>
        <v>33.478237121475615</v>
      </c>
      <c r="Q11" s="37">
        <f>('RESEARCH 4yr'!Z9)/('T E&amp;G 4YR'!Z9)*100</f>
        <v>13.048262325888796</v>
      </c>
      <c r="R11" s="37">
        <f>('PUBLIC SERVICE 4yr'!Z9)/('T E&amp;G 4YR'!Z9)*100</f>
        <v>9.2509573413239661</v>
      </c>
      <c r="S11" s="37">
        <f>('ASptISptSSv 4yr'!Z9)/('T E&amp;G 4YR'!Z9)*100</f>
        <v>28.86472454872467</v>
      </c>
      <c r="T11" s="38">
        <f>('PLANT OPER MAIN 4yr'!Z9)/('T E&amp;G 4YR'!Z9)*100</f>
        <v>0</v>
      </c>
      <c r="U11" s="37">
        <f>('SCHOLAR FELLOW 4yr'!Z9)/('T E&amp;G 4YR'!Z9)*100</f>
        <v>14.606683667403891</v>
      </c>
      <c r="V11" s="36">
        <f>IF((('All Other 4yr'!Z9/'T E&amp;G 4YR'!Z9)*100)&gt;=0.005,('All Other 4yr'!Z9/'T E&amp;G 4YR'!Z9)*100,"*")</f>
        <v>0.75113499518306015</v>
      </c>
      <c r="W11" s="35"/>
      <c r="X11" s="27">
        <f t="shared" ref="X11:X26" si="7">SUM(P11:V11)</f>
        <v>100</v>
      </c>
      <c r="Y11" s="27">
        <f>SUM(C11:H11)</f>
        <v>100</v>
      </c>
      <c r="Z11" s="1"/>
      <c r="AA11" s="1"/>
      <c r="AB11" s="1"/>
      <c r="AC11" s="1"/>
      <c r="AD11" s="1"/>
    </row>
    <row r="12" spans="1:30">
      <c r="A12" s="52" t="s">
        <v>27</v>
      </c>
      <c r="B12" s="52"/>
      <c r="C12" s="64">
        <f>'Instruction-4YR'!AE10/'T E&amp;G 4YR'!AE10*100</f>
        <v>30.782204848090068</v>
      </c>
      <c r="D12" s="64">
        <f>'RESEARCH 4yr'!AE10/'T E&amp;G 4YR'!AE10*100</f>
        <v>14.028051773158923</v>
      </c>
      <c r="E12" s="64">
        <f>'PUBLIC SERVICE 4yr'!AE10/'T E&amp;G 4YR'!AE10*100</f>
        <v>7.956056697638628</v>
      </c>
      <c r="F12" s="64">
        <f>'ASptISptSSv 4yr'!AE10/'T E&amp;G 4YR'!AE10*100</f>
        <v>26.164393883554915</v>
      </c>
      <c r="G12" s="64">
        <f>'SCHOLAR FELLOW 4yr'!AE10/'T E&amp;G 4YR'!AE10*100</f>
        <v>17.919789290629534</v>
      </c>
      <c r="H12" s="64">
        <f>('All Other 4yr'!AE10/'T E&amp;G 4YR'!AE10)*100</f>
        <v>3.1495035069279331</v>
      </c>
      <c r="I12" s="65">
        <f t="shared" si="1"/>
        <v>-1.9151446062960318</v>
      </c>
      <c r="J12" s="64">
        <f t="shared" si="2"/>
        <v>0.80435999960923965</v>
      </c>
      <c r="K12" s="64">
        <f t="shared" si="3"/>
        <v>-0.85943958480991611</v>
      </c>
      <c r="L12" s="64">
        <f t="shared" si="4"/>
        <v>1.5223629608917548</v>
      </c>
      <c r="M12" s="64">
        <f t="shared" si="5"/>
        <v>-0.5797536940979704</v>
      </c>
      <c r="N12" s="64">
        <f t="shared" si="6"/>
        <v>1.0276149247029256</v>
      </c>
      <c r="O12" s="8"/>
      <c r="P12" s="37">
        <f>('Instruction-4YR'!Z10)/'T E&amp;G 4YR'!Z10*100</f>
        <v>32.697349454386099</v>
      </c>
      <c r="Q12" s="37">
        <f>('RESEARCH 4yr'!Z10)/('T E&amp;G 4YR'!Z10)*100</f>
        <v>13.223691773549684</v>
      </c>
      <c r="R12" s="37">
        <f>('PUBLIC SERVICE 4yr'!Z10)/('T E&amp;G 4YR'!Z10)*100</f>
        <v>8.8154962824485441</v>
      </c>
      <c r="S12" s="37">
        <f>('ASptISptSSv 4yr'!Z10)/('T E&amp;G 4YR'!Z10)*100</f>
        <v>24.64203092266316</v>
      </c>
      <c r="T12" s="38">
        <f>('PLANT OPER MAIN 4yr'!Z10)/('T E&amp;G 4YR'!Z10)*100</f>
        <v>0</v>
      </c>
      <c r="U12" s="37">
        <f>('SCHOLAR FELLOW 4yr'!Z10)/('T E&amp;G 4YR'!Z10)*100</f>
        <v>18.499542984727505</v>
      </c>
      <c r="V12" s="36">
        <f>IF((('All Other 4yr'!Z10/'T E&amp;G 4YR'!Z10)*100)&gt;=0.005,('All Other 4yr'!Z10/'T E&amp;G 4YR'!Z10)*100,"*")</f>
        <v>2.1218885822250075</v>
      </c>
      <c r="W12" s="35"/>
      <c r="X12" s="27">
        <f t="shared" ref="X12:X16" si="8">SUM(P12:V12)</f>
        <v>100</v>
      </c>
      <c r="Y12" s="27">
        <f t="shared" ref="Y12:Y16" si="9">SUM(C12:H12)</f>
        <v>100</v>
      </c>
      <c r="Z12" s="1"/>
      <c r="AA12" s="1"/>
      <c r="AB12" s="1"/>
      <c r="AC12" s="1"/>
      <c r="AD12" s="1"/>
    </row>
    <row r="13" spans="1:30">
      <c r="A13" s="52" t="s">
        <v>28</v>
      </c>
      <c r="B13" s="52"/>
      <c r="C13" s="64">
        <f>'Instruction-4YR'!AE11/'T E&amp;G 4YR'!AE11*100</f>
        <v>48.310945410243633</v>
      </c>
      <c r="D13" s="64">
        <f>'RESEARCH 4yr'!AE11/'T E&amp;G 4YR'!AE11*100</f>
        <v>15.455007173481713</v>
      </c>
      <c r="E13" s="64">
        <f>'PUBLIC SERVICE 4yr'!AE11/'T E&amp;G 4YR'!AE11*100</f>
        <v>4.9870308840148603</v>
      </c>
      <c r="F13" s="64">
        <f>'ASptISptSSv 4yr'!AE11/'T E&amp;G 4YR'!AE11*100</f>
        <v>26.194945363156812</v>
      </c>
      <c r="G13" s="64">
        <f>'SCHOLAR FELLOW 4yr'!AE11/'T E&amp;G 4YR'!AE11*100</f>
        <v>4.3640217443006506</v>
      </c>
      <c r="H13" s="64">
        <f>('All Other 4yr'!AE11/'T E&amp;G 4YR'!AE11)*100</f>
        <v>0.68804942480233089</v>
      </c>
      <c r="I13" s="65">
        <f t="shared" si="1"/>
        <v>7.6685825826239835</v>
      </c>
      <c r="J13" s="64">
        <f t="shared" si="2"/>
        <v>0.90282990409822261</v>
      </c>
      <c r="K13" s="64">
        <f t="shared" si="3"/>
        <v>-7.5541204331335265E-2</v>
      </c>
      <c r="L13" s="64">
        <f t="shared" si="4"/>
        <v>3.2722410477356583</v>
      </c>
      <c r="M13" s="64">
        <f t="shared" si="5"/>
        <v>-12.128290669874541</v>
      </c>
      <c r="N13" s="64">
        <f t="shared" si="6"/>
        <v>0.36017833974801033</v>
      </c>
      <c r="O13" s="8"/>
      <c r="P13" s="37">
        <f>('Instruction-4YR'!Z11)/'T E&amp;G 4YR'!Z11*100</f>
        <v>40.64236282761965</v>
      </c>
      <c r="Q13" s="37">
        <f>('RESEARCH 4yr'!Z11)/('T E&amp;G 4YR'!Z11)*100</f>
        <v>14.55217726938349</v>
      </c>
      <c r="R13" s="37">
        <f>('PUBLIC SERVICE 4yr'!Z11)/('T E&amp;G 4YR'!Z11)*100</f>
        <v>5.0625720883461955</v>
      </c>
      <c r="S13" s="37">
        <f>('ASptISptSSv 4yr'!Z11)/('T E&amp;G 4YR'!Z11)*100</f>
        <v>22.922704315421154</v>
      </c>
      <c r="T13" s="38">
        <f>('PLANT OPER MAIN 4yr'!Z11)/('T E&amp;G 4YR'!Z11)*100</f>
        <v>0</v>
      </c>
      <c r="U13" s="37">
        <f>('SCHOLAR FELLOW 4yr'!Z11)/('T E&amp;G 4YR'!Z11)*100</f>
        <v>16.492312414175192</v>
      </c>
      <c r="V13" s="36">
        <f>IF((('All Other 4yr'!Z11/'T E&amp;G 4YR'!Z11)*100)&gt;=0.005,('All Other 4yr'!Z11/'T E&amp;G 4YR'!Z11)*100,"*")</f>
        <v>0.32787108505432055</v>
      </c>
      <c r="W13" s="35"/>
      <c r="X13" s="27">
        <f>SUM(P13:V13)</f>
        <v>100</v>
      </c>
      <c r="Y13" s="27">
        <f>SUM(C13:H13)</f>
        <v>100</v>
      </c>
      <c r="Z13" s="1"/>
      <c r="AA13" s="1"/>
      <c r="AB13" s="1"/>
      <c r="AC13" s="1"/>
      <c r="AD13" s="1"/>
    </row>
    <row r="14" spans="1:30">
      <c r="A14" s="52" t="s">
        <v>29</v>
      </c>
      <c r="B14" s="52"/>
      <c r="C14" s="64">
        <f>'Instruction-4YR'!AE12/'T E&amp;G 4YR'!AE12*100</f>
        <v>28.92159138978289</v>
      </c>
      <c r="D14" s="64">
        <f>'RESEARCH 4yr'!AE12/'T E&amp;G 4YR'!AE12*100</f>
        <v>16.919725678174196</v>
      </c>
      <c r="E14" s="64">
        <f>'PUBLIC SERVICE 4yr'!AE12/'T E&amp;G 4YR'!AE12*100</f>
        <v>8.8872248511598837</v>
      </c>
      <c r="F14" s="64">
        <f>'ASptISptSSv 4yr'!AE12/'T E&amp;G 4YR'!AE12*100</f>
        <v>21.684335163808992</v>
      </c>
      <c r="G14" s="64">
        <f>'SCHOLAR FELLOW 4yr'!AE12/'T E&amp;G 4YR'!AE12*100</f>
        <v>18.827285699176425</v>
      </c>
      <c r="H14" s="64">
        <f>('All Other 4yr'!AE12/'T E&amp;G 4YR'!AE12)*100</f>
        <v>4.7598372178976032</v>
      </c>
      <c r="I14" s="65">
        <f t="shared" si="1"/>
        <v>-3.9011097646899131</v>
      </c>
      <c r="J14" s="64">
        <f t="shared" si="2"/>
        <v>-0.86263319792387705</v>
      </c>
      <c r="K14" s="64">
        <f t="shared" si="3"/>
        <v>1.4950712664790924</v>
      </c>
      <c r="L14" s="64">
        <f t="shared" si="4"/>
        <v>-1.2747393289772404</v>
      </c>
      <c r="M14" s="64">
        <f t="shared" si="5"/>
        <v>2.1899970835651814</v>
      </c>
      <c r="N14" s="64">
        <f t="shared" si="6"/>
        <v>2.3534139415467394</v>
      </c>
      <c r="O14" s="8"/>
      <c r="P14" s="37">
        <f>('Instruction-4YR'!Z12)/'T E&amp;G 4YR'!Z12*100</f>
        <v>32.822701154472803</v>
      </c>
      <c r="Q14" s="37">
        <f>('RESEARCH 4yr'!Z12)/('T E&amp;G 4YR'!Z12)*100</f>
        <v>17.782358876098073</v>
      </c>
      <c r="R14" s="37">
        <f>('PUBLIC SERVICE 4yr'!Z12)/('T E&amp;G 4YR'!Z12)*100</f>
        <v>7.3921535846807913</v>
      </c>
      <c r="S14" s="37">
        <f>('ASptISptSSv 4yr'!Z12)/('T E&amp;G 4YR'!Z12)*100</f>
        <v>22.959074492786232</v>
      </c>
      <c r="T14" s="38">
        <f>('PLANT OPER MAIN 4yr'!Z12)/('T E&amp;G 4YR'!Z12)*100</f>
        <v>0</v>
      </c>
      <c r="U14" s="37">
        <f>('SCHOLAR FELLOW 4yr'!Z12)/('T E&amp;G 4YR'!Z12)*100</f>
        <v>16.637288615611244</v>
      </c>
      <c r="V14" s="36">
        <f>IF((('All Other 4yr'!Z12/'T E&amp;G 4YR'!Z12)*100)&gt;=0.005,('All Other 4yr'!Z12/'T E&amp;G 4YR'!Z12)*100,"*")</f>
        <v>2.4064232763508637</v>
      </c>
      <c r="W14" s="35"/>
      <c r="X14" s="27">
        <f>SUM(P14:V14)</f>
        <v>100</v>
      </c>
      <c r="Y14" s="27">
        <f t="shared" si="9"/>
        <v>99.999999999999986</v>
      </c>
      <c r="Z14" s="1"/>
      <c r="AA14" s="1"/>
      <c r="AB14" s="1"/>
      <c r="AC14" s="1"/>
      <c r="AD14" s="1"/>
    </row>
    <row r="15" spans="1:30">
      <c r="A15" s="53" t="s">
        <v>30</v>
      </c>
      <c r="B15" s="53"/>
      <c r="C15" s="62">
        <f>'Instruction-4YR'!AE13/'T E&amp;G 4YR'!AE13*100</f>
        <v>28.756114985377835</v>
      </c>
      <c r="D15" s="62">
        <f>'RESEARCH 4yr'!AE13/'T E&amp;G 4YR'!AE13*100</f>
        <v>23.324270850341623</v>
      </c>
      <c r="E15" s="62">
        <f>'PUBLIC SERVICE 4yr'!AE13/'T E&amp;G 4YR'!AE13*100</f>
        <v>5.5202508542830664</v>
      </c>
      <c r="F15" s="62">
        <f>'ASptISptSSv 4yr'!AE13/'T E&amp;G 4YR'!AE13*100</f>
        <v>25.078471258088204</v>
      </c>
      <c r="G15" s="62">
        <f>'SCHOLAR FELLOW 4yr'!AE13/'T E&amp;G 4YR'!AE13*100</f>
        <v>12.587635604453364</v>
      </c>
      <c r="H15" s="62">
        <f>('All Other 4yr'!AE13/'T E&amp;G 4YR'!AE13)*100</f>
        <v>4.7332564474559051</v>
      </c>
      <c r="I15" s="63">
        <f t="shared" si="1"/>
        <v>-3.9598491561660865</v>
      </c>
      <c r="J15" s="62">
        <f t="shared" si="2"/>
        <v>5.9875432658952121E-2</v>
      </c>
      <c r="K15" s="62">
        <f t="shared" si="3"/>
        <v>-0.25657880064999539</v>
      </c>
      <c r="L15" s="62">
        <f t="shared" si="4"/>
        <v>6.1381928823834642E-2</v>
      </c>
      <c r="M15" s="62">
        <f t="shared" si="5"/>
        <v>-0.11453565831358858</v>
      </c>
      <c r="N15" s="62">
        <f t="shared" si="6"/>
        <v>4.2097062536468881</v>
      </c>
      <c r="O15" s="22"/>
      <c r="P15" s="37">
        <f>('Instruction-4YR'!Z13)/'T E&amp;G 4YR'!Z13*100</f>
        <v>32.715964141543921</v>
      </c>
      <c r="Q15" s="37">
        <f>('RESEARCH 4yr'!Z13)/('T E&amp;G 4YR'!Z13)*100</f>
        <v>23.264395417682671</v>
      </c>
      <c r="R15" s="37">
        <f>('PUBLIC SERVICE 4yr'!Z13)/('T E&amp;G 4YR'!Z13)*100</f>
        <v>5.7768296549330618</v>
      </c>
      <c r="S15" s="37">
        <f>('ASptISptSSv 4yr'!Z13)/('T E&amp;G 4YR'!Z13)*100</f>
        <v>25.017089329264369</v>
      </c>
      <c r="T15" s="38">
        <f>('PLANT OPER MAIN 4yr'!Z13)/('T E&amp;G 4YR'!Z13)*100</f>
        <v>0</v>
      </c>
      <c r="U15" s="37">
        <f>('SCHOLAR FELLOW 4yr'!Z13)/('T E&amp;G 4YR'!Z13)*100</f>
        <v>12.702171262766953</v>
      </c>
      <c r="V15" s="36">
        <f>IF((('All Other 4yr'!Z13/'T E&amp;G 4YR'!Z13)*100)&gt;=0.005,('All Other 4yr'!Z13/'T E&amp;G 4YR'!Z13)*100,"*")</f>
        <v>0.52355019380901702</v>
      </c>
      <c r="W15" s="36"/>
      <c r="X15" s="27">
        <f t="shared" si="8"/>
        <v>99.999999999999986</v>
      </c>
      <c r="Y15" s="27">
        <f t="shared" si="9"/>
        <v>99.999999999999986</v>
      </c>
      <c r="Z15" s="1"/>
      <c r="AA15" s="1"/>
      <c r="AB15" s="1"/>
      <c r="AC15" s="1"/>
      <c r="AD15" s="1"/>
    </row>
    <row r="16" spans="1:30">
      <c r="A16" s="53" t="s">
        <v>31</v>
      </c>
      <c r="B16" s="53"/>
      <c r="C16" s="62">
        <f>'Instruction-4YR'!AE14/'T E&amp;G 4YR'!AE14*100</f>
        <v>26.599225648100266</v>
      </c>
      <c r="D16" s="62">
        <f>'RESEARCH 4yr'!AE14/'T E&amp;G 4YR'!AE14*100</f>
        <v>12.294320200271917</v>
      </c>
      <c r="E16" s="62">
        <f>'PUBLIC SERVICE 4yr'!AE14/'T E&amp;G 4YR'!AE14*100</f>
        <v>21.812810910399012</v>
      </c>
      <c r="F16" s="62">
        <f>'ASptISptSSv 4yr'!AE14/'T E&amp;G 4YR'!AE14*100</f>
        <v>22.12976002758553</v>
      </c>
      <c r="G16" s="62">
        <f>'SCHOLAR FELLOW 4yr'!AE14/'T E&amp;G 4YR'!AE14*100</f>
        <v>17.127436031448852</v>
      </c>
      <c r="H16" s="62">
        <f>('All Other 4yr'!AE14/'T E&amp;G 4YR'!AE14)*100</f>
        <v>3.6447182194418969E-2</v>
      </c>
      <c r="I16" s="63">
        <f t="shared" si="1"/>
        <v>-3.5073475370734535</v>
      </c>
      <c r="J16" s="105">
        <f t="shared" si="2"/>
        <v>1.5192336894029879E-2</v>
      </c>
      <c r="K16" s="62">
        <f t="shared" si="3"/>
        <v>4.1251879662963979</v>
      </c>
      <c r="L16" s="62">
        <f t="shared" si="4"/>
        <v>-1.3674538146781536</v>
      </c>
      <c r="M16" s="62">
        <f t="shared" si="5"/>
        <v>1.1687389705884215</v>
      </c>
      <c r="N16" s="62">
        <f t="shared" si="6"/>
        <v>-0.43431792202724229</v>
      </c>
      <c r="O16" s="22"/>
      <c r="P16" s="37">
        <f>('Instruction-4YR'!Z14)/'T E&amp;G 4YR'!Z14*100</f>
        <v>30.106573185173719</v>
      </c>
      <c r="Q16" s="37">
        <f>('RESEARCH 4yr'!Z14)/('T E&amp;G 4YR'!Z14)*100</f>
        <v>12.279127863377887</v>
      </c>
      <c r="R16" s="37">
        <f>('PUBLIC SERVICE 4yr'!Z14)/('T E&amp;G 4YR'!Z14)*100</f>
        <v>17.687622944102614</v>
      </c>
      <c r="S16" s="37">
        <f>('ASptISptSSv 4yr'!Z14)/('T E&amp;G 4YR'!Z14)*100</f>
        <v>23.497213842263683</v>
      </c>
      <c r="T16" s="38">
        <f>('PLANT OPER MAIN 4yr'!Z14)/('T E&amp;G 4YR'!Z14)*100</f>
        <v>0</v>
      </c>
      <c r="U16" s="37">
        <f>('SCHOLAR FELLOW 4yr'!Z14)/('T E&amp;G 4YR'!Z14)*100</f>
        <v>15.95869706086043</v>
      </c>
      <c r="V16" s="36">
        <f>IF((('All Other 4yr'!Z14/'T E&amp;G 4YR'!Z14)*100)&gt;=0.005,('All Other 4yr'!Z14/'T E&amp;G 4YR'!Z14)*100,"*")</f>
        <v>0.47076510422166123</v>
      </c>
      <c r="W16" s="36"/>
      <c r="X16" s="27">
        <f t="shared" si="8"/>
        <v>99.999999999999986</v>
      </c>
      <c r="Y16" s="27">
        <f t="shared" si="9"/>
        <v>100</v>
      </c>
      <c r="Z16" s="1"/>
      <c r="AA16" s="1"/>
      <c r="AB16" s="1"/>
      <c r="AC16" s="1"/>
      <c r="AD16" s="1"/>
    </row>
    <row r="17" spans="1:30">
      <c r="A17" s="53" t="s">
        <v>32</v>
      </c>
      <c r="B17" s="53"/>
      <c r="C17" s="62">
        <f>'Instruction-4YR'!AE15/'T E&amp;G 4YR'!AE15*100</f>
        <v>33.676114352376516</v>
      </c>
      <c r="D17" s="62">
        <f>'RESEARCH 4yr'!AE15/'T E&amp;G 4YR'!AE15*100</f>
        <v>11.714857729308756</v>
      </c>
      <c r="E17" s="62">
        <f>'PUBLIC SERVICE 4yr'!AE15/'T E&amp;G 4YR'!AE15*100</f>
        <v>12.231784686784666</v>
      </c>
      <c r="F17" s="62">
        <f>'ASptISptSSv 4yr'!AE15/'T E&amp;G 4YR'!AE15*100</f>
        <v>20.779313144600025</v>
      </c>
      <c r="G17" s="62">
        <f>'SCHOLAR FELLOW 4yr'!AE15/'T E&amp;G 4YR'!AE15*100</f>
        <v>14.708901108150634</v>
      </c>
      <c r="H17" s="62">
        <f>('All Other 4yr'!AE15/'T E&amp;G 4YR'!AE15)*100</f>
        <v>6.8890289787794146</v>
      </c>
      <c r="I17" s="63">
        <f t="shared" si="1"/>
        <v>-1.0520379215602844</v>
      </c>
      <c r="J17" s="62">
        <f t="shared" si="2"/>
        <v>-3.2213353930832778</v>
      </c>
      <c r="K17" s="62">
        <f t="shared" si="3"/>
        <v>0.2796698838836349</v>
      </c>
      <c r="L17" s="62">
        <f t="shared" si="4"/>
        <v>-2.3076893036309372</v>
      </c>
      <c r="M17" s="62">
        <f t="shared" si="5"/>
        <v>1.8446392396297746</v>
      </c>
      <c r="N17" s="62">
        <f t="shared" si="6"/>
        <v>4.4567534947610854</v>
      </c>
      <c r="O17" s="22"/>
      <c r="P17" s="37">
        <f>('Instruction-4YR'!Z15)/'T E&amp;G 4YR'!Z15*100</f>
        <v>34.7281522739368</v>
      </c>
      <c r="Q17" s="37">
        <f>('RESEARCH 4yr'!Z15)/('T E&amp;G 4YR'!Z15)*100</f>
        <v>14.936193122392034</v>
      </c>
      <c r="R17" s="37">
        <f>('PUBLIC SERVICE 4yr'!Z15)/('T E&amp;G 4YR'!Z15)*100</f>
        <v>11.952114802901031</v>
      </c>
      <c r="S17" s="37">
        <f>('ASptISptSSv 4yr'!Z15)/('T E&amp;G 4YR'!Z15)*100</f>
        <v>23.087002448230962</v>
      </c>
      <c r="T17" s="38">
        <f>('PLANT OPER MAIN 4yr'!Z15)/('T E&amp;G 4YR'!Z15)*100</f>
        <v>0</v>
      </c>
      <c r="U17" s="37">
        <f>('SCHOLAR FELLOW 4yr'!Z15)/('T E&amp;G 4YR'!Z15)*100</f>
        <v>12.86426186852086</v>
      </c>
      <c r="V17" s="36">
        <f>IF((('All Other 4yr'!Z15/'T E&amp;G 4YR'!Z15)*100)&gt;=0.005,('All Other 4yr'!Z15/'T E&amp;G 4YR'!Z15)*100,"*")</f>
        <v>2.4322754840183292</v>
      </c>
      <c r="W17" s="36"/>
      <c r="X17" s="27">
        <f t="shared" si="7"/>
        <v>100.00000000000001</v>
      </c>
      <c r="Y17" s="27">
        <f t="shared" ref="Y17:Y26" si="10">SUM(C17:H17)</f>
        <v>100</v>
      </c>
      <c r="Z17" s="1"/>
      <c r="AA17" s="1"/>
      <c r="AB17" s="1"/>
      <c r="AC17" s="1"/>
      <c r="AD17" s="1"/>
    </row>
    <row r="18" spans="1:30">
      <c r="A18" s="53" t="s">
        <v>33</v>
      </c>
      <c r="B18" s="53"/>
      <c r="C18" s="62">
        <f>'Instruction-4YR'!AE16/'T E&amp;G 4YR'!AE16*100</f>
        <v>28.550619786526383</v>
      </c>
      <c r="D18" s="62">
        <f>'RESEARCH 4yr'!AE16/'T E&amp;G 4YR'!AE16*100</f>
        <v>22.3333056843544</v>
      </c>
      <c r="E18" s="62">
        <f>'PUBLIC SERVICE 4yr'!AE16/'T E&amp;G 4YR'!AE16*100</f>
        <v>3.2305424443890862</v>
      </c>
      <c r="F18" s="62">
        <f>'ASptISptSSv 4yr'!AE16/'T E&amp;G 4YR'!AE16*100</f>
        <v>27.294389081915149</v>
      </c>
      <c r="G18" s="62">
        <f>'SCHOLAR FELLOW 4yr'!AE16/'T E&amp;G 4YR'!AE16*100</f>
        <v>10.192944384455313</v>
      </c>
      <c r="H18" s="62">
        <f>('All Other 4yr'!AE16/'T E&amp;G 4YR'!AE16)*100</f>
        <v>8.39819861835967</v>
      </c>
      <c r="I18" s="63">
        <f t="shared" si="1"/>
        <v>-3.4705169291365365</v>
      </c>
      <c r="J18" s="62">
        <f t="shared" si="2"/>
        <v>-1.1486166118295991</v>
      </c>
      <c r="K18" s="62">
        <f t="shared" si="3"/>
        <v>-0.76705754473660104</v>
      </c>
      <c r="L18" s="62">
        <f t="shared" si="4"/>
        <v>-1.4959942358247673</v>
      </c>
      <c r="M18" s="62">
        <f t="shared" si="5"/>
        <v>0.1369070856857455</v>
      </c>
      <c r="N18" s="62">
        <f t="shared" si="6"/>
        <v>6.7452782358417709</v>
      </c>
      <c r="O18" s="22"/>
      <c r="P18" s="37">
        <f>('Instruction-4YR'!Z16)/'T E&amp;G 4YR'!Z16*100</f>
        <v>32.021136715662919</v>
      </c>
      <c r="Q18" s="37">
        <f>('RESEARCH 4yr'!Z16)/('T E&amp;G 4YR'!Z16)*100</f>
        <v>23.481922296183999</v>
      </c>
      <c r="R18" s="37">
        <f>('PUBLIC SERVICE 4yr'!Z16)/('T E&amp;G 4YR'!Z16)*100</f>
        <v>3.9975999891256873</v>
      </c>
      <c r="S18" s="37">
        <f>('ASptISptSSv 4yr'!Z16)/('T E&amp;G 4YR'!Z16)*100</f>
        <v>28.790383317739916</v>
      </c>
      <c r="T18" s="38">
        <f>('PLANT OPER MAIN 4yr'!Z16)/('T E&amp;G 4YR'!Z16)*100</f>
        <v>0</v>
      </c>
      <c r="U18" s="37">
        <f>('SCHOLAR FELLOW 4yr'!Z16)/('T E&amp;G 4YR'!Z16)*100</f>
        <v>10.056037298769567</v>
      </c>
      <c r="V18" s="36">
        <f>IF((('All Other 4yr'!Z16/'T E&amp;G 4YR'!Z16)*100)&gt;=0.005,('All Other 4yr'!Z16/'T E&amp;G 4YR'!Z16)*100,"*")</f>
        <v>1.6529203825178993</v>
      </c>
      <c r="W18" s="36"/>
      <c r="X18" s="27">
        <f t="shared" si="7"/>
        <v>100</v>
      </c>
      <c r="Y18" s="27">
        <f t="shared" si="10"/>
        <v>100</v>
      </c>
      <c r="Z18" s="1"/>
      <c r="AA18" s="1"/>
      <c r="AB18" s="1"/>
      <c r="AC18" s="1"/>
      <c r="AD18" s="1"/>
    </row>
    <row r="19" spans="1:30">
      <c r="A19" s="52" t="s">
        <v>34</v>
      </c>
      <c r="B19" s="52"/>
      <c r="C19" s="64">
        <f>'Instruction-4YR'!AE17/'T E&amp;G 4YR'!AE17*100</f>
        <v>26.845857363405383</v>
      </c>
      <c r="D19" s="64">
        <f>'RESEARCH 4yr'!AE17/'T E&amp;G 4YR'!AE17*100</f>
        <v>16.176167769314624</v>
      </c>
      <c r="E19" s="64">
        <f>'PUBLIC SERVICE 4yr'!AE17/'T E&amp;G 4YR'!AE17*100</f>
        <v>5.896049975247351</v>
      </c>
      <c r="F19" s="64">
        <f>'ASptISptSSv 4yr'!AE17/'T E&amp;G 4YR'!AE17*100</f>
        <v>22.700405053100837</v>
      </c>
      <c r="G19" s="64">
        <f>'SCHOLAR FELLOW 4yr'!AE17/'T E&amp;G 4YR'!AE17*100</f>
        <v>19.115126674570423</v>
      </c>
      <c r="H19" s="64">
        <f>('All Other 4yr'!AE17/'T E&amp;G 4YR'!AE17)*100</f>
        <v>9.2663931643613733</v>
      </c>
      <c r="I19" s="65">
        <f t="shared" si="1"/>
        <v>-6.1586953544751957</v>
      </c>
      <c r="J19" s="64">
        <f t="shared" si="2"/>
        <v>1.6106946490290746</v>
      </c>
      <c r="K19" s="64">
        <f t="shared" si="3"/>
        <v>-1.5530772721734136</v>
      </c>
      <c r="L19" s="64">
        <f t="shared" si="4"/>
        <v>-4.0908804413687356</v>
      </c>
      <c r="M19" s="64">
        <f t="shared" si="5"/>
        <v>1.6748667768481198</v>
      </c>
      <c r="N19" s="64">
        <f t="shared" si="6"/>
        <v>8.5170916421401479</v>
      </c>
      <c r="O19" s="8"/>
      <c r="P19" s="37">
        <f>('Instruction-4YR'!Z17)/'T E&amp;G 4YR'!Z17*100</f>
        <v>33.004552717880578</v>
      </c>
      <c r="Q19" s="37">
        <f>('RESEARCH 4yr'!Z17)/('T E&amp;G 4YR'!Z17)*100</f>
        <v>14.565473120285549</v>
      </c>
      <c r="R19" s="37">
        <f>('PUBLIC SERVICE 4yr'!Z17)/('T E&amp;G 4YR'!Z17)*100</f>
        <v>7.4491272474207646</v>
      </c>
      <c r="S19" s="37">
        <f>('ASptISptSSv 4yr'!Z17)/('T E&amp;G 4YR'!Z17)*100</f>
        <v>26.791285494469573</v>
      </c>
      <c r="T19" s="38">
        <f>('PLANT OPER MAIN 4yr'!Z17)/('T E&amp;G 4YR'!Z17)*100</f>
        <v>0</v>
      </c>
      <c r="U19" s="37">
        <f>('SCHOLAR FELLOW 4yr'!Z17)/('T E&amp;G 4YR'!Z17)*100</f>
        <v>17.440259897722303</v>
      </c>
      <c r="V19" s="36">
        <f>IF((('All Other 4yr'!Z17/'T E&amp;G 4YR'!Z17)*100)&gt;=0.005,('All Other 4yr'!Z17/'T E&amp;G 4YR'!Z17)*100,"*")</f>
        <v>0.74930152222122526</v>
      </c>
      <c r="W19" s="35"/>
      <c r="X19" s="27">
        <f t="shared" si="7"/>
        <v>100</v>
      </c>
      <c r="Y19" s="27">
        <f t="shared" si="10"/>
        <v>99.999999999999986</v>
      </c>
      <c r="Z19" s="1"/>
      <c r="AA19" s="1"/>
      <c r="AB19" s="1"/>
      <c r="AC19" s="1"/>
      <c r="AD19" s="1"/>
    </row>
    <row r="20" spans="1:30">
      <c r="A20" s="52" t="s">
        <v>35</v>
      </c>
      <c r="B20" s="52"/>
      <c r="C20" s="64">
        <f>'Instruction-4YR'!AE18/'T E&amp;G 4YR'!AE18*100</f>
        <v>38.2313244215051</v>
      </c>
      <c r="D20" s="64">
        <f>'RESEARCH 4yr'!AE18/'T E&amp;G 4YR'!AE18*100</f>
        <v>16.072486062657305</v>
      </c>
      <c r="E20" s="64">
        <f>'PUBLIC SERVICE 4yr'!AE18/'T E&amp;G 4YR'!AE18*100</f>
        <v>5.5073586342874217</v>
      </c>
      <c r="F20" s="64">
        <f>'ASptISptSSv 4yr'!AE18/'T E&amp;G 4YR'!AE18*100</f>
        <v>22.594210264955866</v>
      </c>
      <c r="G20" s="64">
        <f>'SCHOLAR FELLOW 4yr'!AE18/'T E&amp;G 4YR'!AE18*100</f>
        <v>15.375740612702643</v>
      </c>
      <c r="H20" s="64">
        <f>('All Other 4yr'!AE18/'T E&amp;G 4YR'!AE18)*100</f>
        <v>2.2188800038916718</v>
      </c>
      <c r="I20" s="65">
        <f t="shared" si="1"/>
        <v>-2.0879511072405776</v>
      </c>
      <c r="J20" s="64">
        <f t="shared" si="2"/>
        <v>-0.44935402063442709</v>
      </c>
      <c r="K20" s="64">
        <f t="shared" si="3"/>
        <v>-0.11726095640998047</v>
      </c>
      <c r="L20" s="64">
        <f t="shared" si="4"/>
        <v>1.0175627089234247</v>
      </c>
      <c r="M20" s="64">
        <f t="shared" si="5"/>
        <v>7.8963560898026586E-2</v>
      </c>
      <c r="N20" s="64">
        <f t="shared" si="6"/>
        <v>1.5580398144635383</v>
      </c>
      <c r="O20" s="8"/>
      <c r="P20" s="37">
        <f>('Instruction-4YR'!Z18)/'T E&amp;G 4YR'!Z18*100</f>
        <v>40.319275528745678</v>
      </c>
      <c r="Q20" s="37">
        <f>('RESEARCH 4yr'!Z18)/('T E&amp;G 4YR'!Z18)*100</f>
        <v>16.521840083291732</v>
      </c>
      <c r="R20" s="37">
        <f>('PUBLIC SERVICE 4yr'!Z18)/('T E&amp;G 4YR'!Z18)*100</f>
        <v>5.6246195906974021</v>
      </c>
      <c r="S20" s="37">
        <f>('ASptISptSSv 4yr'!Z18)/('T E&amp;G 4YR'!Z18)*100</f>
        <v>21.576647556032441</v>
      </c>
      <c r="T20" s="38">
        <f>('PLANT OPER MAIN 4yr'!Z18)/('T E&amp;G 4YR'!Z18)*100</f>
        <v>0</v>
      </c>
      <c r="U20" s="37">
        <f>('SCHOLAR FELLOW 4yr'!Z18)/('T E&amp;G 4YR'!Z18)*100</f>
        <v>15.296777051804616</v>
      </c>
      <c r="V20" s="36">
        <f>IF((('All Other 4yr'!Z18/'T E&amp;G 4YR'!Z18)*100)&gt;=0.005,('All Other 4yr'!Z18/'T E&amp;G 4YR'!Z18)*100,"*")</f>
        <v>0.6608401894281335</v>
      </c>
      <c r="W20" s="35"/>
      <c r="X20" s="27">
        <f t="shared" si="7"/>
        <v>99.999999999999986</v>
      </c>
      <c r="Y20" s="27">
        <f t="shared" si="10"/>
        <v>100</v>
      </c>
      <c r="Z20" s="1"/>
      <c r="AA20" s="1"/>
      <c r="AB20" s="1"/>
      <c r="AC20" s="1"/>
      <c r="AD20" s="1"/>
    </row>
    <row r="21" spans="1:30">
      <c r="A21" s="52" t="s">
        <v>36</v>
      </c>
      <c r="B21" s="52"/>
      <c r="C21" s="64">
        <f>'Instruction-4YR'!AE19/'T E&amp;G 4YR'!AE19*100</f>
        <v>38.38524734856297</v>
      </c>
      <c r="D21" s="64">
        <f>'RESEARCH 4yr'!AE19/'T E&amp;G 4YR'!AE19*100</f>
        <v>14.093052974149645</v>
      </c>
      <c r="E21" s="64">
        <f>'PUBLIC SERVICE 4yr'!AE19/'T E&amp;G 4YR'!AE19*100</f>
        <v>5.9574995804552815</v>
      </c>
      <c r="F21" s="64">
        <f>'ASptISptSSv 4yr'!AE19/'T E&amp;G 4YR'!AE19*100</f>
        <v>20.114116417078723</v>
      </c>
      <c r="G21" s="64">
        <f>'SCHOLAR FELLOW 4yr'!AE19/'T E&amp;G 4YR'!AE19*100</f>
        <v>18.389096188529891</v>
      </c>
      <c r="H21" s="64">
        <f>('All Other 4yr'!AE19/'T E&amp;G 4YR'!AE19)*100</f>
        <v>3.0609874912234774</v>
      </c>
      <c r="I21" s="65">
        <f t="shared" si="1"/>
        <v>-2.5822104148219225</v>
      </c>
      <c r="J21" s="64">
        <f t="shared" si="2"/>
        <v>0.95398759123953525</v>
      </c>
      <c r="K21" s="64">
        <f t="shared" si="3"/>
        <v>-1.1724632434450966</v>
      </c>
      <c r="L21" s="64">
        <f t="shared" si="4"/>
        <v>-1.7345529519846785</v>
      </c>
      <c r="M21" s="64">
        <f t="shared" si="5"/>
        <v>1.7881187008486243</v>
      </c>
      <c r="N21" s="64">
        <f t="shared" si="6"/>
        <v>2.747120318163526</v>
      </c>
      <c r="O21" s="8"/>
      <c r="P21" s="37">
        <f>('Instruction-4YR'!Z19)/'T E&amp;G 4YR'!Z19*100</f>
        <v>40.967457763384893</v>
      </c>
      <c r="Q21" s="37">
        <f>('RESEARCH 4yr'!Z19)/('T E&amp;G 4YR'!Z19)*100</f>
        <v>13.139065382910109</v>
      </c>
      <c r="R21" s="37">
        <f>('PUBLIC SERVICE 4yr'!Z19)/('T E&amp;G 4YR'!Z19)*100</f>
        <v>7.1299628239003781</v>
      </c>
      <c r="S21" s="37">
        <f>('ASptISptSSv 4yr'!Z19)/('T E&amp;G 4YR'!Z19)*100</f>
        <v>21.848669369063401</v>
      </c>
      <c r="T21" s="38">
        <f>('PLANT OPER MAIN 4yr'!Z19)/('T E&amp;G 4YR'!Z19)*100</f>
        <v>0</v>
      </c>
      <c r="U21" s="37">
        <f>('SCHOLAR FELLOW 4yr'!Z19)/('T E&amp;G 4YR'!Z19)*100</f>
        <v>16.600977487681266</v>
      </c>
      <c r="V21" s="36">
        <f>IF((('All Other 4yr'!Z19/'T E&amp;G 4YR'!Z19)*100)&gt;=0.005,('All Other 4yr'!Z19/'T E&amp;G 4YR'!Z19)*100,"*")</f>
        <v>0.31386717305995138</v>
      </c>
      <c r="W21" s="35"/>
      <c r="X21" s="27">
        <f t="shared" si="7"/>
        <v>100</v>
      </c>
      <c r="Y21" s="27">
        <f t="shared" si="10"/>
        <v>99.999999999999986</v>
      </c>
      <c r="Z21" s="1"/>
      <c r="AA21" s="1"/>
      <c r="AB21" s="1"/>
      <c r="AC21" s="1"/>
      <c r="AD21" s="1"/>
    </row>
    <row r="22" spans="1:30">
      <c r="A22" s="52" t="s">
        <v>37</v>
      </c>
      <c r="B22" s="52"/>
      <c r="C22" s="64">
        <f>'Instruction-4YR'!AE20/'T E&amp;G 4YR'!AE20*100</f>
        <v>33.108834717772467</v>
      </c>
      <c r="D22" s="64">
        <f>'RESEARCH 4yr'!AE20/'T E&amp;G 4YR'!AE20*100</f>
        <v>14.851593586908349</v>
      </c>
      <c r="E22" s="64">
        <f>'PUBLIC SERVICE 4yr'!AE20/'T E&amp;G 4YR'!AE20*100</f>
        <v>6.3330503629919992</v>
      </c>
      <c r="F22" s="64">
        <f>'ASptISptSSv 4yr'!AE20/'T E&amp;G 4YR'!AE20*100</f>
        <v>22.402404807847365</v>
      </c>
      <c r="G22" s="64">
        <f>'SCHOLAR FELLOW 4yr'!AE20/'T E&amp;G 4YR'!AE20*100</f>
        <v>17.842058752728427</v>
      </c>
      <c r="H22" s="64">
        <f>('All Other 4yr'!AE20/'T E&amp;G 4YR'!AE20)*100</f>
        <v>5.4620577717513932</v>
      </c>
      <c r="I22" s="65">
        <f t="shared" si="1"/>
        <v>-2.6921288334616804</v>
      </c>
      <c r="J22" s="64">
        <f t="shared" si="2"/>
        <v>-0.99908581601145308</v>
      </c>
      <c r="K22" s="64">
        <f t="shared" si="3"/>
        <v>-0.84859028194378805</v>
      </c>
      <c r="L22" s="64">
        <f t="shared" si="4"/>
        <v>-1.0399501831341169</v>
      </c>
      <c r="M22" s="64">
        <f t="shared" si="5"/>
        <v>0.56773958915816891</v>
      </c>
      <c r="N22" s="64">
        <f t="shared" si="6"/>
        <v>5.012015525392874</v>
      </c>
      <c r="O22" s="8"/>
      <c r="P22" s="37">
        <f>('Instruction-4YR'!Z20)/'T E&amp;G 4YR'!Z20*100</f>
        <v>35.800963551234148</v>
      </c>
      <c r="Q22" s="37">
        <f>('RESEARCH 4yr'!Z20)/('T E&amp;G 4YR'!Z20)*100</f>
        <v>15.850679402919802</v>
      </c>
      <c r="R22" s="37">
        <f>('PUBLIC SERVICE 4yr'!Z20)/('T E&amp;G 4YR'!Z20)*100</f>
        <v>7.1816406449357872</v>
      </c>
      <c r="S22" s="37">
        <f>('ASptISptSSv 4yr'!Z20)/('T E&amp;G 4YR'!Z20)*100</f>
        <v>23.442354990981482</v>
      </c>
      <c r="T22" s="38">
        <f>('PLANT OPER MAIN 4yr'!Z20)/('T E&amp;G 4YR'!Z20)*100</f>
        <v>0</v>
      </c>
      <c r="U22" s="37">
        <f>('SCHOLAR FELLOW 4yr'!Z20)/('T E&amp;G 4YR'!Z20)*100</f>
        <v>17.274319163570258</v>
      </c>
      <c r="V22" s="36">
        <f>IF((('All Other 4yr'!Z20/'T E&amp;G 4YR'!Z20)*100)&gt;=0.005,('All Other 4yr'!Z20/'T E&amp;G 4YR'!Z20)*100,"*")</f>
        <v>0.45004224635851897</v>
      </c>
      <c r="W22" s="35"/>
      <c r="X22" s="27">
        <f t="shared" si="7"/>
        <v>100</v>
      </c>
      <c r="Y22" s="27">
        <f t="shared" si="10"/>
        <v>99.999999999999986</v>
      </c>
      <c r="Z22" s="1"/>
      <c r="AA22" s="1"/>
      <c r="AB22" s="1"/>
      <c r="AC22" s="1"/>
      <c r="AD22" s="1"/>
    </row>
    <row r="23" spans="1:30">
      <c r="A23" s="53" t="s">
        <v>38</v>
      </c>
      <c r="B23" s="53"/>
      <c r="C23" s="62">
        <f>'Instruction-4YR'!AE21/'T E&amp;G 4YR'!AE21*100</f>
        <v>38.131568597905094</v>
      </c>
      <c r="D23" s="62">
        <f>'RESEARCH 4yr'!AE21/'T E&amp;G 4YR'!AE21*100</f>
        <v>11.965587045079976</v>
      </c>
      <c r="E23" s="62">
        <f>'PUBLIC SERVICE 4yr'!AE21/'T E&amp;G 4YR'!AE21*100</f>
        <v>5.6871815301488553</v>
      </c>
      <c r="F23" s="62">
        <f>'ASptISptSSv 4yr'!AE21/'T E&amp;G 4YR'!AE21*100</f>
        <v>23.936050694355227</v>
      </c>
      <c r="G23" s="62">
        <f>'SCHOLAR FELLOW 4yr'!AE21/'T E&amp;G 4YR'!AE21*100</f>
        <v>17.87031421159941</v>
      </c>
      <c r="H23" s="62">
        <f>('All Other 4yr'!AE21/'T E&amp;G 4YR'!AE21)*100</f>
        <v>2.4092979209114374</v>
      </c>
      <c r="I23" s="63">
        <f t="shared" si="1"/>
        <v>-2.5995195310888022</v>
      </c>
      <c r="J23" s="62">
        <f t="shared" si="2"/>
        <v>1.24218556573428</v>
      </c>
      <c r="K23" s="62">
        <f t="shared" si="3"/>
        <v>-0.15419887644198749</v>
      </c>
      <c r="L23" s="62">
        <f t="shared" si="4"/>
        <v>-0.5873894804002262</v>
      </c>
      <c r="M23" s="62">
        <f t="shared" si="5"/>
        <v>-0.293656005967037</v>
      </c>
      <c r="N23" s="62">
        <f t="shared" si="6"/>
        <v>2.3925783281637738</v>
      </c>
      <c r="O23" s="22"/>
      <c r="P23" s="37">
        <f>('Instruction-4YR'!Z21)/'T E&amp;G 4YR'!Z21*100</f>
        <v>40.731088128993896</v>
      </c>
      <c r="Q23" s="37">
        <f>('RESEARCH 4yr'!Z21)/('T E&amp;G 4YR'!Z21)*100</f>
        <v>10.723401479345696</v>
      </c>
      <c r="R23" s="37">
        <f>('PUBLIC SERVICE 4yr'!Z21)/('T E&amp;G 4YR'!Z21)*100</f>
        <v>5.8413804065908428</v>
      </c>
      <c r="S23" s="37">
        <f>('ASptISptSSv 4yr'!Z21)/('T E&amp;G 4YR'!Z21)*100</f>
        <v>24.523440174755454</v>
      </c>
      <c r="T23" s="38">
        <f>('PLANT OPER MAIN 4yr'!Z21)/('T E&amp;G 4YR'!Z21)*100</f>
        <v>0</v>
      </c>
      <c r="U23" s="37">
        <f>('SCHOLAR FELLOW 4yr'!Z21)/('T E&amp;G 4YR'!Z21)*100</f>
        <v>18.163970217566447</v>
      </c>
      <c r="V23" s="103">
        <f>IF((('All Other 4yr'!Z21/'T E&amp;G 4YR'!Z21)*100)&gt;=0.005,('All Other 4yr'!Z21/'T E&amp;G 4YR'!Z21)*100,"*")</f>
        <v>1.6719592747663582E-2</v>
      </c>
      <c r="W23" s="36"/>
      <c r="X23" s="27">
        <f t="shared" si="7"/>
        <v>100</v>
      </c>
      <c r="Y23" s="27">
        <f t="shared" si="10"/>
        <v>100</v>
      </c>
      <c r="Z23" s="1"/>
      <c r="AA23" s="1"/>
      <c r="AB23" s="1"/>
      <c r="AC23" s="1"/>
      <c r="AD23" s="1"/>
    </row>
    <row r="24" spans="1:30">
      <c r="A24" s="53" t="s">
        <v>39</v>
      </c>
      <c r="B24" s="53"/>
      <c r="C24" s="62">
        <f>'Instruction-4YR'!AE22/'T E&amp;G 4YR'!AE22*100</f>
        <v>35.877754503825841</v>
      </c>
      <c r="D24" s="62">
        <f>'RESEARCH 4yr'!AE22/'T E&amp;G 4YR'!AE22*100</f>
        <v>15.404364240350718</v>
      </c>
      <c r="E24" s="62">
        <f>'PUBLIC SERVICE 4yr'!AE22/'T E&amp;G 4YR'!AE22*100</f>
        <v>4.2488750728055562</v>
      </c>
      <c r="F24" s="62">
        <f>'ASptISptSSv 4yr'!AE22/'T E&amp;G 4YR'!AE22*100</f>
        <v>22.146354251223791</v>
      </c>
      <c r="G24" s="62">
        <f>'SCHOLAR FELLOW 4yr'!AE22/'T E&amp;G 4YR'!AE22*100</f>
        <v>12.931732419371478</v>
      </c>
      <c r="H24" s="62">
        <f>('All Other 4yr'!AE22/'T E&amp;G 4YR'!AE22)*100</f>
        <v>9.390919512422597</v>
      </c>
      <c r="I24" s="63">
        <f t="shared" si="1"/>
        <v>2.4588228824184668</v>
      </c>
      <c r="J24" s="62">
        <f t="shared" si="2"/>
        <v>0.56149461699255632</v>
      </c>
      <c r="K24" s="62">
        <f t="shared" si="3"/>
        <v>-0.12020696166600953</v>
      </c>
      <c r="L24" s="62">
        <f t="shared" si="4"/>
        <v>-2.3548515106105938</v>
      </c>
      <c r="M24" s="62">
        <f t="shared" si="5"/>
        <v>-3.6495401931179181</v>
      </c>
      <c r="N24" s="62">
        <f t="shared" si="6"/>
        <v>3.1042811659834868</v>
      </c>
      <c r="O24" s="22"/>
      <c r="P24" s="37">
        <f>('Instruction-4YR'!Z22)/'T E&amp;G 4YR'!Z22*100</f>
        <v>33.418931621407374</v>
      </c>
      <c r="Q24" s="37">
        <f>('RESEARCH 4yr'!Z22)/('T E&amp;G 4YR'!Z22)*100</f>
        <v>14.842869623358162</v>
      </c>
      <c r="R24" s="37">
        <f>('PUBLIC SERVICE 4yr'!Z22)/('T E&amp;G 4YR'!Z22)*100</f>
        <v>4.3690820344715657</v>
      </c>
      <c r="S24" s="37">
        <f>('ASptISptSSv 4yr'!Z22)/('T E&amp;G 4YR'!Z22)*100</f>
        <v>24.501205761834385</v>
      </c>
      <c r="T24" s="38">
        <f>('PLANT OPER MAIN 4yr'!Z22)/('T E&amp;G 4YR'!Z22)*100</f>
        <v>0</v>
      </c>
      <c r="U24" s="37">
        <f>('SCHOLAR FELLOW 4yr'!Z22)/('T E&amp;G 4YR'!Z22)*100</f>
        <v>16.581272612489396</v>
      </c>
      <c r="V24" s="36">
        <f>IF((('All Other 4yr'!Z22/'T E&amp;G 4YR'!Z22)*100)&gt;=0.005,('All Other 4yr'!Z22/'T E&amp;G 4YR'!Z22)*100,"*")</f>
        <v>6.2866383464391102</v>
      </c>
      <c r="W24" s="36"/>
      <c r="X24" s="27">
        <f t="shared" si="7"/>
        <v>99.999999999999986</v>
      </c>
      <c r="Y24" s="27">
        <f t="shared" si="10"/>
        <v>99.999999999999986</v>
      </c>
      <c r="Z24" s="1"/>
      <c r="AA24" s="1"/>
      <c r="AB24" s="1"/>
      <c r="AC24" s="1"/>
      <c r="AD24" s="1"/>
    </row>
    <row r="25" spans="1:30">
      <c r="A25" s="53" t="s">
        <v>40</v>
      </c>
      <c r="B25" s="53"/>
      <c r="C25" s="62">
        <f>'Instruction-4YR'!AE23/'T E&amp;G 4YR'!AE23*100</f>
        <v>37.61805606978951</v>
      </c>
      <c r="D25" s="62">
        <f>'RESEARCH 4yr'!AE23/'T E&amp;G 4YR'!AE23*100</f>
        <v>18.409091600024986</v>
      </c>
      <c r="E25" s="62">
        <f>'PUBLIC SERVICE 4yr'!AE23/'T E&amp;G 4YR'!AE23*100</f>
        <v>3.3635314177857407</v>
      </c>
      <c r="F25" s="62">
        <f>'ASptISptSSv 4yr'!AE23/'T E&amp;G 4YR'!AE23*100</f>
        <v>24.671365160695672</v>
      </c>
      <c r="G25" s="62">
        <f>'SCHOLAR FELLOW 4yr'!AE23/'T E&amp;G 4YR'!AE23*100</f>
        <v>15.223768523454034</v>
      </c>
      <c r="H25" s="62">
        <f>('All Other 4yr'!AE23/'T E&amp;G 4YR'!AE23)*100</f>
        <v>0.71418722825006997</v>
      </c>
      <c r="I25" s="63">
        <f t="shared" si="1"/>
        <v>-1.6125080667375542</v>
      </c>
      <c r="J25" s="62">
        <f t="shared" si="2"/>
        <v>-0.3512152662030239</v>
      </c>
      <c r="K25" s="62">
        <f t="shared" si="3"/>
        <v>-0.60783173036096105</v>
      </c>
      <c r="L25" s="62">
        <f t="shared" si="4"/>
        <v>0.8751010293289454</v>
      </c>
      <c r="M25" s="62">
        <f t="shared" si="5"/>
        <v>1.6002789918273308</v>
      </c>
      <c r="N25" s="62">
        <f t="shared" si="6"/>
        <v>9.6175042145273837E-2</v>
      </c>
      <c r="O25" s="22"/>
      <c r="P25" s="37">
        <f>('Instruction-4YR'!Z23)/'T E&amp;G 4YR'!Z23*100</f>
        <v>39.230564136527065</v>
      </c>
      <c r="Q25" s="37">
        <f>('RESEARCH 4yr'!Z23)/('T E&amp;G 4YR'!Z23)*100</f>
        <v>18.76030686622801</v>
      </c>
      <c r="R25" s="37">
        <f>('PUBLIC SERVICE 4yr'!Z23)/('T E&amp;G 4YR'!Z23)*100</f>
        <v>3.9713631481467018</v>
      </c>
      <c r="S25" s="37">
        <f>('ASptISptSSv 4yr'!Z23)/('T E&amp;G 4YR'!Z23)*100</f>
        <v>23.796264131366726</v>
      </c>
      <c r="T25" s="38">
        <f>('PLANT OPER MAIN 4yr'!Z23)/('T E&amp;G 4YR'!Z23)*100</f>
        <v>0</v>
      </c>
      <c r="U25" s="37">
        <f>('SCHOLAR FELLOW 4yr'!Z23)/('T E&amp;G 4YR'!Z23)*100</f>
        <v>13.623489531626703</v>
      </c>
      <c r="V25" s="36">
        <f>IF((('All Other 4yr'!Z23/'T E&amp;G 4YR'!Z23)*100)&gt;=0.005,('All Other 4yr'!Z23/'T E&amp;G 4YR'!Z23)*100,"*")</f>
        <v>0.61801218610479614</v>
      </c>
      <c r="W25" s="36"/>
      <c r="X25" s="27">
        <f t="shared" si="7"/>
        <v>100</v>
      </c>
      <c r="Y25" s="27">
        <f t="shared" si="10"/>
        <v>100</v>
      </c>
      <c r="Z25" s="1"/>
      <c r="AA25" s="1"/>
      <c r="AB25" s="1"/>
      <c r="AC25" s="1"/>
      <c r="AD25" s="1"/>
    </row>
    <row r="26" spans="1:30">
      <c r="A26" s="54" t="s">
        <v>41</v>
      </c>
      <c r="B26" s="54"/>
      <c r="C26" s="60">
        <f>'Instruction-4YR'!AE24/'T E&amp;G 4YR'!AE24*100</f>
        <v>32.787661090188905</v>
      </c>
      <c r="D26" s="60">
        <f>'RESEARCH 4yr'!AE24/'T E&amp;G 4YR'!AE24*100</f>
        <v>9.1560567913585107</v>
      </c>
      <c r="E26" s="60">
        <f>'PUBLIC SERVICE 4yr'!AE24/'T E&amp;G 4YR'!AE24*100</f>
        <v>5.1146027041886057</v>
      </c>
      <c r="F26" s="60">
        <f>'ASptISptSSv 4yr'!AE24/'T E&amp;G 4YR'!AE24*100</f>
        <v>22.63766841516501</v>
      </c>
      <c r="G26" s="60">
        <f>'SCHOLAR FELLOW 4yr'!AE24/'T E&amp;G 4YR'!AE24*100</f>
        <v>17.69119150518079</v>
      </c>
      <c r="H26" s="97">
        <f>('All Other 4yr'!AE24/'T E&amp;G 4YR'!AE24)*100</f>
        <v>12.612819493918174</v>
      </c>
      <c r="I26" s="61">
        <f t="shared" si="1"/>
        <v>-5.84245641770638</v>
      </c>
      <c r="J26" s="60">
        <f t="shared" si="2"/>
        <v>-2.3739608499791256</v>
      </c>
      <c r="K26" s="60">
        <f t="shared" si="3"/>
        <v>-1.4210882271550798</v>
      </c>
      <c r="L26" s="60">
        <f t="shared" si="4"/>
        <v>-2.8702368849964266</v>
      </c>
      <c r="M26" s="60">
        <f t="shared" si="5"/>
        <v>1.4464246724865504</v>
      </c>
      <c r="N26" s="60">
        <f t="shared" si="6"/>
        <v>11.061317707350453</v>
      </c>
      <c r="O26" s="22"/>
      <c r="P26" s="37">
        <f>('Instruction-4YR'!Z24)/'T E&amp;G 4YR'!Z24*100</f>
        <v>38.630117507895285</v>
      </c>
      <c r="Q26" s="37">
        <f>('RESEARCH 4yr'!Z24)/('T E&amp;G 4YR'!Z24)*100</f>
        <v>11.530017641337636</v>
      </c>
      <c r="R26" s="37">
        <f>('PUBLIC SERVICE 4yr'!Z24)/('T E&amp;G 4YR'!Z24)*100</f>
        <v>6.5356909313436855</v>
      </c>
      <c r="S26" s="37">
        <f>('ASptISptSSv 4yr'!Z24)/('T E&amp;G 4YR'!Z24)*100</f>
        <v>25.507905300161436</v>
      </c>
      <c r="T26" s="38">
        <f>('PLANT OPER MAIN 4yr'!Z24)/('T E&amp;G 4YR'!Z24)*100</f>
        <v>0</v>
      </c>
      <c r="U26" s="37">
        <f>('SCHOLAR FELLOW 4yr'!Z24)/('T E&amp;G 4YR'!Z24)*100</f>
        <v>16.244766832694239</v>
      </c>
      <c r="V26" s="36">
        <f>IF((('All Other 4yr'!Z24/'T E&amp;G 4YR'!Z24)*100)&gt;=0.005,('All Other 4yr'!Z24/'T E&amp;G 4YR'!Z24)*100,"*")</f>
        <v>1.551501786567721</v>
      </c>
      <c r="W26" s="36"/>
      <c r="X26" s="27">
        <f t="shared" si="7"/>
        <v>100.00000000000001</v>
      </c>
      <c r="Y26" s="27">
        <f t="shared" si="10"/>
        <v>100</v>
      </c>
      <c r="Z26" s="1"/>
      <c r="AA26" s="1"/>
      <c r="AB26" s="1"/>
      <c r="AC26" s="1"/>
      <c r="AD26" s="1"/>
    </row>
    <row r="27" spans="1:30">
      <c r="A27" s="53" t="s">
        <v>42</v>
      </c>
      <c r="B27" s="53"/>
      <c r="C27" s="62">
        <f>'Instruction-4YR'!AE25/'T E&amp;G 4YR'!AE25*100</f>
        <v>31.611172656418429</v>
      </c>
      <c r="D27" s="62">
        <f>'RESEARCH 4yr'!AE25/'T E&amp;G 4YR'!AE25*100</f>
        <v>15.987452155122476</v>
      </c>
      <c r="E27" s="62">
        <f>'PUBLIC SERVICE 4yr'!AE25/'T E&amp;G 4YR'!AE25*100</f>
        <v>4.8367036135436141</v>
      </c>
      <c r="F27" s="62">
        <f>'ASptISptSSv 4yr'!AE25/'T E&amp;G 4YR'!AE25*100</f>
        <v>24.059405041998204</v>
      </c>
      <c r="G27" s="62">
        <f>'SCHOLAR FELLOW 4yr'!AE25/'T E&amp;G 4YR'!AE25*100</f>
        <v>13.804013068417756</v>
      </c>
      <c r="H27" s="62">
        <f>('All Other 4yr'!AE25/'T E&amp;G 4YR'!AE25)*100</f>
        <v>9.7012534644995174</v>
      </c>
      <c r="I27" s="63">
        <f t="shared" si="1"/>
        <v>-2.6129055319021468</v>
      </c>
      <c r="J27" s="62">
        <f t="shared" si="2"/>
        <v>-3.4293790404290583</v>
      </c>
      <c r="K27" s="62">
        <f t="shared" si="3"/>
        <v>-0.5053404741642078</v>
      </c>
      <c r="L27" s="62">
        <f t="shared" si="4"/>
        <v>-0.84926911740365085</v>
      </c>
      <c r="M27" s="62">
        <f t="shared" si="5"/>
        <v>-0.8459314478521911</v>
      </c>
      <c r="N27" s="62">
        <f t="shared" si="6"/>
        <v>8.2428256117512291</v>
      </c>
      <c r="O27" s="8"/>
      <c r="P27" s="37">
        <f>('Instruction-4YR'!Z25)/'T E&amp;G 4YR'!Z25*100</f>
        <v>34.224078188320576</v>
      </c>
      <c r="Q27" s="37">
        <f>('RESEARCH 4yr'!Z25)/('T E&amp;G 4YR'!Z25)*100</f>
        <v>19.416831195551534</v>
      </c>
      <c r="R27" s="37">
        <f>('PUBLIC SERVICE 4yr'!Z25)/('T E&amp;G 4YR'!Z25)*100</f>
        <v>5.3420440877078219</v>
      </c>
      <c r="S27" s="37">
        <f>('ASptISptSSv 4yr'!Z25)/('T E&amp;G 4YR'!Z25)*100</f>
        <v>24.908674159401855</v>
      </c>
      <c r="T27" s="38">
        <f>('PLANT OPER MAIN 4yr'!Z25)/('T E&amp;G 4YR'!Z25)*100</f>
        <v>0</v>
      </c>
      <c r="U27" s="37">
        <f>('SCHOLAR FELLOW 4yr'!Z25)/('T E&amp;G 4YR'!Z25)*100</f>
        <v>14.649944516269947</v>
      </c>
      <c r="V27" s="36">
        <f>IF((('All Other 4yr'!Z25/'T E&amp;G 4YR'!Z25)*100)&gt;=0.005,('All Other 4yr'!Z25/'T E&amp;G 4YR'!Z25)*100,"*")</f>
        <v>1.4584278527482892</v>
      </c>
      <c r="W27" s="8"/>
      <c r="X27" s="27">
        <f t="shared" ref="X27:X67" si="11">SUM(P27:V27)</f>
        <v>100.00000000000003</v>
      </c>
      <c r="Y27" s="27">
        <f t="shared" ref="Y27:Y67" si="12">SUM(C27:H27)</f>
        <v>99.999999999999986</v>
      </c>
      <c r="Z27" s="1"/>
      <c r="AA27" s="1"/>
      <c r="AB27" s="1"/>
      <c r="AC27" s="1"/>
      <c r="AD27" s="1"/>
    </row>
    <row r="28" spans="1:30" s="30" customFormat="1">
      <c r="A28" s="53"/>
      <c r="B28" s="53"/>
      <c r="C28" s="62"/>
      <c r="D28" s="62"/>
      <c r="E28" s="62"/>
      <c r="F28" s="62"/>
      <c r="G28" s="62"/>
      <c r="H28" s="62"/>
      <c r="I28" s="63"/>
      <c r="J28" s="62"/>
      <c r="K28" s="62"/>
      <c r="L28" s="62"/>
      <c r="M28" s="62"/>
      <c r="N28" s="62"/>
      <c r="O28" s="16"/>
      <c r="P28" s="37"/>
      <c r="Q28" s="37"/>
      <c r="R28" s="37"/>
      <c r="S28" s="37"/>
      <c r="T28" s="38"/>
      <c r="U28" s="37"/>
      <c r="V28" s="36"/>
      <c r="W28" s="16"/>
      <c r="X28" s="27"/>
      <c r="Y28" s="27"/>
      <c r="Z28" s="29"/>
      <c r="AA28" s="29"/>
      <c r="AB28" s="29"/>
      <c r="AC28" s="29"/>
      <c r="AD28" s="29"/>
    </row>
    <row r="29" spans="1:30" s="30" customFormat="1">
      <c r="A29" s="52" t="s">
        <v>43</v>
      </c>
      <c r="B29" s="52"/>
      <c r="C29" s="64">
        <f>'Instruction-4YR'!AE27/'T E&amp;G 4YR'!AE27*100</f>
        <v>33.45268939281393</v>
      </c>
      <c r="D29" s="64">
        <f>'RESEARCH 4yr'!AE27/'T E&amp;G 4YR'!AE27*100</f>
        <v>23.974588550715271</v>
      </c>
      <c r="E29" s="64">
        <f>'PUBLIC SERVICE 4yr'!AE27/'T E&amp;G 4YR'!AE27*100</f>
        <v>6.9889633671466775</v>
      </c>
      <c r="F29" s="64">
        <f>'ASptISptSSv 4yr'!AE27/'T E&amp;G 4YR'!AE27*100</f>
        <v>30.064260754982797</v>
      </c>
      <c r="G29" s="64">
        <f>'SCHOLAR FELLOW 4yr'!AE27/'T E&amp;G 4YR'!AE27*100</f>
        <v>6.5924105536064026</v>
      </c>
      <c r="H29" s="64">
        <f>('All Other 4yr'!AE27/'T E&amp;G 4YR'!AE27)*100</f>
        <v>-1.072912619265082</v>
      </c>
      <c r="I29" s="65">
        <f t="shared" ref="I29:I42" si="13">IF((C29-P29)=0,(C29-P29),IF((C29-P29)&gt;=0.005,(C29-P29),IF((C29-P29&lt;=-0.005),(C29-P29),"*")))</f>
        <v>-1.4278798550265677</v>
      </c>
      <c r="J29" s="64">
        <f t="shared" ref="J29:J42" si="14">IF((D29-Q29)=0,(D29-Q29),IF((D29-Q29)&gt;=0.005,(D29-Q29),IF((D29-Q29&lt;=-0.005),(D29-Q29),"*")))</f>
        <v>2.3507929085928083</v>
      </c>
      <c r="K29" s="64">
        <f t="shared" ref="K29:K42" si="15">IF((E29-R29)=0,(E29-R29),IF((E29-R29)&gt;=0.005,(E29-R29),IF((E29-R29&lt;=-0.005),(E29-R29),"*")))</f>
        <v>0.61131532285002255</v>
      </c>
      <c r="L29" s="64">
        <f t="shared" ref="L29:L42" si="16">IF((F29-S29)=0,(F29-S29),IF((F29-S29)&gt;=0.005,(F29-S29),IF((F29-S29&lt;=-0.005),(F29-S29),"*")))</f>
        <v>0.27716978337191023</v>
      </c>
      <c r="M29" s="64">
        <f t="shared" ref="M29:M42" si="17">IF((G29-U29)=0,(G29-U29),IF((G29-U29)&gt;=0.005,(G29-U29),IF((G29-U29&lt;=-0.005),(G29-U29),"*")))</f>
        <v>0.67511644041006846</v>
      </c>
      <c r="N29" s="64">
        <f t="shared" ref="N29:N42" si="18">IF((H29-V29)=0,(H29-V29),IF((H29-V29)&gt;=0.005,(H29-V29),IF((H29-V29&lt;=-0.005),(H29-V29),"*")))</f>
        <v>-2.4865146001982481</v>
      </c>
      <c r="O29" s="16"/>
      <c r="P29" s="37">
        <f>('Instruction-4YR'!Z27)/'T E&amp;G 4YR'!Z27*100</f>
        <v>34.880569247840498</v>
      </c>
      <c r="Q29" s="37">
        <f>('RESEARCH 4yr'!Z27)/('T E&amp;G 4YR'!Z27)*100</f>
        <v>21.623795642122463</v>
      </c>
      <c r="R29" s="37">
        <f>('PUBLIC SERVICE 4yr'!Z27)/('T E&amp;G 4YR'!Z27)*100</f>
        <v>6.377648044296655</v>
      </c>
      <c r="S29" s="37">
        <f>('ASptISptSSv 4yr'!Z27)/('T E&amp;G 4YR'!Z27)*100</f>
        <v>29.787090971610887</v>
      </c>
      <c r="T29" s="38">
        <f>('PLANT OPER MAIN 4yr'!Z27)/('T E&amp;G 4YR'!Z27)*100</f>
        <v>0</v>
      </c>
      <c r="U29" s="37">
        <f>('SCHOLAR FELLOW 4yr'!Z27)/('T E&amp;G 4YR'!Z27)*100</f>
        <v>5.9172941131963341</v>
      </c>
      <c r="V29" s="36">
        <f>IF((('All Other 4yr'!Z27/'T E&amp;G 4YR'!Z27)*100)&gt;=0.005,('All Other 4yr'!Z27/'T E&amp;G 4YR'!Z27)*100,"*")</f>
        <v>1.4136019809331659</v>
      </c>
      <c r="W29" s="16"/>
      <c r="X29" s="27">
        <f t="shared" si="11"/>
        <v>100</v>
      </c>
      <c r="Y29" s="27">
        <f t="shared" si="12"/>
        <v>100</v>
      </c>
      <c r="Z29" s="29"/>
      <c r="AA29" s="29"/>
      <c r="AB29" s="29"/>
      <c r="AC29" s="29"/>
      <c r="AD29" s="29"/>
    </row>
    <row r="30" spans="1:30" s="30" customFormat="1">
      <c r="A30" s="52" t="s">
        <v>44</v>
      </c>
      <c r="B30" s="52"/>
      <c r="C30" s="64">
        <f>'Instruction-4YR'!AE28/'T E&amp;G 4YR'!AE28*100</f>
        <v>33.02900138015881</v>
      </c>
      <c r="D30" s="64">
        <f>'RESEARCH 4yr'!AE28/'T E&amp;G 4YR'!AE28*100</f>
        <v>16.605137467364795</v>
      </c>
      <c r="E30" s="64">
        <f>'PUBLIC SERVICE 4yr'!AE28/'T E&amp;G 4YR'!AE28*100</f>
        <v>2.9631478876661408</v>
      </c>
      <c r="F30" s="64">
        <f>'ASptISptSSv 4yr'!AE28/'T E&amp;G 4YR'!AE28*100</f>
        <v>26.848427090119774</v>
      </c>
      <c r="G30" s="64">
        <f>'SCHOLAR FELLOW 4yr'!AE28/'T E&amp;G 4YR'!AE28*100</f>
        <v>20.446946248956746</v>
      </c>
      <c r="H30" s="64">
        <f>('All Other 4yr'!AE28/'T E&amp;G 4YR'!AE28)*100</f>
        <v>0.10733992573373864</v>
      </c>
      <c r="I30" s="65">
        <f t="shared" si="13"/>
        <v>-0.2039100623072656</v>
      </c>
      <c r="J30" s="64">
        <f t="shared" si="14"/>
        <v>-1.7077018028690922</v>
      </c>
      <c r="K30" s="64">
        <f t="shared" si="15"/>
        <v>-1.0729886135967348</v>
      </c>
      <c r="L30" s="64">
        <f t="shared" si="16"/>
        <v>0.31649727692712304</v>
      </c>
      <c r="M30" s="64">
        <f t="shared" si="17"/>
        <v>2.814812450972962</v>
      </c>
      <c r="N30" s="64">
        <f t="shared" si="18"/>
        <v>-0.14670924912697786</v>
      </c>
      <c r="O30" s="16"/>
      <c r="P30" s="37">
        <f>('Instruction-4YR'!Z28)/'T E&amp;G 4YR'!Z28*100</f>
        <v>33.232911442466076</v>
      </c>
      <c r="Q30" s="37">
        <f>('RESEARCH 4yr'!Z28)/('T E&amp;G 4YR'!Z28)*100</f>
        <v>18.312839270233887</v>
      </c>
      <c r="R30" s="37">
        <f>('PUBLIC SERVICE 4yr'!Z28)/('T E&amp;G 4YR'!Z28)*100</f>
        <v>4.0361365012628756</v>
      </c>
      <c r="S30" s="37">
        <f>('ASptISptSSv 4yr'!Z28)/('T E&amp;G 4YR'!Z28)*100</f>
        <v>26.531929813192651</v>
      </c>
      <c r="T30" s="38">
        <f>('PLANT OPER MAIN 4yr'!Z28)/('T E&amp;G 4YR'!Z28)*100</f>
        <v>0</v>
      </c>
      <c r="U30" s="37">
        <f>('SCHOLAR FELLOW 4yr'!Z28)/('T E&amp;G 4YR'!Z28)*100</f>
        <v>17.632133797983784</v>
      </c>
      <c r="V30" s="36">
        <f>IF((('All Other 4yr'!Z28/'T E&amp;G 4YR'!Z28)*100)&gt;=0.005,('All Other 4yr'!Z28/'T E&amp;G 4YR'!Z28)*100,"*")</f>
        <v>0.25404917486071649</v>
      </c>
      <c r="W30" s="16"/>
      <c r="X30" s="27">
        <f t="shared" si="11"/>
        <v>99.999999999999986</v>
      </c>
      <c r="Y30" s="27">
        <f t="shared" si="12"/>
        <v>100</v>
      </c>
      <c r="Z30" s="29"/>
      <c r="AA30" s="29"/>
      <c r="AB30" s="29"/>
      <c r="AC30" s="29"/>
      <c r="AD30" s="29"/>
    </row>
    <row r="31" spans="1:30" s="30" customFormat="1">
      <c r="A31" s="52" t="s">
        <v>45</v>
      </c>
      <c r="B31" s="52"/>
      <c r="C31" s="64">
        <f>'Instruction-4YR'!AE29/'T E&amp;G 4YR'!AE29*100</f>
        <v>29.507045348792836</v>
      </c>
      <c r="D31" s="64">
        <f>'RESEARCH 4yr'!AE29/'T E&amp;G 4YR'!AE29*100</f>
        <v>14.620865201810105</v>
      </c>
      <c r="E31" s="64">
        <f>'PUBLIC SERVICE 4yr'!AE29/'T E&amp;G 4YR'!AE29*100</f>
        <v>1.8497628768103656</v>
      </c>
      <c r="F31" s="64">
        <f>'ASptISptSSv 4yr'!AE29/'T E&amp;G 4YR'!AE29*100</f>
        <v>24.080374459026061</v>
      </c>
      <c r="G31" s="64">
        <f>'SCHOLAR FELLOW 4yr'!AE29/'T E&amp;G 4YR'!AE29*100</f>
        <v>14.417439911929694</v>
      </c>
      <c r="H31" s="64">
        <f>('All Other 4yr'!AE29/'T E&amp;G 4YR'!AE29)*100</f>
        <v>15.524512201630944</v>
      </c>
      <c r="I31" s="65">
        <f t="shared" si="13"/>
        <v>-4.2707210884251339</v>
      </c>
      <c r="J31" s="64">
        <f t="shared" si="14"/>
        <v>-4.3785161947834474</v>
      </c>
      <c r="K31" s="64">
        <f t="shared" si="15"/>
        <v>-0.46918896228735263</v>
      </c>
      <c r="L31" s="64">
        <f t="shared" si="16"/>
        <v>-3.0064211514788042</v>
      </c>
      <c r="M31" s="64">
        <f t="shared" si="17"/>
        <v>-2.0053632757542559</v>
      </c>
      <c r="N31" s="64">
        <f t="shared" si="18"/>
        <v>14.130210672729008</v>
      </c>
      <c r="O31" s="16"/>
      <c r="P31" s="37">
        <f>('Instruction-4YR'!Z29)/'T E&amp;G 4YR'!Z29*100</f>
        <v>33.77776643721797</v>
      </c>
      <c r="Q31" s="37">
        <f>('RESEARCH 4yr'!Z29)/('T E&amp;G 4YR'!Z29)*100</f>
        <v>18.999381396593552</v>
      </c>
      <c r="R31" s="37">
        <f>('PUBLIC SERVICE 4yr'!Z29)/('T E&amp;G 4YR'!Z29)*100</f>
        <v>2.3189518390977182</v>
      </c>
      <c r="S31" s="37">
        <f>('ASptISptSSv 4yr'!Z29)/('T E&amp;G 4YR'!Z29)*100</f>
        <v>27.086795610504865</v>
      </c>
      <c r="T31" s="38">
        <f>('PLANT OPER MAIN 4yr'!Z29)/('T E&amp;G 4YR'!Z29)*100</f>
        <v>0</v>
      </c>
      <c r="U31" s="37">
        <f>('SCHOLAR FELLOW 4yr'!Z29)/('T E&amp;G 4YR'!Z29)*100</f>
        <v>16.42280318768395</v>
      </c>
      <c r="V31" s="36">
        <f>IF((('All Other 4yr'!Z29/'T E&amp;G 4YR'!Z29)*100)&gt;=0.005,('All Other 4yr'!Z29/'T E&amp;G 4YR'!Z29)*100,"*")</f>
        <v>1.3943015289019358</v>
      </c>
      <c r="W31" s="16"/>
      <c r="X31" s="27">
        <f t="shared" si="11"/>
        <v>100</v>
      </c>
      <c r="Y31" s="27">
        <f t="shared" si="12"/>
        <v>100</v>
      </c>
      <c r="Z31" s="29"/>
      <c r="AA31" s="29"/>
      <c r="AB31" s="29"/>
      <c r="AC31" s="29"/>
      <c r="AD31" s="29"/>
    </row>
    <row r="32" spans="1:30" s="30" customFormat="1">
      <c r="A32" s="52" t="s">
        <v>46</v>
      </c>
      <c r="B32" s="52"/>
      <c r="C32" s="64">
        <f>'Instruction-4YR'!AE30/'T E&amp;G 4YR'!AE30*100</f>
        <v>39.249240110462338</v>
      </c>
      <c r="D32" s="64">
        <f>'RESEARCH 4yr'!AE30/'T E&amp;G 4YR'!AE30*100</f>
        <v>20.617539452060502</v>
      </c>
      <c r="E32" s="64">
        <f>'PUBLIC SERVICE 4yr'!AE30/'T E&amp;G 4YR'!AE30*100</f>
        <v>6.5258704316556129</v>
      </c>
      <c r="F32" s="64">
        <f>'ASptISptSSv 4yr'!AE30/'T E&amp;G 4YR'!AE30*100</f>
        <v>23.457190906458091</v>
      </c>
      <c r="G32" s="64">
        <f>'SCHOLAR FELLOW 4yr'!AE30/'T E&amp;G 4YR'!AE30*100</f>
        <v>12.673814572967487</v>
      </c>
      <c r="H32" s="64">
        <f>('All Other 4yr'!AE30/'T E&amp;G 4YR'!AE30)*100</f>
        <v>-2.523655473604034</v>
      </c>
      <c r="I32" s="65">
        <f t="shared" si="13"/>
        <v>-0.62075435751243191</v>
      </c>
      <c r="J32" s="64">
        <f t="shared" si="14"/>
        <v>-0.79414422898590331</v>
      </c>
      <c r="K32" s="64">
        <f t="shared" si="15"/>
        <v>1.5490408080086615</v>
      </c>
      <c r="L32" s="64">
        <f t="shared" si="16"/>
        <v>2.5724229943436505</v>
      </c>
      <c r="M32" s="64">
        <f t="shared" si="17"/>
        <v>0.49449976563339959</v>
      </c>
      <c r="N32" s="64">
        <f t="shared" si="18"/>
        <v>-3.2010649814873831</v>
      </c>
      <c r="O32" s="16"/>
      <c r="P32" s="37">
        <f>('Instruction-4YR'!Z30)/'T E&amp;G 4YR'!Z30*100</f>
        <v>39.86999446797477</v>
      </c>
      <c r="Q32" s="37">
        <f>('RESEARCH 4yr'!Z30)/('T E&amp;G 4YR'!Z30)*100</f>
        <v>21.411683681046405</v>
      </c>
      <c r="R32" s="37">
        <f>('PUBLIC SERVICE 4yr'!Z30)/('T E&amp;G 4YR'!Z30)*100</f>
        <v>4.9768296236469514</v>
      </c>
      <c r="S32" s="37">
        <f>('ASptISptSSv 4yr'!Z30)/('T E&amp;G 4YR'!Z30)*100</f>
        <v>20.884767912114441</v>
      </c>
      <c r="T32" s="38">
        <f>('PLANT OPER MAIN 4yr'!Z30)/('T E&amp;G 4YR'!Z30)*100</f>
        <v>0</v>
      </c>
      <c r="U32" s="37">
        <f>('SCHOLAR FELLOW 4yr'!Z30)/('T E&amp;G 4YR'!Z30)*100</f>
        <v>12.179314807334087</v>
      </c>
      <c r="V32" s="36">
        <f>IF((('All Other 4yr'!Z30/'T E&amp;G 4YR'!Z30)*100)&gt;=0.005,('All Other 4yr'!Z30/'T E&amp;G 4YR'!Z30)*100,"*")</f>
        <v>0.67740950788334897</v>
      </c>
      <c r="W32" s="16"/>
      <c r="X32" s="27">
        <f t="shared" si="11"/>
        <v>100.00000000000001</v>
      </c>
      <c r="Y32" s="27">
        <f t="shared" si="12"/>
        <v>100</v>
      </c>
      <c r="Z32" s="29"/>
      <c r="AA32" s="29"/>
      <c r="AB32" s="29"/>
      <c r="AC32" s="29"/>
      <c r="AD32" s="29"/>
    </row>
    <row r="33" spans="1:26" s="30" customFormat="1">
      <c r="A33" s="53" t="s">
        <v>47</v>
      </c>
      <c r="B33" s="53"/>
      <c r="C33" s="62">
        <f>'Instruction-4YR'!AE31/'T E&amp;G 4YR'!AE31*100</f>
        <v>38.229693801317083</v>
      </c>
      <c r="D33" s="62">
        <f>'RESEARCH 4yr'!AE31/'T E&amp;G 4YR'!AE31*100</f>
        <v>21.629094263808106</v>
      </c>
      <c r="E33" s="62">
        <f>'PUBLIC SERVICE 4yr'!AE31/'T E&amp;G 4YR'!AE31*100</f>
        <v>5.6141564326869231</v>
      </c>
      <c r="F33" s="62">
        <f>'ASptISptSSv 4yr'!AE31/'T E&amp;G 4YR'!AE31*100</f>
        <v>17.926521799618676</v>
      </c>
      <c r="G33" s="62">
        <f>'SCHOLAR FELLOW 4yr'!AE31/'T E&amp;G 4YR'!AE31*100</f>
        <v>10.579877009680578</v>
      </c>
      <c r="H33" s="62">
        <f>('All Other 4yr'!AE31/'T E&amp;G 4YR'!AE31)*100</f>
        <v>6.0206566928886325</v>
      </c>
      <c r="I33" s="63">
        <f t="shared" si="13"/>
        <v>3.4963988571335847</v>
      </c>
      <c r="J33" s="62">
        <f t="shared" si="14"/>
        <v>-8.294929884049612</v>
      </c>
      <c r="K33" s="62">
        <f t="shared" si="15"/>
        <v>1.8805225976902809</v>
      </c>
      <c r="L33" s="62">
        <f t="shared" si="16"/>
        <v>-0.40542677647328063</v>
      </c>
      <c r="M33" s="62">
        <f t="shared" si="17"/>
        <v>7.9462508287392097E-2</v>
      </c>
      <c r="N33" s="62">
        <f t="shared" si="18"/>
        <v>3.243972697411627</v>
      </c>
      <c r="O33" s="16"/>
      <c r="P33" s="37">
        <f>('Instruction-4YR'!Z31)/'T E&amp;G 4YR'!Z31*100</f>
        <v>34.733294944183498</v>
      </c>
      <c r="Q33" s="37">
        <f>('RESEARCH 4yr'!Z31)/('T E&amp;G 4YR'!Z31)*100</f>
        <v>29.924024147857718</v>
      </c>
      <c r="R33" s="37">
        <f>('PUBLIC SERVICE 4yr'!Z31)/('T E&amp;G 4YR'!Z31)*100</f>
        <v>3.7336338349966423</v>
      </c>
      <c r="S33" s="37">
        <f>('ASptISptSSv 4yr'!Z31)/('T E&amp;G 4YR'!Z31)*100</f>
        <v>18.331948576091957</v>
      </c>
      <c r="T33" s="38">
        <f>('PLANT OPER MAIN 4yr'!Z31)/('T E&amp;G 4YR'!Z31)*100</f>
        <v>0</v>
      </c>
      <c r="U33" s="37">
        <f>('SCHOLAR FELLOW 4yr'!Z31)/('T E&amp;G 4YR'!Z31)*100</f>
        <v>10.500414501393186</v>
      </c>
      <c r="V33" s="36">
        <f>IF((('All Other 4yr'!Z31/'T E&amp;G 4YR'!Z31)*100)&gt;=0.005,('All Other 4yr'!Z31/'T E&amp;G 4YR'!Z31)*100,"*")</f>
        <v>2.7766839954770055</v>
      </c>
      <c r="W33" s="16"/>
      <c r="X33" s="27">
        <f t="shared" si="11"/>
        <v>100</v>
      </c>
      <c r="Y33" s="27">
        <f t="shared" si="12"/>
        <v>100</v>
      </c>
      <c r="Z33" s="29"/>
    </row>
    <row r="34" spans="1:26" s="30" customFormat="1">
      <c r="A34" s="53" t="s">
        <v>48</v>
      </c>
      <c r="B34" s="53"/>
      <c r="C34" s="62">
        <f>'Instruction-4YR'!AE32/'T E&amp;G 4YR'!AE32*100</f>
        <v>37.915580002025813</v>
      </c>
      <c r="D34" s="62">
        <f>'RESEARCH 4yr'!AE32/'T E&amp;G 4YR'!AE32*100</f>
        <v>11.835158304904379</v>
      </c>
      <c r="E34" s="62">
        <f>'PUBLIC SERVICE 4yr'!AE32/'T E&amp;G 4YR'!AE32*100</f>
        <v>6.0388955732240781</v>
      </c>
      <c r="F34" s="62">
        <f>'ASptISptSSv 4yr'!AE32/'T E&amp;G 4YR'!AE32*100</f>
        <v>26.04372152932573</v>
      </c>
      <c r="G34" s="62">
        <f>'SCHOLAR FELLOW 4yr'!AE32/'T E&amp;G 4YR'!AE32*100</f>
        <v>14.191005952112651</v>
      </c>
      <c r="H34" s="62">
        <f>('All Other 4yr'!AE32/'T E&amp;G 4YR'!AE32)*100</f>
        <v>3.975638638407355</v>
      </c>
      <c r="I34" s="63">
        <f t="shared" si="13"/>
        <v>-0.6655724890412742</v>
      </c>
      <c r="J34" s="62">
        <f t="shared" si="14"/>
        <v>-1.5243503106091314</v>
      </c>
      <c r="K34" s="62">
        <f t="shared" si="15"/>
        <v>-0.49683131267661196</v>
      </c>
      <c r="L34" s="62">
        <f t="shared" si="16"/>
        <v>2.1016046401081319</v>
      </c>
      <c r="M34" s="62">
        <f t="shared" si="17"/>
        <v>-1.0352225589902542</v>
      </c>
      <c r="N34" s="62">
        <f t="shared" si="18"/>
        <v>1.6203720312091394</v>
      </c>
      <c r="O34" s="16"/>
      <c r="P34" s="37">
        <f>('Instruction-4YR'!Z32)/'T E&amp;G 4YR'!Z32*100</f>
        <v>38.581152491067087</v>
      </c>
      <c r="Q34" s="37">
        <f>('RESEARCH 4yr'!Z32)/('T E&amp;G 4YR'!Z32)*100</f>
        <v>13.35950861551351</v>
      </c>
      <c r="R34" s="37">
        <f>('PUBLIC SERVICE 4yr'!Z32)/('T E&amp;G 4YR'!Z32)*100</f>
        <v>6.5357268859006901</v>
      </c>
      <c r="S34" s="37">
        <f>('ASptISptSSv 4yr'!Z32)/('T E&amp;G 4YR'!Z32)*100</f>
        <v>23.942116889217598</v>
      </c>
      <c r="T34" s="38">
        <f>('PLANT OPER MAIN 4yr'!Z32)/('T E&amp;G 4YR'!Z32)*100</f>
        <v>0</v>
      </c>
      <c r="U34" s="37">
        <f>('SCHOLAR FELLOW 4yr'!Z32)/('T E&amp;G 4YR'!Z32)*100</f>
        <v>15.226228511102905</v>
      </c>
      <c r="V34" s="36">
        <f>IF((('All Other 4yr'!Z32/'T E&amp;G 4YR'!Z32)*100)&gt;=0.005,('All Other 4yr'!Z32/'T E&amp;G 4YR'!Z32)*100,"*")</f>
        <v>2.3552666071982156</v>
      </c>
      <c r="W34" s="16"/>
      <c r="X34" s="27">
        <f t="shared" si="11"/>
        <v>100.00000000000001</v>
      </c>
      <c r="Y34" s="27">
        <f t="shared" si="12"/>
        <v>100</v>
      </c>
      <c r="Z34" s="29"/>
    </row>
    <row r="35" spans="1:26" s="30" customFormat="1">
      <c r="A35" s="53" t="s">
        <v>49</v>
      </c>
      <c r="B35" s="53"/>
      <c r="C35" s="62">
        <f>'Instruction-4YR'!AE33/'T E&amp;G 4YR'!AE33*100</f>
        <v>28.959179405624219</v>
      </c>
      <c r="D35" s="62">
        <f>'RESEARCH 4yr'!AE33/'T E&amp;G 4YR'!AE33*100</f>
        <v>21.468371576969165</v>
      </c>
      <c r="E35" s="62">
        <f>'PUBLIC SERVICE 4yr'!AE33/'T E&amp;G 4YR'!AE33*100</f>
        <v>7.7935734285659475</v>
      </c>
      <c r="F35" s="62">
        <f>'ASptISptSSv 4yr'!AE33/'T E&amp;G 4YR'!AE33*100</f>
        <v>25.132755108391407</v>
      </c>
      <c r="G35" s="62">
        <f>'SCHOLAR FELLOW 4yr'!AE33/'T E&amp;G 4YR'!AE33*100</f>
        <v>13.019947287498296</v>
      </c>
      <c r="H35" s="62">
        <f>('All Other 4yr'!AE33/'T E&amp;G 4YR'!AE33)*100</f>
        <v>3.6261731929509726</v>
      </c>
      <c r="I35" s="63">
        <f t="shared" si="13"/>
        <v>-2.8166092394606537</v>
      </c>
      <c r="J35" s="62">
        <f t="shared" si="14"/>
        <v>0.54399865164741357</v>
      </c>
      <c r="K35" s="62">
        <f t="shared" si="15"/>
        <v>1.2643820169811057</v>
      </c>
      <c r="L35" s="62">
        <f t="shared" si="16"/>
        <v>-1.1842814845225931</v>
      </c>
      <c r="M35" s="62">
        <f t="shared" si="17"/>
        <v>-0.91225266587389697</v>
      </c>
      <c r="N35" s="62">
        <f t="shared" si="18"/>
        <v>3.1047627212286364</v>
      </c>
      <c r="O35" s="16"/>
      <c r="P35" s="37">
        <f>('Instruction-4YR'!Z33)/'T E&amp;G 4YR'!Z33*100</f>
        <v>31.775788645084873</v>
      </c>
      <c r="Q35" s="37">
        <f>('RESEARCH 4yr'!Z33)/('T E&amp;G 4YR'!Z33)*100</f>
        <v>20.924372925321752</v>
      </c>
      <c r="R35" s="37">
        <f>('PUBLIC SERVICE 4yr'!Z33)/('T E&amp;G 4YR'!Z33)*100</f>
        <v>6.5291914115848417</v>
      </c>
      <c r="S35" s="37">
        <f>('ASptISptSSv 4yr'!Z33)/('T E&amp;G 4YR'!Z33)*100</f>
        <v>26.317036592914</v>
      </c>
      <c r="T35" s="38">
        <f>('PLANT OPER MAIN 4yr'!Z33)/('T E&amp;G 4YR'!Z33)*100</f>
        <v>0</v>
      </c>
      <c r="U35" s="37">
        <f>('SCHOLAR FELLOW 4yr'!Z33)/('T E&amp;G 4YR'!Z33)*100</f>
        <v>13.932199953372193</v>
      </c>
      <c r="V35" s="36">
        <f>IF((('All Other 4yr'!Z33/'T E&amp;G 4YR'!Z33)*100)&gt;=0.005,('All Other 4yr'!Z33/'T E&amp;G 4YR'!Z33)*100,"*")</f>
        <v>0.52141047172233612</v>
      </c>
      <c r="W35" s="16"/>
      <c r="X35" s="27">
        <f t="shared" si="11"/>
        <v>99.999999999999986</v>
      </c>
      <c r="Y35" s="27">
        <f t="shared" si="12"/>
        <v>100.00000000000001</v>
      </c>
      <c r="Z35" s="29"/>
    </row>
    <row r="36" spans="1:26" s="30" customFormat="1">
      <c r="A36" s="53" t="s">
        <v>50</v>
      </c>
      <c r="B36" s="53"/>
      <c r="C36" s="62">
        <f>'Instruction-4YR'!AE34/'T E&amp;G 4YR'!AE34*100</f>
        <v>39.865666349698721</v>
      </c>
      <c r="D36" s="62">
        <f>'RESEARCH 4yr'!AE34/'T E&amp;G 4YR'!AE34*100</f>
        <v>9.466005881530263</v>
      </c>
      <c r="E36" s="62">
        <f>'PUBLIC SERVICE 4yr'!AE34/'T E&amp;G 4YR'!AE34*100</f>
        <v>4.7117202528187496</v>
      </c>
      <c r="F36" s="62">
        <f>'ASptISptSSv 4yr'!AE34/'T E&amp;G 4YR'!AE34*100</f>
        <v>31.01236297824293</v>
      </c>
      <c r="G36" s="62">
        <f>'SCHOLAR FELLOW 4yr'!AE34/'T E&amp;G 4YR'!AE34*100</f>
        <v>13.220975472700831</v>
      </c>
      <c r="H36" s="62">
        <f>('All Other 4yr'!AE34/'T E&amp;G 4YR'!AE34)*100</f>
        <v>1.7232690650084967</v>
      </c>
      <c r="I36" s="63">
        <f t="shared" si="13"/>
        <v>-0.96061086955314323</v>
      </c>
      <c r="J36" s="62">
        <f t="shared" si="14"/>
        <v>-1.4128611250307692</v>
      </c>
      <c r="K36" s="62">
        <f t="shared" si="15"/>
        <v>-0.32034871818554844</v>
      </c>
      <c r="L36" s="62">
        <f t="shared" si="16"/>
        <v>3.3124683017429781</v>
      </c>
      <c r="M36" s="62">
        <f t="shared" si="17"/>
        <v>0.9001892041713937</v>
      </c>
      <c r="N36" s="62">
        <f t="shared" si="18"/>
        <v>-1.5188367931449156</v>
      </c>
      <c r="O36" s="16"/>
      <c r="P36" s="37">
        <f>('Instruction-4YR'!Z34)/'T E&amp;G 4YR'!Z34*100</f>
        <v>40.826277219251864</v>
      </c>
      <c r="Q36" s="37">
        <f>('RESEARCH 4yr'!Z34)/('T E&amp;G 4YR'!Z34)*100</f>
        <v>10.878867006561032</v>
      </c>
      <c r="R36" s="37">
        <f>('PUBLIC SERVICE 4yr'!Z34)/('T E&amp;G 4YR'!Z34)*100</f>
        <v>5.0320689710042981</v>
      </c>
      <c r="S36" s="37">
        <f>('ASptISptSSv 4yr'!Z34)/('T E&amp;G 4YR'!Z34)*100</f>
        <v>27.699894676499952</v>
      </c>
      <c r="T36" s="38">
        <f>('PLANT OPER MAIN 4yr'!Z34)/('T E&amp;G 4YR'!Z34)*100</f>
        <v>0</v>
      </c>
      <c r="U36" s="37">
        <f>('SCHOLAR FELLOW 4yr'!Z34)/('T E&amp;G 4YR'!Z34)*100</f>
        <v>12.320786268529437</v>
      </c>
      <c r="V36" s="36">
        <f>IF((('All Other 4yr'!Z34/'T E&amp;G 4YR'!Z34)*100)&gt;=0.005,('All Other 4yr'!Z34/'T E&amp;G 4YR'!Z34)*100,"*")</f>
        <v>3.2421058581534123</v>
      </c>
      <c r="W36" s="16"/>
      <c r="X36" s="27">
        <f t="shared" si="11"/>
        <v>99.999999999999986</v>
      </c>
      <c r="Y36" s="27">
        <f t="shared" si="12"/>
        <v>99.999999999999986</v>
      </c>
      <c r="Z36" s="29"/>
    </row>
    <row r="37" spans="1:26" s="30" customFormat="1">
      <c r="A37" s="52" t="s">
        <v>51</v>
      </c>
      <c r="B37" s="52"/>
      <c r="C37" s="64">
        <f>'Instruction-4YR'!AE35/'T E&amp;G 4YR'!AE35*100</f>
        <v>20.511642373845941</v>
      </c>
      <c r="D37" s="64">
        <f>'RESEARCH 4yr'!AE35/'T E&amp;G 4YR'!AE35*100</f>
        <v>14.745993801334468</v>
      </c>
      <c r="E37" s="64">
        <f>'PUBLIC SERVICE 4yr'!AE35/'T E&amp;G 4YR'!AE35*100</f>
        <v>20.397825204133781</v>
      </c>
      <c r="F37" s="64">
        <f>'ASptISptSSv 4yr'!AE35/'T E&amp;G 4YR'!AE35*100</f>
        <v>11.52635832636015</v>
      </c>
      <c r="G37" s="64">
        <f>'SCHOLAR FELLOW 4yr'!AE35/'T E&amp;G 4YR'!AE35*100</f>
        <v>8.233164343724491</v>
      </c>
      <c r="H37" s="64">
        <f>('All Other 4yr'!AE35/'T E&amp;G 4YR'!AE35)*100</f>
        <v>24.585015950601164</v>
      </c>
      <c r="I37" s="65">
        <f t="shared" si="13"/>
        <v>-5.3372400870397634</v>
      </c>
      <c r="J37" s="64">
        <f t="shared" si="14"/>
        <v>-5.4174223816276204</v>
      </c>
      <c r="K37" s="64">
        <f t="shared" si="15"/>
        <v>-1.4756152076761282</v>
      </c>
      <c r="L37" s="64">
        <f t="shared" si="16"/>
        <v>-2.5094455753683782</v>
      </c>
      <c r="M37" s="64">
        <f t="shared" si="17"/>
        <v>-3.0085030324812241</v>
      </c>
      <c r="N37" s="64">
        <f t="shared" si="18"/>
        <v>17.748226284193105</v>
      </c>
      <c r="O37" s="16"/>
      <c r="P37" s="37">
        <f>('Instruction-4YR'!Z35)/'T E&amp;G 4YR'!Z35*100</f>
        <v>25.848882460885704</v>
      </c>
      <c r="Q37" s="37">
        <f>('RESEARCH 4yr'!Z35)/('T E&amp;G 4YR'!Z35)*100</f>
        <v>20.163416182962088</v>
      </c>
      <c r="R37" s="37">
        <f>('PUBLIC SERVICE 4yr'!Z35)/('T E&amp;G 4YR'!Z35)*100</f>
        <v>21.873440411809909</v>
      </c>
      <c r="S37" s="37">
        <f>('ASptISptSSv 4yr'!Z35)/('T E&amp;G 4YR'!Z35)*100</f>
        <v>14.035803901728528</v>
      </c>
      <c r="T37" s="38">
        <f>('PLANT OPER MAIN 4yr'!Z35)/('T E&amp;G 4YR'!Z35)*100</f>
        <v>0</v>
      </c>
      <c r="U37" s="37">
        <f>('SCHOLAR FELLOW 4yr'!Z35)/('T E&amp;G 4YR'!Z35)*100</f>
        <v>11.241667376205715</v>
      </c>
      <c r="V37" s="36">
        <f>IF((('All Other 4yr'!Z35/'T E&amp;G 4YR'!Z35)*100)&gt;=0.005,('All Other 4yr'!Z35/'T E&amp;G 4YR'!Z35)*100,"*")</f>
        <v>6.836789666408059</v>
      </c>
      <c r="W37" s="16"/>
      <c r="X37" s="27">
        <f t="shared" si="11"/>
        <v>100</v>
      </c>
      <c r="Y37" s="27">
        <f t="shared" si="12"/>
        <v>100</v>
      </c>
      <c r="Z37" s="29"/>
    </row>
    <row r="38" spans="1:26" s="30" customFormat="1">
      <c r="A38" s="52" t="s">
        <v>52</v>
      </c>
      <c r="B38" s="52"/>
      <c r="C38" s="64">
        <f>'Instruction-4YR'!AE36/'T E&amp;G 4YR'!AE36*100</f>
        <v>31.814255800569363</v>
      </c>
      <c r="D38" s="64">
        <f>'RESEARCH 4yr'!AE36/'T E&amp;G 4YR'!AE36*100</f>
        <v>17.117808519165507</v>
      </c>
      <c r="E38" s="64">
        <f>'PUBLIC SERVICE 4yr'!AE36/'T E&amp;G 4YR'!AE36*100</f>
        <v>8.3020816946313278</v>
      </c>
      <c r="F38" s="64">
        <f>'ASptISptSSv 4yr'!AE36/'T E&amp;G 4YR'!AE36*100</f>
        <v>26.793351004683341</v>
      </c>
      <c r="G38" s="64">
        <f>'SCHOLAR FELLOW 4yr'!AE36/'T E&amp;G 4YR'!AE36*100</f>
        <v>10.581058101218945</v>
      </c>
      <c r="H38" s="64">
        <f>('All Other 4yr'!AE36/'T E&amp;G 4YR'!AE36)*100</f>
        <v>5.3914448797315186</v>
      </c>
      <c r="I38" s="65">
        <f t="shared" si="13"/>
        <v>-2.6920895406259149</v>
      </c>
      <c r="J38" s="64">
        <f t="shared" si="14"/>
        <v>-2.0857897328876334</v>
      </c>
      <c r="K38" s="64">
        <f t="shared" si="15"/>
        <v>1.5999119405283277</v>
      </c>
      <c r="L38" s="64">
        <f t="shared" si="16"/>
        <v>0.47930502205950631</v>
      </c>
      <c r="M38" s="64">
        <f t="shared" si="17"/>
        <v>-0.20437182412698363</v>
      </c>
      <c r="N38" s="64">
        <f t="shared" si="18"/>
        <v>2.9030341350526969</v>
      </c>
      <c r="O38" s="16"/>
      <c r="P38" s="37">
        <f>('Instruction-4YR'!Z36)/'T E&amp;G 4YR'!Z36*100</f>
        <v>34.506345341195278</v>
      </c>
      <c r="Q38" s="37">
        <f>('RESEARCH 4yr'!Z36)/('T E&amp;G 4YR'!Z36)*100</f>
        <v>19.203598252053141</v>
      </c>
      <c r="R38" s="37">
        <f>('PUBLIC SERVICE 4yr'!Z36)/('T E&amp;G 4YR'!Z36)*100</f>
        <v>6.7021697541030001</v>
      </c>
      <c r="S38" s="37">
        <f>('ASptISptSSv 4yr'!Z36)/('T E&amp;G 4YR'!Z36)*100</f>
        <v>26.314045982623835</v>
      </c>
      <c r="T38" s="38">
        <f>('PLANT OPER MAIN 4yr'!Z36)/('T E&amp;G 4YR'!Z36)*100</f>
        <v>0</v>
      </c>
      <c r="U38" s="37">
        <f>('SCHOLAR FELLOW 4yr'!Z36)/('T E&amp;G 4YR'!Z36)*100</f>
        <v>10.785429925345928</v>
      </c>
      <c r="V38" s="36">
        <f>IF((('All Other 4yr'!Z36/'T E&amp;G 4YR'!Z36)*100)&gt;=0.005,('All Other 4yr'!Z36/'T E&amp;G 4YR'!Z36)*100,"*")</f>
        <v>2.4884107446788217</v>
      </c>
      <c r="W38" s="16"/>
      <c r="X38" s="27">
        <f t="shared" si="11"/>
        <v>100</v>
      </c>
      <c r="Y38" s="27">
        <f t="shared" si="12"/>
        <v>100</v>
      </c>
      <c r="Z38" s="29"/>
    </row>
    <row r="39" spans="1:26" s="30" customFormat="1">
      <c r="A39" s="52" t="s">
        <v>53</v>
      </c>
      <c r="B39" s="52"/>
      <c r="C39" s="64">
        <f>'Instruction-4YR'!AE37/'T E&amp;G 4YR'!AE37*100</f>
        <v>25.996297776083793</v>
      </c>
      <c r="D39" s="64">
        <f>'RESEARCH 4yr'!AE37/'T E&amp;G 4YR'!AE37*100</f>
        <v>15.01459091165504</v>
      </c>
      <c r="E39" s="64">
        <f>'PUBLIC SERVICE 4yr'!AE37/'T E&amp;G 4YR'!AE37*100</f>
        <v>19.569633614955766</v>
      </c>
      <c r="F39" s="64">
        <f>'ASptISptSSv 4yr'!AE37/'T E&amp;G 4YR'!AE37*100</f>
        <v>24.197382455284647</v>
      </c>
      <c r="G39" s="64">
        <f>'SCHOLAR FELLOW 4yr'!AE37/'T E&amp;G 4YR'!AE37*100</f>
        <v>11.363395184785183</v>
      </c>
      <c r="H39" s="64">
        <f>('All Other 4yr'!AE37/'T E&amp;G 4YR'!AE37)*100</f>
        <v>3.8587000572355805</v>
      </c>
      <c r="I39" s="65">
        <f t="shared" si="13"/>
        <v>-1.6468025266794299</v>
      </c>
      <c r="J39" s="64">
        <f t="shared" si="14"/>
        <v>0.65068277104681904</v>
      </c>
      <c r="K39" s="64">
        <f t="shared" si="15"/>
        <v>-5.6493335514033483</v>
      </c>
      <c r="L39" s="64">
        <f t="shared" si="16"/>
        <v>5.0000150848863072</v>
      </c>
      <c r="M39" s="64">
        <f t="shared" si="17"/>
        <v>-0.68433728717485387</v>
      </c>
      <c r="N39" s="64">
        <f t="shared" si="18"/>
        <v>2.3297755093245156</v>
      </c>
      <c r="O39" s="16"/>
      <c r="P39" s="37">
        <f>('Instruction-4YR'!Z37)/'T E&amp;G 4YR'!Z37*100</f>
        <v>27.643100302763223</v>
      </c>
      <c r="Q39" s="37">
        <f>('RESEARCH 4yr'!Z37)/('T E&amp;G 4YR'!Z37)*100</f>
        <v>14.363908140608221</v>
      </c>
      <c r="R39" s="37">
        <f>('PUBLIC SERVICE 4yr'!Z37)/('T E&amp;G 4YR'!Z37)*100</f>
        <v>25.218967166359114</v>
      </c>
      <c r="S39" s="37">
        <f>('ASptISptSSv 4yr'!Z37)/('T E&amp;G 4YR'!Z37)*100</f>
        <v>19.197367370398339</v>
      </c>
      <c r="T39" s="38">
        <f>('PLANT OPER MAIN 4yr'!Z37)/('T E&amp;G 4YR'!Z37)*100</f>
        <v>0</v>
      </c>
      <c r="U39" s="37">
        <f>('SCHOLAR FELLOW 4yr'!Z37)/('T E&amp;G 4YR'!Z37)*100</f>
        <v>12.047732471960037</v>
      </c>
      <c r="V39" s="36">
        <f>IF((('All Other 4yr'!Z37/'T E&amp;G 4YR'!Z37)*100)&gt;=0.005,('All Other 4yr'!Z37/'T E&amp;G 4YR'!Z37)*100,"*")</f>
        <v>1.5289245479110647</v>
      </c>
      <c r="W39" s="16"/>
      <c r="X39" s="27">
        <f t="shared" si="11"/>
        <v>100</v>
      </c>
      <c r="Y39" s="27">
        <f t="shared" si="12"/>
        <v>100.00000000000003</v>
      </c>
      <c r="Z39" s="29"/>
    </row>
    <row r="40" spans="1:26" s="30" customFormat="1">
      <c r="A40" s="52" t="s">
        <v>54</v>
      </c>
      <c r="B40" s="52"/>
      <c r="C40" s="64">
        <f>'Instruction-4YR'!AE38/'T E&amp;G 4YR'!AE38*100</f>
        <v>39.970296402367438</v>
      </c>
      <c r="D40" s="64">
        <f>'RESEARCH 4yr'!AE38/'T E&amp;G 4YR'!AE38*100</f>
        <v>19.212630754137717</v>
      </c>
      <c r="E40" s="64">
        <f>'PUBLIC SERVICE 4yr'!AE38/'T E&amp;G 4YR'!AE38*100</f>
        <v>2.3450908417486152</v>
      </c>
      <c r="F40" s="64">
        <f>'ASptISptSSv 4yr'!AE38/'T E&amp;G 4YR'!AE38*100</f>
        <v>23.188258448453869</v>
      </c>
      <c r="G40" s="64">
        <f>'SCHOLAR FELLOW 4yr'!AE38/'T E&amp;G 4YR'!AE38*100</f>
        <v>12.930313495314849</v>
      </c>
      <c r="H40" s="64">
        <f>('All Other 4yr'!AE38/'T E&amp;G 4YR'!AE38)*100</f>
        <v>2.3534100579775106</v>
      </c>
      <c r="I40" s="65">
        <f t="shared" si="13"/>
        <v>2.6681782027366125</v>
      </c>
      <c r="J40" s="64">
        <f t="shared" si="14"/>
        <v>-4.6048427364426416</v>
      </c>
      <c r="K40" s="106">
        <f t="shared" si="15"/>
        <v>3.4835436937295849E-2</v>
      </c>
      <c r="L40" s="64">
        <f t="shared" si="16"/>
        <v>0.28532393284765689</v>
      </c>
      <c r="M40" s="64">
        <f t="shared" si="17"/>
        <v>-0.7369048940564511</v>
      </c>
      <c r="N40" s="64">
        <f t="shared" si="18"/>
        <v>2.3534100579775106</v>
      </c>
      <c r="O40" s="16"/>
      <c r="P40" s="37">
        <f>('Instruction-4YR'!Z38)/'T E&amp;G 4YR'!Z38*100</f>
        <v>37.302118199630826</v>
      </c>
      <c r="Q40" s="37">
        <f>('RESEARCH 4yr'!Z38)/('T E&amp;G 4YR'!Z38)*100</f>
        <v>23.817473490580358</v>
      </c>
      <c r="R40" s="37">
        <f>('PUBLIC SERVICE 4yr'!Z38)/('T E&amp;G 4YR'!Z38)*100</f>
        <v>2.3102554048113193</v>
      </c>
      <c r="S40" s="37">
        <f>('ASptISptSSv 4yr'!Z38)/('T E&amp;G 4YR'!Z38)*100</f>
        <v>22.902934515606212</v>
      </c>
      <c r="T40" s="38">
        <f>('PLANT OPER MAIN 4yr'!Z38)/('T E&amp;G 4YR'!Z38)*100</f>
        <v>0</v>
      </c>
      <c r="U40" s="37">
        <f>('SCHOLAR FELLOW 4yr'!Z38)/('T E&amp;G 4YR'!Z38)*100</f>
        <v>13.6672183893713</v>
      </c>
      <c r="V40" s="36" t="str">
        <f>IF((('All Other 4yr'!Z38/'T E&amp;G 4YR'!Z38)*100)&gt;=0.005,('All Other 4yr'!Z38/'T E&amp;G 4YR'!Z38)*100,"*")</f>
        <v>*</v>
      </c>
      <c r="W40" s="16"/>
      <c r="X40" s="27">
        <f t="shared" si="11"/>
        <v>100.00000000000001</v>
      </c>
      <c r="Y40" s="27">
        <f t="shared" si="12"/>
        <v>100</v>
      </c>
      <c r="Z40" s="29"/>
    </row>
    <row r="41" spans="1:26" s="30" customFormat="1">
      <c r="A41" s="55" t="s">
        <v>55</v>
      </c>
      <c r="B41" s="55"/>
      <c r="C41" s="66">
        <f>'Instruction-4YR'!AE39/'T E&amp;G 4YR'!AE39*100</f>
        <v>33.031942592552525</v>
      </c>
      <c r="D41" s="66">
        <f>'RESEARCH 4yr'!AE39/'T E&amp;G 4YR'!AE39*100</f>
        <v>17.536287077278022</v>
      </c>
      <c r="E41" s="66">
        <f>'PUBLIC SERVICE 4yr'!AE39/'T E&amp;G 4YR'!AE39*100</f>
        <v>11.982138099221622</v>
      </c>
      <c r="F41" s="66">
        <f>'ASptISptSSv 4yr'!AE39/'T E&amp;G 4YR'!AE39*100</f>
        <v>25.626640839461999</v>
      </c>
      <c r="G41" s="66">
        <f>'SCHOLAR FELLOW 4yr'!AE39/'T E&amp;G 4YR'!AE39*100</f>
        <v>9.9262198109522064</v>
      </c>
      <c r="H41" s="98">
        <f>('All Other 4yr'!AE39/'T E&amp;G 4YR'!AE39)*100</f>
        <v>1.8967715805336147</v>
      </c>
      <c r="I41" s="67">
        <f t="shared" si="13"/>
        <v>-3.2703203223400834</v>
      </c>
      <c r="J41" s="66">
        <f t="shared" si="14"/>
        <v>-0.97464877170456177</v>
      </c>
      <c r="K41" s="66">
        <f t="shared" si="15"/>
        <v>2.4903730626927771</v>
      </c>
      <c r="L41" s="66">
        <f t="shared" si="16"/>
        <v>1.7800979316488643</v>
      </c>
      <c r="M41" s="66">
        <f t="shared" si="17"/>
        <v>-1.7233264821927676</v>
      </c>
      <c r="N41" s="66">
        <f t="shared" si="18"/>
        <v>1.6978245818957545</v>
      </c>
      <c r="O41" s="16"/>
      <c r="P41" s="37">
        <f>('Instruction-4YR'!Z39)/'T E&amp;G 4YR'!Z39*100</f>
        <v>36.302262914892609</v>
      </c>
      <c r="Q41" s="37">
        <f>('RESEARCH 4yr'!Z39)/('T E&amp;G 4YR'!Z39)*100</f>
        <v>18.510935848982584</v>
      </c>
      <c r="R41" s="37">
        <f>('PUBLIC SERVICE 4yr'!Z39)/('T E&amp;G 4YR'!Z39)*100</f>
        <v>9.4917650365288448</v>
      </c>
      <c r="S41" s="37">
        <f>('ASptISptSSv 4yr'!Z39)/('T E&amp;G 4YR'!Z39)*100</f>
        <v>23.846542907813134</v>
      </c>
      <c r="T41" s="38">
        <f>('PLANT OPER MAIN 4yr'!Z39)/('T E&amp;G 4YR'!Z39)*100</f>
        <v>0</v>
      </c>
      <c r="U41" s="37">
        <f>('SCHOLAR FELLOW 4yr'!Z39)/('T E&amp;G 4YR'!Z39)*100</f>
        <v>11.649546293144974</v>
      </c>
      <c r="V41" s="36">
        <f>IF((('All Other 4yr'!Z39/'T E&amp;G 4YR'!Z39)*100)&gt;=0.005,('All Other 4yr'!Z39/'T E&amp;G 4YR'!Z39)*100,"*")</f>
        <v>0.19894699863786028</v>
      </c>
      <c r="W41" s="16"/>
      <c r="X41" s="27">
        <f t="shared" si="11"/>
        <v>100.00000000000001</v>
      </c>
      <c r="Y41" s="27">
        <f t="shared" si="12"/>
        <v>99.999999999999986</v>
      </c>
      <c r="Z41" s="29"/>
    </row>
    <row r="42" spans="1:26" s="30" customFormat="1">
      <c r="A42" s="53" t="s">
        <v>56</v>
      </c>
      <c r="B42" s="53"/>
      <c r="C42" s="62">
        <f>'Instruction-4YR'!AE40/'T E&amp;G 4YR'!AE40*100</f>
        <v>35.081847079451393</v>
      </c>
      <c r="D42" s="62">
        <f>'RESEARCH 4yr'!AE40/'T E&amp;G 4YR'!AE40*100</f>
        <v>15.78312616376614</v>
      </c>
      <c r="E42" s="62">
        <f>'PUBLIC SERVICE 4yr'!AE40/'T E&amp;G 4YR'!AE40*100</f>
        <v>6.5523513575453416</v>
      </c>
      <c r="F42" s="62">
        <f>'ASptISptSSv 4yr'!AE40/'T E&amp;G 4YR'!AE40*100</f>
        <v>25.319284436115431</v>
      </c>
      <c r="G42" s="62">
        <f>'SCHOLAR FELLOW 4yr'!AE40/'T E&amp;G 4YR'!AE40*100</f>
        <v>13.679272683384106</v>
      </c>
      <c r="H42" s="62">
        <f>('All Other 4yr'!AE40/'T E&amp;G 4YR'!AE40)*100</f>
        <v>3.5841182797376061</v>
      </c>
      <c r="I42" s="63">
        <f t="shared" si="13"/>
        <v>-2.2038930368329304</v>
      </c>
      <c r="J42" s="105">
        <f t="shared" si="14"/>
        <v>1.3736068597539841E-2</v>
      </c>
      <c r="K42" s="62">
        <f t="shared" si="15"/>
        <v>-0.38317185644244756</v>
      </c>
      <c r="L42" s="62">
        <f t="shared" si="16"/>
        <v>-0.15274350594679831</v>
      </c>
      <c r="M42" s="62">
        <f t="shared" si="17"/>
        <v>0.68309132351540924</v>
      </c>
      <c r="N42" s="62">
        <f t="shared" si="18"/>
        <v>2.0429810071092502</v>
      </c>
      <c r="O42" s="16"/>
      <c r="P42" s="37">
        <f>('Instruction-4YR'!Z40)/'T E&amp;G 4YR'!Z40*100</f>
        <v>37.285740116284323</v>
      </c>
      <c r="Q42" s="37">
        <f>('RESEARCH 4yr'!Z40)/('T E&amp;G 4YR'!Z40)*100</f>
        <v>15.7693900951686</v>
      </c>
      <c r="R42" s="37">
        <f>('PUBLIC SERVICE 4yr'!Z40)/('T E&amp;G 4YR'!Z40)*100</f>
        <v>6.9355232139877891</v>
      </c>
      <c r="S42" s="37">
        <f>('ASptISptSSv 4yr'!Z40)/('T E&amp;G 4YR'!Z40)*100</f>
        <v>25.47202794206223</v>
      </c>
      <c r="T42" s="38">
        <f>('PLANT OPER MAIN 4yr'!Z40)/('T E&amp;G 4YR'!Z40)*100</f>
        <v>0</v>
      </c>
      <c r="U42" s="37">
        <f>('SCHOLAR FELLOW 4yr'!Z40)/('T E&amp;G 4YR'!Z40)*100</f>
        <v>12.996181359868697</v>
      </c>
      <c r="V42" s="36">
        <f>IF((('All Other 4yr'!Z40/'T E&amp;G 4YR'!Z40)*100)&gt;=0.005,('All Other 4yr'!Z40/'T E&amp;G 4YR'!Z40)*100,"*")</f>
        <v>1.5411372726283559</v>
      </c>
      <c r="W42" s="16"/>
      <c r="X42" s="27">
        <f t="shared" si="11"/>
        <v>100</v>
      </c>
      <c r="Y42" s="27">
        <f t="shared" si="12"/>
        <v>100.00000000000001</v>
      </c>
      <c r="Z42" s="29"/>
    </row>
    <row r="43" spans="1:26" s="30" customFormat="1">
      <c r="A43" s="53"/>
      <c r="B43" s="53"/>
      <c r="C43" s="62"/>
      <c r="D43" s="62"/>
      <c r="E43" s="62"/>
      <c r="F43" s="62"/>
      <c r="G43" s="62"/>
      <c r="H43" s="62"/>
      <c r="I43" s="63"/>
      <c r="J43" s="62"/>
      <c r="K43" s="62"/>
      <c r="L43" s="62"/>
      <c r="M43" s="62"/>
      <c r="N43" s="62"/>
      <c r="O43" s="16"/>
      <c r="P43" s="37"/>
      <c r="Q43" s="37"/>
      <c r="R43" s="37"/>
      <c r="S43" s="37"/>
      <c r="T43" s="38"/>
      <c r="U43" s="37"/>
      <c r="V43" s="36"/>
      <c r="W43" s="16"/>
      <c r="X43" s="27"/>
      <c r="Y43" s="27"/>
      <c r="Z43" s="29"/>
    </row>
    <row r="44" spans="1:26" s="30" customFormat="1">
      <c r="A44" s="52" t="s">
        <v>57</v>
      </c>
      <c r="B44" s="52"/>
      <c r="C44" s="64">
        <f>'Instruction-4YR'!AE42/'T E&amp;G 4YR'!AE42*100</f>
        <v>37.031903105259303</v>
      </c>
      <c r="D44" s="64">
        <f>'RESEARCH 4yr'!AE42/'T E&amp;G 4YR'!AE42*100</f>
        <v>13.877350953731646</v>
      </c>
      <c r="E44" s="64">
        <f>'PUBLIC SERVICE 4yr'!AE42/'T E&amp;G 4YR'!AE42*100</f>
        <v>8.5442790079697186</v>
      </c>
      <c r="F44" s="64">
        <f>'ASptISptSSv 4yr'!AE42/'T E&amp;G 4YR'!AE42*100</f>
        <v>26.249706745823271</v>
      </c>
      <c r="G44" s="64">
        <f>'SCHOLAR FELLOW 4yr'!AE42/'T E&amp;G 4YR'!AE42*100</f>
        <v>13.164266060176653</v>
      </c>
      <c r="H44" s="64">
        <f>('All Other 4yr'!AE42/'T E&amp;G 4YR'!AE42)*100</f>
        <v>1.1324941270394164</v>
      </c>
      <c r="I44" s="65">
        <f t="shared" ref="I44:I56" si="19">IF((C44-P44)=0,(C44-P44),IF((C44-P44)&gt;=0.005,(C44-P44),IF((C44-P44&lt;=-0.005),(C44-P44),"*")))</f>
        <v>-1.0415797222737311</v>
      </c>
      <c r="J44" s="64">
        <f t="shared" ref="J44:J56" si="20">IF((D44-Q44)=0,(D44-Q44),IF((D44-Q44)&gt;=0.005,(D44-Q44),IF((D44-Q44&lt;=-0.005),(D44-Q44),"*")))</f>
        <v>1.0600755928822299</v>
      </c>
      <c r="K44" s="64">
        <f t="shared" ref="K44:K56" si="21">IF((E44-R44)=0,(E44-R44),IF((E44-R44)&gt;=0.005,(E44-R44),IF((E44-R44&lt;=-0.005),(E44-R44),"*")))</f>
        <v>-1.2544225671760021</v>
      </c>
      <c r="L44" s="64">
        <f t="shared" ref="L44:L56" si="22">IF((F44-S44)=0,(F44-S44),IF((F44-S44)&gt;=0.005,(F44-S44),IF((F44-S44&lt;=-0.005),(F44-S44),"*")))</f>
        <v>0.91692802583719413</v>
      </c>
      <c r="M44" s="64">
        <f t="shared" ref="M44:M56" si="23">IF((G44-U44)=0,(G44-U44),IF((G44-U44)&gt;=0.005,(G44-U44),IF((G44-U44&lt;=-0.005),(G44-U44),"*")))</f>
        <v>-0.41542911295921137</v>
      </c>
      <c r="N44" s="64">
        <f t="shared" ref="N44:N56" si="24">IF((H44-V44)=0,(H44-V44),IF((H44-V44)&gt;=0.005,(H44-V44),IF((H44-V44&lt;=-0.005),(H44-V44),"*")))</f>
        <v>0.73442778368952855</v>
      </c>
      <c r="O44" s="16"/>
      <c r="P44" s="37">
        <f>('Instruction-4YR'!Z42)/'T E&amp;G 4YR'!Z42*100</f>
        <v>38.073482827533034</v>
      </c>
      <c r="Q44" s="37">
        <f>('RESEARCH 4yr'!Z42)/('T E&amp;G 4YR'!Z42)*100</f>
        <v>12.817275360849417</v>
      </c>
      <c r="R44" s="37">
        <f>('PUBLIC SERVICE 4yr'!Z42)/('T E&amp;G 4YR'!Z42)*100</f>
        <v>9.7987015751457207</v>
      </c>
      <c r="S44" s="37">
        <f>('ASptISptSSv 4yr'!Z42)/('T E&amp;G 4YR'!Z42)*100</f>
        <v>25.332778719986077</v>
      </c>
      <c r="T44" s="38">
        <f>('PLANT OPER MAIN 4yr'!Z42)/('T E&amp;G 4YR'!Z42)*100</f>
        <v>0</v>
      </c>
      <c r="U44" s="37">
        <f>('SCHOLAR FELLOW 4yr'!Z42)/('T E&amp;G 4YR'!Z42)*100</f>
        <v>13.579695173135864</v>
      </c>
      <c r="V44" s="36">
        <f>IF((('All Other 4yr'!Z42/'T E&amp;G 4YR'!Z42)*100)&gt;=0.005,('All Other 4yr'!Z42/'T E&amp;G 4YR'!Z42)*100,"*")</f>
        <v>0.39806634334988789</v>
      </c>
      <c r="W44" s="16"/>
      <c r="X44" s="27">
        <f t="shared" si="11"/>
        <v>99.999999999999986</v>
      </c>
      <c r="Y44" s="27">
        <f t="shared" si="12"/>
        <v>100.00000000000003</v>
      </c>
      <c r="Z44" s="29"/>
    </row>
    <row r="45" spans="1:26" s="30" customFormat="1">
      <c r="A45" s="52" t="s">
        <v>58</v>
      </c>
      <c r="B45" s="52"/>
      <c r="C45" s="64">
        <f>'Instruction-4YR'!AE43/'T E&amp;G 4YR'!AE43*100</f>
        <v>40.303354643700388</v>
      </c>
      <c r="D45" s="64">
        <f>'RESEARCH 4yr'!AE43/'T E&amp;G 4YR'!AE43*100</f>
        <v>10.606486538943374</v>
      </c>
      <c r="E45" s="64">
        <f>'PUBLIC SERVICE 4yr'!AE43/'T E&amp;G 4YR'!AE43*100</f>
        <v>4.6087406179012689</v>
      </c>
      <c r="F45" s="64">
        <f>'ASptISptSSv 4yr'!AE43/'T E&amp;G 4YR'!AE43*100</f>
        <v>27.580424552454691</v>
      </c>
      <c r="G45" s="64">
        <f>'SCHOLAR FELLOW 4yr'!AE43/'T E&amp;G 4YR'!AE43*100</f>
        <v>15.280582899329811</v>
      </c>
      <c r="H45" s="64">
        <f>('All Other 4yr'!AE43/'T E&amp;G 4YR'!AE43)*100</f>
        <v>1.6204107476704754</v>
      </c>
      <c r="I45" s="65">
        <f t="shared" si="19"/>
        <v>-2.339776049615395</v>
      </c>
      <c r="J45" s="64">
        <f t="shared" si="20"/>
        <v>-0.3335053165226558</v>
      </c>
      <c r="K45" s="64">
        <f t="shared" si="21"/>
        <v>-1.6767669484255086</v>
      </c>
      <c r="L45" s="64">
        <f t="shared" si="22"/>
        <v>1.70286505469792</v>
      </c>
      <c r="M45" s="64">
        <f t="shared" si="23"/>
        <v>1.2542735410493258</v>
      </c>
      <c r="N45" s="64">
        <f t="shared" si="24"/>
        <v>1.3929097188163344</v>
      </c>
      <c r="O45" s="16"/>
      <c r="P45" s="37">
        <f>('Instruction-4YR'!Z43)/'T E&amp;G 4YR'!Z43*100</f>
        <v>42.643130693315783</v>
      </c>
      <c r="Q45" s="37">
        <f>('RESEARCH 4yr'!Z43)/('T E&amp;G 4YR'!Z43)*100</f>
        <v>10.93999185546603</v>
      </c>
      <c r="R45" s="37">
        <f>('PUBLIC SERVICE 4yr'!Z43)/('T E&amp;G 4YR'!Z43)*100</f>
        <v>6.2855075663267774</v>
      </c>
      <c r="S45" s="37">
        <f>('ASptISptSSv 4yr'!Z43)/('T E&amp;G 4YR'!Z43)*100</f>
        <v>25.877559497756771</v>
      </c>
      <c r="T45" s="38">
        <f>('PLANT OPER MAIN 4yr'!Z43)/('T E&amp;G 4YR'!Z43)*100</f>
        <v>0</v>
      </c>
      <c r="U45" s="37">
        <f>('SCHOLAR FELLOW 4yr'!Z43)/('T E&amp;G 4YR'!Z43)*100</f>
        <v>14.026309358280486</v>
      </c>
      <c r="V45" s="36">
        <f>IF((('All Other 4yr'!Z43/'T E&amp;G 4YR'!Z43)*100)&gt;=0.005,('All Other 4yr'!Z43/'T E&amp;G 4YR'!Z43)*100,"*")</f>
        <v>0.22750102885414103</v>
      </c>
      <c r="W45" s="16"/>
      <c r="X45" s="27">
        <f t="shared" si="11"/>
        <v>99.999999999999986</v>
      </c>
      <c r="Y45" s="27">
        <f t="shared" si="12"/>
        <v>100.00000000000001</v>
      </c>
      <c r="Z45" s="29"/>
    </row>
    <row r="46" spans="1:26" s="30" customFormat="1">
      <c r="A46" s="52" t="s">
        <v>59</v>
      </c>
      <c r="B46" s="52"/>
      <c r="C46" s="64">
        <f>'Instruction-4YR'!AE44/'T E&amp;G 4YR'!AE44*100</f>
        <v>29.872982804412356</v>
      </c>
      <c r="D46" s="64">
        <f>'RESEARCH 4yr'!AE44/'T E&amp;G 4YR'!AE44*100</f>
        <v>21.358255434912639</v>
      </c>
      <c r="E46" s="64">
        <f>'PUBLIC SERVICE 4yr'!AE44/'T E&amp;G 4YR'!AE44*100</f>
        <v>7.8649024370162248</v>
      </c>
      <c r="F46" s="64">
        <f>'ASptISptSSv 4yr'!AE44/'T E&amp;G 4YR'!AE44*100</f>
        <v>25.221021753953554</v>
      </c>
      <c r="G46" s="64">
        <f>'SCHOLAR FELLOW 4yr'!AE44/'T E&amp;G 4YR'!AE44*100</f>
        <v>13.199455882370867</v>
      </c>
      <c r="H46" s="64">
        <f>('All Other 4yr'!AE44/'T E&amp;G 4YR'!AE44)*100</f>
        <v>2.4833816873343526</v>
      </c>
      <c r="I46" s="65">
        <f t="shared" si="19"/>
        <v>-1.5831593968345778</v>
      </c>
      <c r="J46" s="64">
        <f t="shared" si="20"/>
        <v>-0.45719373949868469</v>
      </c>
      <c r="K46" s="64">
        <f t="shared" si="21"/>
        <v>-0.44828023219300484</v>
      </c>
      <c r="L46" s="64">
        <f t="shared" si="22"/>
        <v>0.15040240465975074</v>
      </c>
      <c r="M46" s="64">
        <f t="shared" si="23"/>
        <v>1.4523022143696398</v>
      </c>
      <c r="N46" s="64">
        <f t="shared" si="24"/>
        <v>0.88592874949686906</v>
      </c>
      <c r="O46" s="16"/>
      <c r="P46" s="37">
        <f>('Instruction-4YR'!Z44)/'T E&amp;G 4YR'!Z44*100</f>
        <v>31.456142201246934</v>
      </c>
      <c r="Q46" s="37">
        <f>('RESEARCH 4yr'!Z44)/('T E&amp;G 4YR'!Z44)*100</f>
        <v>21.815449174411324</v>
      </c>
      <c r="R46" s="37">
        <f>('PUBLIC SERVICE 4yr'!Z44)/('T E&amp;G 4YR'!Z44)*100</f>
        <v>8.3131826692092297</v>
      </c>
      <c r="S46" s="37">
        <f>('ASptISptSSv 4yr'!Z44)/('T E&amp;G 4YR'!Z44)*100</f>
        <v>25.070619349293803</v>
      </c>
      <c r="T46" s="38">
        <f>('PLANT OPER MAIN 4yr'!Z44)/('T E&amp;G 4YR'!Z44)*100</f>
        <v>0</v>
      </c>
      <c r="U46" s="37">
        <f>('SCHOLAR FELLOW 4yr'!Z44)/('T E&amp;G 4YR'!Z44)*100</f>
        <v>11.747153668001227</v>
      </c>
      <c r="V46" s="36">
        <f>IF((('All Other 4yr'!Z44/'T E&amp;G 4YR'!Z44)*100)&gt;=0.005,('All Other 4yr'!Z44/'T E&amp;G 4YR'!Z44)*100,"*")</f>
        <v>1.5974529378374835</v>
      </c>
      <c r="W46" s="16"/>
      <c r="X46" s="27">
        <f t="shared" si="11"/>
        <v>100.00000000000001</v>
      </c>
      <c r="Y46" s="27">
        <f t="shared" si="12"/>
        <v>100</v>
      </c>
      <c r="Z46" s="29"/>
    </row>
    <row r="47" spans="1:26" s="30" customFormat="1">
      <c r="A47" s="52" t="s">
        <v>60</v>
      </c>
      <c r="B47" s="52"/>
      <c r="C47" s="64">
        <f>'Instruction-4YR'!AE45/'T E&amp;G 4YR'!AE45*100</f>
        <v>37.323395948115049</v>
      </c>
      <c r="D47" s="64">
        <f>'RESEARCH 4yr'!AE45/'T E&amp;G 4YR'!AE45*100</f>
        <v>22.603971247465946</v>
      </c>
      <c r="E47" s="64">
        <f>'PUBLIC SERVICE 4yr'!AE45/'T E&amp;G 4YR'!AE45*100</f>
        <v>7.4865020463676339</v>
      </c>
      <c r="F47" s="64">
        <f>'ASptISptSSv 4yr'!AE45/'T E&amp;G 4YR'!AE45*100</f>
        <v>22.035507072155188</v>
      </c>
      <c r="G47" s="64">
        <f>'SCHOLAR FELLOW 4yr'!AE45/'T E&amp;G 4YR'!AE45*100</f>
        <v>9.1214395746160939</v>
      </c>
      <c r="H47" s="64">
        <f>('All Other 4yr'!AE45/'T E&amp;G 4YR'!AE45)*100</f>
        <v>1.4291841112800894</v>
      </c>
      <c r="I47" s="65">
        <f t="shared" si="19"/>
        <v>-0.68832434919774244</v>
      </c>
      <c r="J47" s="64">
        <f t="shared" si="20"/>
        <v>1.255417972904656</v>
      </c>
      <c r="K47" s="64">
        <f t="shared" si="21"/>
        <v>0.52450738867942981</v>
      </c>
      <c r="L47" s="64">
        <f t="shared" si="22"/>
        <v>-1.6791808839540678</v>
      </c>
      <c r="M47" s="64">
        <f t="shared" si="23"/>
        <v>0.25660759160204627</v>
      </c>
      <c r="N47" s="64">
        <f t="shared" si="24"/>
        <v>0.3309722799656758</v>
      </c>
      <c r="O47" s="16"/>
      <c r="P47" s="37">
        <f>('Instruction-4YR'!Z45)/'T E&amp;G 4YR'!Z45*100</f>
        <v>38.011720297312792</v>
      </c>
      <c r="Q47" s="37">
        <f>('RESEARCH 4yr'!Z45)/('T E&amp;G 4YR'!Z45)*100</f>
        <v>21.34855327456129</v>
      </c>
      <c r="R47" s="37">
        <f>('PUBLIC SERVICE 4yr'!Z45)/('T E&amp;G 4YR'!Z45)*100</f>
        <v>6.9619946576882041</v>
      </c>
      <c r="S47" s="37">
        <f>('ASptISptSSv 4yr'!Z45)/('T E&amp;G 4YR'!Z45)*100</f>
        <v>23.714687956109255</v>
      </c>
      <c r="T47" s="38">
        <f>('PLANT OPER MAIN 4yr'!Z45)/('T E&amp;G 4YR'!Z45)*100</f>
        <v>0</v>
      </c>
      <c r="U47" s="37">
        <f>('SCHOLAR FELLOW 4yr'!Z45)/('T E&amp;G 4YR'!Z45)*100</f>
        <v>8.8648319830140476</v>
      </c>
      <c r="V47" s="36">
        <f>IF((('All Other 4yr'!Z45/'T E&amp;G 4YR'!Z45)*100)&gt;=0.005,('All Other 4yr'!Z45/'T E&amp;G 4YR'!Z45)*100,"*")</f>
        <v>1.0982118313144136</v>
      </c>
      <c r="W47" s="16"/>
      <c r="X47" s="27">
        <f t="shared" si="11"/>
        <v>100</v>
      </c>
      <c r="Y47" s="27">
        <f t="shared" si="12"/>
        <v>100</v>
      </c>
      <c r="Z47" s="29"/>
    </row>
    <row r="48" spans="1:26" s="30" customFormat="1">
      <c r="A48" s="53" t="s">
        <v>61</v>
      </c>
      <c r="B48" s="53"/>
      <c r="C48" s="62">
        <f>'Instruction-4YR'!AE46/'T E&amp;G 4YR'!AE46*100</f>
        <v>33.777065777567387</v>
      </c>
      <c r="D48" s="62">
        <f>'RESEARCH 4yr'!AE46/'T E&amp;G 4YR'!AE46*100</f>
        <v>16.06339844053328</v>
      </c>
      <c r="E48" s="62">
        <f>'PUBLIC SERVICE 4yr'!AE46/'T E&amp;G 4YR'!AE46*100</f>
        <v>6.8796392543465981</v>
      </c>
      <c r="F48" s="62">
        <f>'ASptISptSSv 4yr'!AE46/'T E&amp;G 4YR'!AE46*100</f>
        <v>23.275810508161239</v>
      </c>
      <c r="G48" s="62">
        <f>'SCHOLAR FELLOW 4yr'!AE46/'T E&amp;G 4YR'!AE46*100</f>
        <v>15.311684875539141</v>
      </c>
      <c r="H48" s="62">
        <f>('All Other 4yr'!AE46/'T E&amp;G 4YR'!AE46)*100</f>
        <v>4.6924011438523587</v>
      </c>
      <c r="I48" s="63">
        <f t="shared" si="19"/>
        <v>-3.8239811987725787</v>
      </c>
      <c r="J48" s="62">
        <f t="shared" si="20"/>
        <v>-0.98186348997582584</v>
      </c>
      <c r="K48" s="62">
        <f t="shared" si="21"/>
        <v>0.40209554262484914</v>
      </c>
      <c r="L48" s="62">
        <f t="shared" si="22"/>
        <v>-0.14602128080576904</v>
      </c>
      <c r="M48" s="62">
        <f t="shared" si="23"/>
        <v>0.77626494784284183</v>
      </c>
      <c r="N48" s="62">
        <f t="shared" si="24"/>
        <v>3.773505479086483</v>
      </c>
      <c r="O48" s="16"/>
      <c r="P48" s="37">
        <f>('Instruction-4YR'!Z46)/'T E&amp;G 4YR'!Z46*100</f>
        <v>37.601046976339966</v>
      </c>
      <c r="Q48" s="37">
        <f>('RESEARCH 4yr'!Z46)/('T E&amp;G 4YR'!Z46)*100</f>
        <v>17.045261930509106</v>
      </c>
      <c r="R48" s="37">
        <f>('PUBLIC SERVICE 4yr'!Z46)/('T E&amp;G 4YR'!Z46)*100</f>
        <v>6.4775437117217489</v>
      </c>
      <c r="S48" s="37">
        <f>('ASptISptSSv 4yr'!Z46)/('T E&amp;G 4YR'!Z46)*100</f>
        <v>23.421831788967008</v>
      </c>
      <c r="T48" s="38">
        <f>('PLANT OPER MAIN 4yr'!Z46)/('T E&amp;G 4YR'!Z46)*100</f>
        <v>0</v>
      </c>
      <c r="U48" s="37">
        <f>('SCHOLAR FELLOW 4yr'!Z46)/('T E&amp;G 4YR'!Z46)*100</f>
        <v>14.535419927696299</v>
      </c>
      <c r="V48" s="36">
        <f>IF((('All Other 4yr'!Z46/'T E&amp;G 4YR'!Z46)*100)&gt;=0.005,('All Other 4yr'!Z46/'T E&amp;G 4YR'!Z46)*100,"*")</f>
        <v>0.91889566476587581</v>
      </c>
      <c r="W48" s="16"/>
      <c r="X48" s="27">
        <f t="shared" si="11"/>
        <v>100</v>
      </c>
      <c r="Y48" s="27">
        <f t="shared" si="12"/>
        <v>100.00000000000001</v>
      </c>
      <c r="Z48" s="29"/>
    </row>
    <row r="49" spans="1:26" s="30" customFormat="1">
      <c r="A49" s="53" t="s">
        <v>62</v>
      </c>
      <c r="B49" s="53"/>
      <c r="C49" s="62">
        <f>'Instruction-4YR'!AE47/'T E&amp;G 4YR'!AE47*100</f>
        <v>30.269027396327679</v>
      </c>
      <c r="D49" s="62">
        <f>'RESEARCH 4yr'!AE47/'T E&amp;G 4YR'!AE47*100</f>
        <v>21.943773237788715</v>
      </c>
      <c r="E49" s="62">
        <f>'PUBLIC SERVICE 4yr'!AE47/'T E&amp;G 4YR'!AE47*100</f>
        <v>7.1786906851882968</v>
      </c>
      <c r="F49" s="62">
        <f>'ASptISptSSv 4yr'!AE47/'T E&amp;G 4YR'!AE47*100</f>
        <v>33.28409181759141</v>
      </c>
      <c r="G49" s="62">
        <f>'SCHOLAR FELLOW 4yr'!AE47/'T E&amp;G 4YR'!AE47*100</f>
        <v>12.311249561955389</v>
      </c>
      <c r="H49" s="62">
        <f>('All Other 4yr'!AE47/'T E&amp;G 4YR'!AE47)*100</f>
        <v>-4.9868326988514919</v>
      </c>
      <c r="I49" s="63">
        <f t="shared" si="19"/>
        <v>1.0769069033692951</v>
      </c>
      <c r="J49" s="62">
        <f t="shared" si="20"/>
        <v>1.5119728231241893</v>
      </c>
      <c r="K49" s="62">
        <f t="shared" si="21"/>
        <v>0.32349924367133021</v>
      </c>
      <c r="L49" s="62">
        <f t="shared" si="22"/>
        <v>2.0854410627608893</v>
      </c>
      <c r="M49" s="62">
        <f t="shared" si="23"/>
        <v>1.6396369985973376</v>
      </c>
      <c r="N49" s="62">
        <f t="shared" si="24"/>
        <v>-6.6374570315230468</v>
      </c>
      <c r="O49" s="16"/>
      <c r="P49" s="37">
        <f>('Instruction-4YR'!Z47)/'T E&amp;G 4YR'!Z47*100</f>
        <v>29.192120492958384</v>
      </c>
      <c r="Q49" s="37">
        <f>('RESEARCH 4yr'!Z47)/('T E&amp;G 4YR'!Z47)*100</f>
        <v>20.431800414664526</v>
      </c>
      <c r="R49" s="37">
        <f>('PUBLIC SERVICE 4yr'!Z47)/('T E&amp;G 4YR'!Z47)*100</f>
        <v>6.8551914415169666</v>
      </c>
      <c r="S49" s="37">
        <f>('ASptISptSSv 4yr'!Z47)/('T E&amp;G 4YR'!Z47)*100</f>
        <v>31.198650754830521</v>
      </c>
      <c r="T49" s="38">
        <f>('PLANT OPER MAIN 4yr'!Z47)/('T E&amp;G 4YR'!Z47)*100</f>
        <v>0</v>
      </c>
      <c r="U49" s="37">
        <f>('SCHOLAR FELLOW 4yr'!Z47)/('T E&amp;G 4YR'!Z47)*100</f>
        <v>10.671612563358051</v>
      </c>
      <c r="V49" s="36">
        <f>IF((('All Other 4yr'!Z47/'T E&amp;G 4YR'!Z47)*100)&gt;=0.005,('All Other 4yr'!Z47/'T E&amp;G 4YR'!Z47)*100,"*")</f>
        <v>1.6506243326715548</v>
      </c>
      <c r="W49" s="16"/>
      <c r="X49" s="27">
        <f t="shared" si="11"/>
        <v>100</v>
      </c>
      <c r="Y49" s="27">
        <f t="shared" si="12"/>
        <v>100.00000000000001</v>
      </c>
      <c r="Z49" s="29"/>
    </row>
    <row r="50" spans="1:26" s="30" customFormat="1">
      <c r="A50" s="53" t="s">
        <v>63</v>
      </c>
      <c r="B50" s="53"/>
      <c r="C50" s="62">
        <f>'Instruction-4YR'!AE48/'T E&amp;G 4YR'!AE48*100</f>
        <v>38.566599105493168</v>
      </c>
      <c r="D50" s="62">
        <f>'RESEARCH 4yr'!AE48/'T E&amp;G 4YR'!AE48*100</f>
        <v>7.6886956148529713</v>
      </c>
      <c r="E50" s="62">
        <f>'PUBLIC SERVICE 4yr'!AE48/'T E&amp;G 4YR'!AE48*100</f>
        <v>7.3844156773206837</v>
      </c>
      <c r="F50" s="62">
        <f>'ASptISptSSv 4yr'!AE48/'T E&amp;G 4YR'!AE48*100</f>
        <v>22.71813608047286</v>
      </c>
      <c r="G50" s="62">
        <f>'SCHOLAR FELLOW 4yr'!AE48/'T E&amp;G 4YR'!AE48*100</f>
        <v>19.091985485877888</v>
      </c>
      <c r="H50" s="62">
        <f>('All Other 4yr'!AE48/'T E&amp;G 4YR'!AE48)*100</f>
        <v>4.5501680359824217</v>
      </c>
      <c r="I50" s="63">
        <f t="shared" si="19"/>
        <v>-3.5861844346245348</v>
      </c>
      <c r="J50" s="62">
        <f t="shared" si="20"/>
        <v>-0.99137032548518889</v>
      </c>
      <c r="K50" s="105">
        <f t="shared" si="21"/>
        <v>1.1981867230052679E-2</v>
      </c>
      <c r="L50" s="62">
        <f t="shared" si="22"/>
        <v>-0.73885372488136269</v>
      </c>
      <c r="M50" s="62">
        <f t="shared" si="23"/>
        <v>0.94087645206698767</v>
      </c>
      <c r="N50" s="62">
        <f t="shared" si="24"/>
        <v>4.3635501656940319</v>
      </c>
      <c r="O50" s="16"/>
      <c r="P50" s="37">
        <f>('Instruction-4YR'!Z48)/'T E&amp;G 4YR'!Z48*100</f>
        <v>42.152783540117703</v>
      </c>
      <c r="Q50" s="37">
        <f>('RESEARCH 4yr'!Z48)/('T E&amp;G 4YR'!Z48)*100</f>
        <v>8.6800659403381601</v>
      </c>
      <c r="R50" s="37">
        <f>('PUBLIC SERVICE 4yr'!Z48)/('T E&amp;G 4YR'!Z48)*100</f>
        <v>7.372433810090631</v>
      </c>
      <c r="S50" s="37">
        <f>('ASptISptSSv 4yr'!Z48)/('T E&amp;G 4YR'!Z48)*100</f>
        <v>23.456989805354223</v>
      </c>
      <c r="T50" s="38">
        <f>('PLANT OPER MAIN 4yr'!Z48)/('T E&amp;G 4YR'!Z48)*100</f>
        <v>0</v>
      </c>
      <c r="U50" s="37">
        <f>('SCHOLAR FELLOW 4yr'!Z48)/('T E&amp;G 4YR'!Z48)*100</f>
        <v>18.151109033810901</v>
      </c>
      <c r="V50" s="36">
        <f>IF((('All Other 4yr'!Z48/'T E&amp;G 4YR'!Z48)*100)&gt;=0.005,('All Other 4yr'!Z48/'T E&amp;G 4YR'!Z48)*100,"*")</f>
        <v>0.18661787028839</v>
      </c>
      <c r="W50" s="16"/>
      <c r="X50" s="27">
        <f t="shared" si="11"/>
        <v>100</v>
      </c>
      <c r="Y50" s="27">
        <f t="shared" si="12"/>
        <v>100</v>
      </c>
      <c r="Z50" s="29"/>
    </row>
    <row r="51" spans="1:26" s="30" customFormat="1">
      <c r="A51" s="53" t="s">
        <v>64</v>
      </c>
      <c r="B51" s="53"/>
      <c r="C51" s="62">
        <f>'Instruction-4YR'!AE49/'T E&amp;G 4YR'!AE49*100</f>
        <v>34.668993092191265</v>
      </c>
      <c r="D51" s="62">
        <f>'RESEARCH 4yr'!AE49/'T E&amp;G 4YR'!AE49*100</f>
        <v>22.613341247754416</v>
      </c>
      <c r="E51" s="62">
        <f>'PUBLIC SERVICE 4yr'!AE49/'T E&amp;G 4YR'!AE49*100</f>
        <v>6.3544397978501506</v>
      </c>
      <c r="F51" s="62">
        <f>'ASptISptSSv 4yr'!AE49/'T E&amp;G 4YR'!AE49*100</f>
        <v>20.011517084055903</v>
      </c>
      <c r="G51" s="62">
        <f>'SCHOLAR FELLOW 4yr'!AE49/'T E&amp;G 4YR'!AE49*100</f>
        <v>13.022580246882484</v>
      </c>
      <c r="H51" s="62">
        <f>('All Other 4yr'!AE49/'T E&amp;G 4YR'!AE49)*100</f>
        <v>3.3291285312657863</v>
      </c>
      <c r="I51" s="63">
        <f t="shared" si="19"/>
        <v>-2.8392434422909076</v>
      </c>
      <c r="J51" s="62">
        <f t="shared" si="20"/>
        <v>2.067344591358026</v>
      </c>
      <c r="K51" s="62">
        <f t="shared" si="21"/>
        <v>-1.7405029507422443</v>
      </c>
      <c r="L51" s="62">
        <f t="shared" si="22"/>
        <v>-0.45819346099855451</v>
      </c>
      <c r="M51" s="62">
        <f t="shared" si="23"/>
        <v>0.71785659428013915</v>
      </c>
      <c r="N51" s="62">
        <f t="shared" si="24"/>
        <v>2.252738668393544</v>
      </c>
      <c r="O51" s="16"/>
      <c r="P51" s="37">
        <f>('Instruction-4YR'!Z49)/'T E&amp;G 4YR'!Z49*100</f>
        <v>37.508236534482172</v>
      </c>
      <c r="Q51" s="37">
        <f>('RESEARCH 4yr'!Z49)/('T E&amp;G 4YR'!Z49)*100</f>
        <v>20.54599665639639</v>
      </c>
      <c r="R51" s="37">
        <f>('PUBLIC SERVICE 4yr'!Z49)/('T E&amp;G 4YR'!Z49)*100</f>
        <v>8.0949427485923948</v>
      </c>
      <c r="S51" s="37">
        <f>('ASptISptSSv 4yr'!Z49)/('T E&amp;G 4YR'!Z49)*100</f>
        <v>20.469710545054458</v>
      </c>
      <c r="T51" s="38">
        <f>('PLANT OPER MAIN 4yr'!Z49)/('T E&amp;G 4YR'!Z49)*100</f>
        <v>0</v>
      </c>
      <c r="U51" s="37">
        <f>('SCHOLAR FELLOW 4yr'!Z49)/('T E&amp;G 4YR'!Z49)*100</f>
        <v>12.304723652602345</v>
      </c>
      <c r="V51" s="36">
        <f>IF((('All Other 4yr'!Z49/'T E&amp;G 4YR'!Z49)*100)&gt;=0.005,('All Other 4yr'!Z49/'T E&amp;G 4YR'!Z49)*100,"*")</f>
        <v>1.0763898628722421</v>
      </c>
      <c r="W51" s="16"/>
      <c r="X51" s="27">
        <f t="shared" si="11"/>
        <v>100</v>
      </c>
      <c r="Y51" s="27">
        <f t="shared" si="12"/>
        <v>100</v>
      </c>
      <c r="Z51" s="29"/>
    </row>
    <row r="52" spans="1:26" s="30" customFormat="1">
      <c r="A52" s="52" t="s">
        <v>65</v>
      </c>
      <c r="B52" s="52"/>
      <c r="C52" s="64">
        <f>'Instruction-4YR'!AE50/'T E&amp;G 4YR'!AE50*100</f>
        <v>36.306990944881932</v>
      </c>
      <c r="D52" s="64">
        <f>'RESEARCH 4yr'!AE50/'T E&amp;G 4YR'!AE50*100</f>
        <v>19.692117111688265</v>
      </c>
      <c r="E52" s="64">
        <f>'PUBLIC SERVICE 4yr'!AE50/'T E&amp;G 4YR'!AE50*100</f>
        <v>8.0216864861631514</v>
      </c>
      <c r="F52" s="64">
        <f>'ASptISptSSv 4yr'!AE50/'T E&amp;G 4YR'!AE50*100</f>
        <v>25.584019793149874</v>
      </c>
      <c r="G52" s="64">
        <f>'SCHOLAR FELLOW 4yr'!AE50/'T E&amp;G 4YR'!AE50*100</f>
        <v>7.8364333727933264</v>
      </c>
      <c r="H52" s="64">
        <f>('All Other 4yr'!AE50/'T E&amp;G 4YR'!AE50)*100</f>
        <v>2.5587522913234508</v>
      </c>
      <c r="I52" s="65">
        <f t="shared" si="19"/>
        <v>-5.5420732563517845</v>
      </c>
      <c r="J52" s="64">
        <f t="shared" si="20"/>
        <v>2.3923996199287743</v>
      </c>
      <c r="K52" s="64">
        <f t="shared" si="21"/>
        <v>0.19465541703296019</v>
      </c>
      <c r="L52" s="64">
        <f t="shared" si="22"/>
        <v>-9.5119770117115365E-2</v>
      </c>
      <c r="M52" s="64">
        <f t="shared" si="23"/>
        <v>0.92850500817605219</v>
      </c>
      <c r="N52" s="64">
        <f t="shared" si="24"/>
        <v>2.1216329813311168</v>
      </c>
      <c r="O52" s="16"/>
      <c r="P52" s="37">
        <f>('Instruction-4YR'!Z50)/'T E&amp;G 4YR'!Z50*100</f>
        <v>41.849064201233716</v>
      </c>
      <c r="Q52" s="37">
        <f>('RESEARCH 4yr'!Z50)/('T E&amp;G 4YR'!Z50)*100</f>
        <v>17.299717491759491</v>
      </c>
      <c r="R52" s="37">
        <f>('PUBLIC SERVICE 4yr'!Z50)/('T E&amp;G 4YR'!Z50)*100</f>
        <v>7.8270310691301912</v>
      </c>
      <c r="S52" s="37">
        <f>('ASptISptSSv 4yr'!Z50)/('T E&amp;G 4YR'!Z50)*100</f>
        <v>25.67913956326699</v>
      </c>
      <c r="T52" s="38">
        <f>('PLANT OPER MAIN 4yr'!Z50)/('T E&amp;G 4YR'!Z50)*100</f>
        <v>0</v>
      </c>
      <c r="U52" s="37">
        <f>('SCHOLAR FELLOW 4yr'!Z50)/('T E&amp;G 4YR'!Z50)*100</f>
        <v>6.9079283646172742</v>
      </c>
      <c r="V52" s="36">
        <f>IF((('All Other 4yr'!Z50/'T E&amp;G 4YR'!Z50)*100)&gt;=0.005,('All Other 4yr'!Z50/'T E&amp;G 4YR'!Z50)*100,"*")</f>
        <v>0.437119309992334</v>
      </c>
      <c r="W52" s="16"/>
      <c r="X52" s="27">
        <f t="shared" si="11"/>
        <v>100</v>
      </c>
      <c r="Y52" s="27">
        <f t="shared" si="12"/>
        <v>100</v>
      </c>
      <c r="Z52" s="29"/>
    </row>
    <row r="53" spans="1:26" s="30" customFormat="1">
      <c r="A53" s="52" t="s">
        <v>66</v>
      </c>
      <c r="B53" s="52"/>
      <c r="C53" s="64">
        <f>'Instruction-4YR'!AE51/'T E&amp;G 4YR'!AE51*100</f>
        <v>36.561783022587193</v>
      </c>
      <c r="D53" s="64">
        <f>'RESEARCH 4yr'!AE51/'T E&amp;G 4YR'!AE51*100</f>
        <v>11.397839812897885</v>
      </c>
      <c r="E53" s="64">
        <f>'PUBLIC SERVICE 4yr'!AE51/'T E&amp;G 4YR'!AE51*100</f>
        <v>4.6542961661255893</v>
      </c>
      <c r="F53" s="64">
        <f>'ASptISptSSv 4yr'!AE51/'T E&amp;G 4YR'!AE51*100</f>
        <v>24.566984876150681</v>
      </c>
      <c r="G53" s="64">
        <f>'SCHOLAR FELLOW 4yr'!AE51/'T E&amp;G 4YR'!AE51*100</f>
        <v>14.741801237034869</v>
      </c>
      <c r="H53" s="64">
        <f>('All Other 4yr'!AE51/'T E&amp;G 4YR'!AE51)*100</f>
        <v>8.0772948852037896</v>
      </c>
      <c r="I53" s="65">
        <f t="shared" si="19"/>
        <v>-3.1314777705700081</v>
      </c>
      <c r="J53" s="64">
        <f t="shared" si="20"/>
        <v>-1.5750502285867043</v>
      </c>
      <c r="K53" s="64">
        <f t="shared" si="21"/>
        <v>5.744487681108712E-2</v>
      </c>
      <c r="L53" s="64">
        <f t="shared" si="22"/>
        <v>-2.6228865392165659</v>
      </c>
      <c r="M53" s="64">
        <f t="shared" si="23"/>
        <v>0.20290307327962687</v>
      </c>
      <c r="N53" s="64">
        <f t="shared" si="24"/>
        <v>7.0690665882825563</v>
      </c>
      <c r="O53" s="16"/>
      <c r="P53" s="37">
        <f>('Instruction-4YR'!Z51)/'T E&amp;G 4YR'!Z51*100</f>
        <v>39.693260793157201</v>
      </c>
      <c r="Q53" s="37">
        <f>('RESEARCH 4yr'!Z51)/('T E&amp;G 4YR'!Z51)*100</f>
        <v>12.97289004148459</v>
      </c>
      <c r="R53" s="37">
        <f>('PUBLIC SERVICE 4yr'!Z51)/('T E&amp;G 4YR'!Z51)*100</f>
        <v>4.5968512893145022</v>
      </c>
      <c r="S53" s="37">
        <f>('ASptISptSSv 4yr'!Z51)/('T E&amp;G 4YR'!Z51)*100</f>
        <v>27.189871415367246</v>
      </c>
      <c r="T53" s="38">
        <f>('PLANT OPER MAIN 4yr'!Z51)/('T E&amp;G 4YR'!Z51)*100</f>
        <v>0</v>
      </c>
      <c r="U53" s="37">
        <f>('SCHOLAR FELLOW 4yr'!Z51)/('T E&amp;G 4YR'!Z51)*100</f>
        <v>14.538898163755242</v>
      </c>
      <c r="V53" s="36">
        <f>IF((('All Other 4yr'!Z51/'T E&amp;G 4YR'!Z51)*100)&gt;=0.005,('All Other 4yr'!Z51/'T E&amp;G 4YR'!Z51)*100,"*")</f>
        <v>1.0082282969212328</v>
      </c>
      <c r="W53" s="16"/>
      <c r="X53" s="27">
        <f t="shared" si="11"/>
        <v>100</v>
      </c>
      <c r="Y53" s="27">
        <f t="shared" si="12"/>
        <v>100</v>
      </c>
      <c r="Z53" s="29"/>
    </row>
    <row r="54" spans="1:26" s="30" customFormat="1">
      <c r="A54" s="52" t="s">
        <v>67</v>
      </c>
      <c r="B54" s="52"/>
      <c r="C54" s="64">
        <f>'Instruction-4YR'!AE52/'T E&amp;G 4YR'!AE52*100</f>
        <v>34.90174320234258</v>
      </c>
      <c r="D54" s="64">
        <f>'RESEARCH 4yr'!AE52/'T E&amp;G 4YR'!AE52*100</f>
        <v>13.52963173349861</v>
      </c>
      <c r="E54" s="64">
        <f>'PUBLIC SERVICE 4yr'!AE52/'T E&amp;G 4YR'!AE52*100</f>
        <v>7.2964908730040658</v>
      </c>
      <c r="F54" s="64">
        <f>'ASptISptSSv 4yr'!AE52/'T E&amp;G 4YR'!AE52*100</f>
        <v>32.382982199308607</v>
      </c>
      <c r="G54" s="64">
        <f>'SCHOLAR FELLOW 4yr'!AE52/'T E&amp;G 4YR'!AE52*100</f>
        <v>10.976651865008771</v>
      </c>
      <c r="H54" s="64">
        <f>('All Other 4yr'!AE52/'T E&amp;G 4YR'!AE52)*100</f>
        <v>0.91250012683737269</v>
      </c>
      <c r="I54" s="65">
        <f t="shared" si="19"/>
        <v>-1.6332815618885306</v>
      </c>
      <c r="J54" s="64">
        <f t="shared" si="20"/>
        <v>-0.35209753959102308</v>
      </c>
      <c r="K54" s="64">
        <f t="shared" si="21"/>
        <v>-0.27400104824517868</v>
      </c>
      <c r="L54" s="64">
        <f t="shared" si="22"/>
        <v>3.0230263242145661</v>
      </c>
      <c r="M54" s="64">
        <f t="shared" si="23"/>
        <v>0.15985133320397971</v>
      </c>
      <c r="N54" s="64">
        <f t="shared" si="24"/>
        <v>-0.923497507693817</v>
      </c>
      <c r="O54" s="16"/>
      <c r="P54" s="37">
        <f>('Instruction-4YR'!Z52)/'T E&amp;G 4YR'!Z52*100</f>
        <v>36.53502476423111</v>
      </c>
      <c r="Q54" s="37">
        <f>('RESEARCH 4yr'!Z52)/('T E&amp;G 4YR'!Z52)*100</f>
        <v>13.881729273089633</v>
      </c>
      <c r="R54" s="37">
        <f>('PUBLIC SERVICE 4yr'!Z52)/('T E&amp;G 4YR'!Z52)*100</f>
        <v>7.5704919212492445</v>
      </c>
      <c r="S54" s="37">
        <f>('ASptISptSSv 4yr'!Z52)/('T E&amp;G 4YR'!Z52)*100</f>
        <v>29.359955875094041</v>
      </c>
      <c r="T54" s="38">
        <f>('PLANT OPER MAIN 4yr'!Z52)/('T E&amp;G 4YR'!Z52)*100</f>
        <v>0</v>
      </c>
      <c r="U54" s="37">
        <f>('SCHOLAR FELLOW 4yr'!Z52)/('T E&amp;G 4YR'!Z52)*100</f>
        <v>10.816800531804791</v>
      </c>
      <c r="V54" s="36">
        <f>IF((('All Other 4yr'!Z52/'T E&amp;G 4YR'!Z52)*100)&gt;=0.005,('All Other 4yr'!Z52/'T E&amp;G 4YR'!Z52)*100,"*")</f>
        <v>1.8359976345311897</v>
      </c>
      <c r="W54" s="16"/>
      <c r="X54" s="27">
        <f t="shared" si="11"/>
        <v>100.00000000000001</v>
      </c>
      <c r="Y54" s="27">
        <f t="shared" si="12"/>
        <v>100.00000000000001</v>
      </c>
      <c r="Z54" s="29"/>
    </row>
    <row r="55" spans="1:26" s="30" customFormat="1">
      <c r="A55" s="52" t="s">
        <v>68</v>
      </c>
      <c r="B55" s="52"/>
      <c r="C55" s="64">
        <f>'Instruction-4YR'!AE53/'T E&amp;G 4YR'!AE53*100</f>
        <v>28.999225254644685</v>
      </c>
      <c r="D55" s="64">
        <f>'RESEARCH 4yr'!AE53/'T E&amp;G 4YR'!AE53*100</f>
        <v>22.462552347497336</v>
      </c>
      <c r="E55" s="64">
        <f>'PUBLIC SERVICE 4yr'!AE53/'T E&amp;G 4YR'!AE53*100</f>
        <v>6.2563596429715469</v>
      </c>
      <c r="F55" s="64">
        <f>'ASptISptSSv 4yr'!AE53/'T E&amp;G 4YR'!AE53*100</f>
        <v>24.483317913829026</v>
      </c>
      <c r="G55" s="64">
        <f>'SCHOLAR FELLOW 4yr'!AE53/'T E&amp;G 4YR'!AE53*100</f>
        <v>9.1858606644057392</v>
      </c>
      <c r="H55" s="64">
        <f>('All Other 4yr'!AE53/'T E&amp;G 4YR'!AE53)*100</f>
        <v>8.6126841766516637</v>
      </c>
      <c r="I55" s="65">
        <f t="shared" si="19"/>
        <v>-2.0140435693385257</v>
      </c>
      <c r="J55" s="64">
        <f t="shared" si="20"/>
        <v>1.8299920557542855</v>
      </c>
      <c r="K55" s="64">
        <f t="shared" si="21"/>
        <v>0.14039703771510048</v>
      </c>
      <c r="L55" s="64">
        <f t="shared" si="22"/>
        <v>-0.37960251915954757</v>
      </c>
      <c r="M55" s="64">
        <f t="shared" si="23"/>
        <v>0.542389638767375</v>
      </c>
      <c r="N55" s="64">
        <f t="shared" si="24"/>
        <v>-0.11913264373868593</v>
      </c>
      <c r="O55" s="16"/>
      <c r="P55" s="37">
        <f>('Instruction-4YR'!Z53)/'T E&amp;G 4YR'!Z53*100</f>
        <v>31.013268823983211</v>
      </c>
      <c r="Q55" s="37">
        <f>('RESEARCH 4yr'!Z53)/('T E&amp;G 4YR'!Z53)*100</f>
        <v>20.632560291743051</v>
      </c>
      <c r="R55" s="37">
        <f>('PUBLIC SERVICE 4yr'!Z53)/('T E&amp;G 4YR'!Z53)*100</f>
        <v>6.1159626052564464</v>
      </c>
      <c r="S55" s="37">
        <f>('ASptISptSSv 4yr'!Z53)/('T E&amp;G 4YR'!Z53)*100</f>
        <v>24.862920432988574</v>
      </c>
      <c r="T55" s="38">
        <f>('PLANT OPER MAIN 4yr'!Z53)/('T E&amp;G 4YR'!Z53)*100</f>
        <v>0</v>
      </c>
      <c r="U55" s="37">
        <f>('SCHOLAR FELLOW 4yr'!Z53)/('T E&amp;G 4YR'!Z53)*100</f>
        <v>8.6434710256383642</v>
      </c>
      <c r="V55" s="36">
        <f>IF((('All Other 4yr'!Z53/'T E&amp;G 4YR'!Z53)*100)&gt;=0.005,('All Other 4yr'!Z53/'T E&amp;G 4YR'!Z53)*100,"*")</f>
        <v>8.7318168203903497</v>
      </c>
      <c r="W55" s="16"/>
      <c r="X55" s="27">
        <f t="shared" si="11"/>
        <v>99.999999999999986</v>
      </c>
      <c r="Y55" s="27">
        <f t="shared" si="12"/>
        <v>100</v>
      </c>
      <c r="Z55" s="29"/>
    </row>
    <row r="56" spans="1:26" s="30" customFormat="1">
      <c r="A56" s="56" t="s">
        <v>69</v>
      </c>
      <c r="B56" s="56"/>
      <c r="C56" s="68">
        <f>'Instruction-4YR'!AE54/'T E&amp;G 4YR'!AE54*100</f>
        <v>36.768018220690884</v>
      </c>
      <c r="D56" s="68">
        <f>'RESEARCH 4yr'!AE54/'T E&amp;G 4YR'!AE54*100</f>
        <v>9.4655797074179393</v>
      </c>
      <c r="E56" s="68">
        <f>'PUBLIC SERVICE 4yr'!AE54/'T E&amp;G 4YR'!AE54*100</f>
        <v>4.248912506575774</v>
      </c>
      <c r="F56" s="68">
        <f>'ASptISptSSv 4yr'!AE54/'T E&amp;G 4YR'!AE54*100</f>
        <v>28.447677662697817</v>
      </c>
      <c r="G56" s="68">
        <f>'SCHOLAR FELLOW 4yr'!AE54/'T E&amp;G 4YR'!AE54*100</f>
        <v>15.604678449523005</v>
      </c>
      <c r="H56" s="68">
        <f>('All Other 4yr'!AE54/'T E&amp;G 4YR'!AE54)*100</f>
        <v>5.4651334530945732</v>
      </c>
      <c r="I56" s="69">
        <f t="shared" si="19"/>
        <v>-2.7104829993087947</v>
      </c>
      <c r="J56" s="68">
        <f t="shared" si="20"/>
        <v>-0.57753782783312779</v>
      </c>
      <c r="K56" s="68">
        <f t="shared" si="21"/>
        <v>-0.87150980764713015</v>
      </c>
      <c r="L56" s="68">
        <f t="shared" si="22"/>
        <v>-1.7569026877737777</v>
      </c>
      <c r="M56" s="68">
        <f t="shared" si="23"/>
        <v>1.4392833075391831</v>
      </c>
      <c r="N56" s="68">
        <f t="shared" si="24"/>
        <v>4.4771500150236356</v>
      </c>
      <c r="O56" s="16"/>
      <c r="P56" s="37">
        <f>('Instruction-4YR'!Z54)/'T E&amp;G 4YR'!Z54*100</f>
        <v>39.478501219999679</v>
      </c>
      <c r="Q56" s="37">
        <f>('RESEARCH 4yr'!Z54)/('T E&amp;G 4YR'!Z54)*100</f>
        <v>10.043117535251067</v>
      </c>
      <c r="R56" s="37">
        <f>('PUBLIC SERVICE 4yr'!Z54)/('T E&amp;G 4YR'!Z54)*100</f>
        <v>5.1204223142229042</v>
      </c>
      <c r="S56" s="37">
        <f>('ASptISptSSv 4yr'!Z54)/('T E&amp;G 4YR'!Z54)*100</f>
        <v>30.204580350471595</v>
      </c>
      <c r="T56" s="38">
        <f>('PLANT OPER MAIN 4yr'!Z54)/('T E&amp;G 4YR'!Z54)*100</f>
        <v>0</v>
      </c>
      <c r="U56" s="37">
        <f>('SCHOLAR FELLOW 4yr'!Z54)/('T E&amp;G 4YR'!Z54)*100</f>
        <v>14.165395141983822</v>
      </c>
      <c r="V56" s="36">
        <f>IF((('All Other 4yr'!Z54/'T E&amp;G 4YR'!Z54)*100)&gt;=0.005,('All Other 4yr'!Z54/'T E&amp;G 4YR'!Z54)*100,"*")</f>
        <v>0.98798343807093747</v>
      </c>
      <c r="W56" s="16"/>
      <c r="X56" s="27">
        <f t="shared" si="11"/>
        <v>100.00000000000001</v>
      </c>
      <c r="Y56" s="27">
        <f t="shared" si="12"/>
        <v>100</v>
      </c>
      <c r="Z56" s="29"/>
    </row>
    <row r="57" spans="1:26" s="30" customFormat="1">
      <c r="A57" s="53"/>
      <c r="B57" s="53"/>
      <c r="C57" s="62"/>
      <c r="D57" s="62"/>
      <c r="E57" s="62"/>
      <c r="F57" s="62"/>
      <c r="G57" s="62"/>
      <c r="H57" s="62"/>
      <c r="I57" s="63"/>
      <c r="J57" s="62"/>
      <c r="K57" s="62"/>
      <c r="L57" s="62"/>
      <c r="M57" s="62"/>
      <c r="N57" s="62"/>
      <c r="O57" s="16"/>
      <c r="P57" s="37"/>
      <c r="Q57" s="37"/>
      <c r="R57" s="37"/>
      <c r="S57" s="37"/>
      <c r="T57" s="38"/>
      <c r="U57" s="37"/>
      <c r="V57" s="36"/>
      <c r="W57" s="16"/>
      <c r="X57" s="27"/>
      <c r="Y57" s="27"/>
      <c r="Z57" s="29"/>
    </row>
    <row r="58" spans="1:26" s="30" customFormat="1">
      <c r="A58" s="52" t="s">
        <v>70</v>
      </c>
      <c r="B58" s="52"/>
      <c r="C58" s="64">
        <f>'Instruction-4YR'!AE56/'T E&amp;G 4YR'!AE56*100</f>
        <v>35.212374258900745</v>
      </c>
      <c r="D58" s="64">
        <f>'RESEARCH 4yr'!AE56/'T E&amp;G 4YR'!AE56*100</f>
        <v>6.8487635818012524</v>
      </c>
      <c r="E58" s="64">
        <f>'PUBLIC SERVICE 4yr'!AE56/'T E&amp;G 4YR'!AE56*100</f>
        <v>4.7754616267067735</v>
      </c>
      <c r="F58" s="64">
        <f>'ASptISptSSv 4yr'!AE56/'T E&amp;G 4YR'!AE56*100</f>
        <v>24.873546374099494</v>
      </c>
      <c r="G58" s="64">
        <f>'SCHOLAR FELLOW 4yr'!AE56/'T E&amp;G 4YR'!AE56*100</f>
        <v>13.971549398395453</v>
      </c>
      <c r="H58" s="64">
        <f>('All Other 4yr'!AE56/'T E&amp;G 4YR'!AE56)*100</f>
        <v>14.318304760096288</v>
      </c>
      <c r="I58" s="65">
        <f t="shared" ref="I58:I67" si="25">IF((C58-P58)=0,(C58-P58),IF((C58-P58)&gt;=0.005,(C58-P58),IF((C58-P58&lt;=-0.005),(C58-P58),"*")))</f>
        <v>-5.7276958789873262</v>
      </c>
      <c r="J58" s="64">
        <f t="shared" ref="J58:J67" si="26">IF((D58-Q58)=0,(D58-Q58),IF((D58-Q58)&gt;=0.005,(D58-Q58),IF((D58-Q58&lt;=-0.005),(D58-Q58),"*")))</f>
        <v>-1.8397913950496978</v>
      </c>
      <c r="K58" s="64">
        <f t="shared" ref="K58:K67" si="27">IF((E58-R58)=0,(E58-R58),IF((E58-R58)&gt;=0.005,(E58-R58),IF((E58-R58&lt;=-0.005),(E58-R58),"*")))</f>
        <v>-0.45176257349788784</v>
      </c>
      <c r="L58" s="64">
        <f t="shared" ref="L58:L67" si="28">IF((F58-S58)=0,(F58-S58),IF((F58-S58)&gt;=0.005,(F58-S58),IF((F58-S58&lt;=-0.005),(F58-S58),"*")))</f>
        <v>-6.5651043245198863</v>
      </c>
      <c r="M58" s="64">
        <f t="shared" ref="M58:M67" si="29">IF((G58-U58)=0,(G58-U58),IF((G58-U58)&gt;=0.005,(G58-U58),IF((G58-U58&lt;=-0.005),(G58-U58),"*")))</f>
        <v>0.44657818467506694</v>
      </c>
      <c r="N58" s="64">
        <f t="shared" ref="N58:N67" si="30">IF((H58-V58)=0,(H58-V58),IF((H58-V58)&gt;=0.005,(H58-V58),IF((H58-V58&lt;=-0.005),(H58-V58),"*")))</f>
        <v>14.13777598737973</v>
      </c>
      <c r="O58" s="16"/>
      <c r="P58" s="37">
        <f>('Instruction-4YR'!Z56)/'T E&amp;G 4YR'!Z56*100</f>
        <v>40.940070137888071</v>
      </c>
      <c r="Q58" s="37">
        <f>('RESEARCH 4yr'!Z56)/('T E&amp;G 4YR'!Z56)*100</f>
        <v>8.6885549768509502</v>
      </c>
      <c r="R58" s="37">
        <f>('PUBLIC SERVICE 4yr'!Z56)/('T E&amp;G 4YR'!Z56)*100</f>
        <v>5.2272242002046614</v>
      </c>
      <c r="S58" s="37">
        <f>('ASptISptSSv 4yr'!Z56)/('T E&amp;G 4YR'!Z56)*100</f>
        <v>31.43865069861938</v>
      </c>
      <c r="T58" s="38">
        <f>('PLANT OPER MAIN 4yr'!Z56)/('T E&amp;G 4YR'!Z56)*100</f>
        <v>0</v>
      </c>
      <c r="U58" s="37">
        <f>('SCHOLAR FELLOW 4yr'!Z56)/('T E&amp;G 4YR'!Z56)*100</f>
        <v>13.524971213720386</v>
      </c>
      <c r="V58" s="36">
        <f>IF((('All Other 4yr'!Z56/'T E&amp;G 4YR'!Z56)*100)&gt;=0.005,('All Other 4yr'!Z56/'T E&amp;G 4YR'!Z56)*100,"*")</f>
        <v>0.1805287727165589</v>
      </c>
      <c r="W58" s="16"/>
      <c r="X58" s="27">
        <f t="shared" si="11"/>
        <v>100.00000000000001</v>
      </c>
      <c r="Y58" s="27">
        <f t="shared" si="12"/>
        <v>100</v>
      </c>
      <c r="Z58" s="29"/>
    </row>
    <row r="59" spans="1:26" s="30" customFormat="1">
      <c r="A59" s="52" t="s">
        <v>71</v>
      </c>
      <c r="B59" s="52"/>
      <c r="C59" s="64">
        <f>'Instruction-4YR'!AE57/'T E&amp;G 4YR'!AE57*100</f>
        <v>29.113111046696638</v>
      </c>
      <c r="D59" s="64">
        <f>'RESEARCH 4yr'!AE57/'T E&amp;G 4YR'!AE57*100</f>
        <v>11.917916348001869</v>
      </c>
      <c r="E59" s="64">
        <f>'PUBLIC SERVICE 4yr'!AE57/'T E&amp;G 4YR'!AE57*100</f>
        <v>8.6585585515825727</v>
      </c>
      <c r="F59" s="64">
        <f>'ASptISptSSv 4yr'!AE57/'T E&amp;G 4YR'!AE57*100</f>
        <v>30.547012911770508</v>
      </c>
      <c r="G59" s="64">
        <f>'SCHOLAR FELLOW 4yr'!AE57/'T E&amp;G 4YR'!AE57*100</f>
        <v>19.608380727947061</v>
      </c>
      <c r="H59" s="64">
        <f>('All Other 4yr'!AE57/'T E&amp;G 4YR'!AE57)*100</f>
        <v>0.15502041400135477</v>
      </c>
      <c r="I59" s="65">
        <f t="shared" si="25"/>
        <v>-2.8063231670536766</v>
      </c>
      <c r="J59" s="64">
        <f t="shared" si="26"/>
        <v>-0.25552276280989794</v>
      </c>
      <c r="K59" s="64">
        <f t="shared" si="27"/>
        <v>-1.4012734869829284</v>
      </c>
      <c r="L59" s="64">
        <f t="shared" si="28"/>
        <v>1.230045885833114</v>
      </c>
      <c r="M59" s="64">
        <f t="shared" si="29"/>
        <v>3.0944242577492389</v>
      </c>
      <c r="N59" s="64">
        <f t="shared" si="30"/>
        <v>0.13864927326416801</v>
      </c>
      <c r="O59" s="16"/>
      <c r="P59" s="37">
        <f>('Instruction-4YR'!Z57)/'T E&amp;G 4YR'!Z57*100</f>
        <v>31.919434213750314</v>
      </c>
      <c r="Q59" s="37">
        <f>('RESEARCH 4yr'!Z57)/('T E&amp;G 4YR'!Z57)*100</f>
        <v>12.173439110811767</v>
      </c>
      <c r="R59" s="37">
        <f>('PUBLIC SERVICE 4yr'!Z57)/('T E&amp;G 4YR'!Z57)*100</f>
        <v>10.059832038565501</v>
      </c>
      <c r="S59" s="37">
        <f>('ASptISptSSv 4yr'!Z57)/('T E&amp;G 4YR'!Z57)*100</f>
        <v>29.316967025937394</v>
      </c>
      <c r="T59" s="38">
        <f>('PLANT OPER MAIN 4yr'!Z57)/('T E&amp;G 4YR'!Z57)*100</f>
        <v>0</v>
      </c>
      <c r="U59" s="37">
        <f>('SCHOLAR FELLOW 4yr'!Z57)/('T E&amp;G 4YR'!Z57)*100</f>
        <v>16.513956470197822</v>
      </c>
      <c r="V59" s="36">
        <f>IF((('All Other 4yr'!Z57/'T E&amp;G 4YR'!Z57)*100)&gt;=0.005,('All Other 4yr'!Z57/'T E&amp;G 4YR'!Z57)*100,"*")</f>
        <v>1.6371140737186762E-2</v>
      </c>
      <c r="W59" s="16"/>
      <c r="X59" s="27">
        <f t="shared" si="11"/>
        <v>100</v>
      </c>
      <c r="Y59" s="27">
        <f t="shared" si="12"/>
        <v>100.00000000000001</v>
      </c>
      <c r="Z59" s="29"/>
    </row>
    <row r="60" spans="1:26" s="30" customFormat="1">
      <c r="A60" s="52" t="s">
        <v>72</v>
      </c>
      <c r="B60" s="52"/>
      <c r="C60" s="64">
        <f>'Instruction-4YR'!AE58/'T E&amp;G 4YR'!AE58*100</f>
        <v>35.272009443870971</v>
      </c>
      <c r="D60" s="64">
        <f>'RESEARCH 4yr'!AE58/'T E&amp;G 4YR'!AE58*100</f>
        <v>13.660815341117239</v>
      </c>
      <c r="E60" s="64">
        <f>'PUBLIC SERVICE 4yr'!AE58/'T E&amp;G 4YR'!AE58*100</f>
        <v>8.490508531344318</v>
      </c>
      <c r="F60" s="64">
        <f>'ASptISptSSv 4yr'!AE58/'T E&amp;G 4YR'!AE58*100</f>
        <v>26.87116007211371</v>
      </c>
      <c r="G60" s="64">
        <f>'SCHOLAR FELLOW 4yr'!AE58/'T E&amp;G 4YR'!AE58*100</f>
        <v>12.249082369070955</v>
      </c>
      <c r="H60" s="64">
        <f>('All Other 4yr'!AE58/'T E&amp;G 4YR'!AE58)*100</f>
        <v>3.4564242424828215</v>
      </c>
      <c r="I60" s="65">
        <f t="shared" si="25"/>
        <v>1.6161502515815727</v>
      </c>
      <c r="J60" s="64">
        <f t="shared" si="26"/>
        <v>-8.0121415736774892E-2</v>
      </c>
      <c r="K60" s="64">
        <f t="shared" si="27"/>
        <v>-6.1774134492340114</v>
      </c>
      <c r="L60" s="64">
        <f t="shared" si="28"/>
        <v>0.61636190009387803</v>
      </c>
      <c r="M60" s="64">
        <f t="shared" si="29"/>
        <v>2.141174546548708</v>
      </c>
      <c r="N60" s="64">
        <f t="shared" si="30"/>
        <v>1.883848166746656</v>
      </c>
      <c r="O60" s="16"/>
      <c r="P60" s="37">
        <f>('Instruction-4YR'!Z58)/'T E&amp;G 4YR'!Z58*100</f>
        <v>33.655859192289398</v>
      </c>
      <c r="Q60" s="37">
        <f>('RESEARCH 4yr'!Z58)/('T E&amp;G 4YR'!Z58)*100</f>
        <v>13.740936756854014</v>
      </c>
      <c r="R60" s="37">
        <f>('PUBLIC SERVICE 4yr'!Z58)/('T E&amp;G 4YR'!Z58)*100</f>
        <v>14.667921980578329</v>
      </c>
      <c r="S60" s="37">
        <f>('ASptISptSSv 4yr'!Z58)/('T E&amp;G 4YR'!Z58)*100</f>
        <v>26.254798172019832</v>
      </c>
      <c r="T60" s="38">
        <f>('PLANT OPER MAIN 4yr'!Z58)/('T E&amp;G 4YR'!Z58)*100</f>
        <v>0</v>
      </c>
      <c r="U60" s="37">
        <f>('SCHOLAR FELLOW 4yr'!Z58)/('T E&amp;G 4YR'!Z58)*100</f>
        <v>10.107907822522247</v>
      </c>
      <c r="V60" s="36">
        <f>IF((('All Other 4yr'!Z58/'T E&amp;G 4YR'!Z58)*100)&gt;=0.005,('All Other 4yr'!Z58/'T E&amp;G 4YR'!Z58)*100,"*")</f>
        <v>1.5725760757361655</v>
      </c>
      <c r="W60" s="16"/>
      <c r="X60" s="27">
        <f t="shared" si="11"/>
        <v>99.999999999999986</v>
      </c>
      <c r="Y60" s="27">
        <f t="shared" si="12"/>
        <v>100.00000000000003</v>
      </c>
      <c r="Z60" s="29"/>
    </row>
    <row r="61" spans="1:26" s="30" customFormat="1">
      <c r="A61" s="52" t="s">
        <v>73</v>
      </c>
      <c r="B61" s="52"/>
      <c r="C61" s="64">
        <f>'Instruction-4YR'!AE59/'T E&amp;G 4YR'!AE59*100</f>
        <v>31.100347506375897</v>
      </c>
      <c r="D61" s="64">
        <f>'RESEARCH 4yr'!AE59/'T E&amp;G 4YR'!AE59*100</f>
        <v>15.18427053581069</v>
      </c>
      <c r="E61" s="64">
        <f>'PUBLIC SERVICE 4yr'!AE59/'T E&amp;G 4YR'!AE59*100</f>
        <v>1.9689455426054783</v>
      </c>
      <c r="F61" s="64">
        <f>'ASptISptSSv 4yr'!AE59/'T E&amp;G 4YR'!AE59*100</f>
        <v>28.191658548378022</v>
      </c>
      <c r="G61" s="64">
        <f>'SCHOLAR FELLOW 4yr'!AE59/'T E&amp;G 4YR'!AE59*100</f>
        <v>23.554777747121168</v>
      </c>
      <c r="H61" s="64">
        <f>('All Other 4yr'!AE59/'T E&amp;G 4YR'!AE59)*100</f>
        <v>1.1970875511097128E-7</v>
      </c>
      <c r="I61" s="65">
        <f t="shared" si="25"/>
        <v>-5.8521448108502909</v>
      </c>
      <c r="J61" s="64">
        <f t="shared" si="26"/>
        <v>-2.5260635021205466</v>
      </c>
      <c r="K61" s="64">
        <f t="shared" si="27"/>
        <v>0.58220563578979645</v>
      </c>
      <c r="L61" s="64">
        <f t="shared" si="28"/>
        <v>4.1784120767785993</v>
      </c>
      <c r="M61" s="64">
        <f t="shared" si="29"/>
        <v>3.7235643039402966</v>
      </c>
      <c r="N61" s="64">
        <f t="shared" si="30"/>
        <v>-0.10597370353785009</v>
      </c>
      <c r="O61" s="16"/>
      <c r="P61" s="37">
        <f>('Instruction-4YR'!Z59)/'T E&amp;G 4YR'!Z59*100</f>
        <v>36.952492317226188</v>
      </c>
      <c r="Q61" s="37">
        <f>('RESEARCH 4yr'!Z59)/('T E&amp;G 4YR'!Z59)*100</f>
        <v>17.710334037931236</v>
      </c>
      <c r="R61" s="37">
        <f>('PUBLIC SERVICE 4yr'!Z59)/('T E&amp;G 4YR'!Z59)*100</f>
        <v>1.3867399068156818</v>
      </c>
      <c r="S61" s="37">
        <f>('ASptISptSSv 4yr'!Z59)/('T E&amp;G 4YR'!Z59)*100</f>
        <v>24.013246471599423</v>
      </c>
      <c r="T61" s="38">
        <f>('PLANT OPER MAIN 4yr'!Z59)/('T E&amp;G 4YR'!Z59)*100</f>
        <v>0</v>
      </c>
      <c r="U61" s="37">
        <f>('SCHOLAR FELLOW 4yr'!Z59)/('T E&amp;G 4YR'!Z59)*100</f>
        <v>19.831213443180872</v>
      </c>
      <c r="V61" s="36">
        <f>IF((('All Other 4yr'!Z59/'T E&amp;G 4YR'!Z59)*100)&gt;=0.005,('All Other 4yr'!Z59/'T E&amp;G 4YR'!Z59)*100,"*")</f>
        <v>0.1059738232466052</v>
      </c>
      <c r="W61" s="16"/>
      <c r="X61" s="27">
        <f t="shared" si="11"/>
        <v>100</v>
      </c>
      <c r="Y61" s="27">
        <f t="shared" si="12"/>
        <v>100.00000000000001</v>
      </c>
      <c r="Z61" s="29"/>
    </row>
    <row r="62" spans="1:26" s="30" customFormat="1">
      <c r="A62" s="53" t="s">
        <v>74</v>
      </c>
      <c r="B62" s="53"/>
      <c r="C62" s="62">
        <f>'Instruction-4YR'!AE60/'T E&amp;G 4YR'!AE60*100</f>
        <v>32.610127111262805</v>
      </c>
      <c r="D62" s="62">
        <f>'RESEARCH 4yr'!AE60/'T E&amp;G 4YR'!AE60*100</f>
        <v>11.784366784868995</v>
      </c>
      <c r="E62" s="62">
        <f>'PUBLIC SERVICE 4yr'!AE60/'T E&amp;G 4YR'!AE60*100</f>
        <v>4.8901785321966464</v>
      </c>
      <c r="F62" s="62">
        <f>'ASptISptSSv 4yr'!AE60/'T E&amp;G 4YR'!AE60*100</f>
        <v>30.957935818641147</v>
      </c>
      <c r="G62" s="62">
        <f>'SCHOLAR FELLOW 4yr'!AE60/'T E&amp;G 4YR'!AE60*100</f>
        <v>13.618024354085334</v>
      </c>
      <c r="H62" s="62">
        <f>('All Other 4yr'!AE60/'T E&amp;G 4YR'!AE60)*100</f>
        <v>6.139367398945085</v>
      </c>
      <c r="I62" s="63">
        <f t="shared" si="25"/>
        <v>-7.2788477298843333</v>
      </c>
      <c r="J62" s="62">
        <f t="shared" si="26"/>
        <v>-0.69038869978003881</v>
      </c>
      <c r="K62" s="62">
        <f t="shared" si="27"/>
        <v>0.54367990442893976</v>
      </c>
      <c r="L62" s="62">
        <f t="shared" si="28"/>
        <v>2.538262530567124</v>
      </c>
      <c r="M62" s="62">
        <f t="shared" si="29"/>
        <v>0.55685836872380534</v>
      </c>
      <c r="N62" s="62">
        <f t="shared" si="30"/>
        <v>4.3304356259445171</v>
      </c>
      <c r="O62" s="16"/>
      <c r="P62" s="37">
        <f>('Instruction-4YR'!Z60)/'T E&amp;G 4YR'!Z60*100</f>
        <v>39.888974841147139</v>
      </c>
      <c r="Q62" s="37">
        <f>('RESEARCH 4yr'!Z60)/('T E&amp;G 4YR'!Z60)*100</f>
        <v>12.474755484649034</v>
      </c>
      <c r="R62" s="37">
        <f>('PUBLIC SERVICE 4yr'!Z60)/('T E&amp;G 4YR'!Z60)*100</f>
        <v>4.3464986277677067</v>
      </c>
      <c r="S62" s="37">
        <f>('ASptISptSSv 4yr'!Z60)/('T E&amp;G 4YR'!Z60)*100</f>
        <v>28.419673288074023</v>
      </c>
      <c r="T62" s="38">
        <f>('PLANT OPER MAIN 4yr'!Z60)/('T E&amp;G 4YR'!Z60)*100</f>
        <v>0</v>
      </c>
      <c r="U62" s="37">
        <f>('SCHOLAR FELLOW 4yr'!Z60)/('T E&amp;G 4YR'!Z60)*100</f>
        <v>13.061165985361528</v>
      </c>
      <c r="V62" s="36">
        <f>IF((('All Other 4yr'!Z60/'T E&amp;G 4YR'!Z60)*100)&gt;=0.005,('All Other 4yr'!Z60/'T E&amp;G 4YR'!Z60)*100,"*")</f>
        <v>1.8089317730005681</v>
      </c>
      <c r="W62" s="16"/>
      <c r="X62" s="27">
        <f t="shared" si="11"/>
        <v>99.999999999999986</v>
      </c>
      <c r="Y62" s="27">
        <f t="shared" si="12"/>
        <v>100.00000000000001</v>
      </c>
      <c r="Z62" s="29"/>
    </row>
    <row r="63" spans="1:26" s="30" customFormat="1">
      <c r="A63" s="53" t="s">
        <v>75</v>
      </c>
      <c r="B63" s="53"/>
      <c r="C63" s="62">
        <f>'Instruction-4YR'!AE61/'T E&amp;G 4YR'!AE61*100</f>
        <v>41.603683272561021</v>
      </c>
      <c r="D63" s="62">
        <f>'RESEARCH 4yr'!AE61/'T E&amp;G 4YR'!AE61*100</f>
        <v>7.661432035708228</v>
      </c>
      <c r="E63" s="62">
        <f>'PUBLIC SERVICE 4yr'!AE61/'T E&amp;G 4YR'!AE61*100</f>
        <v>2.1235375592999617</v>
      </c>
      <c r="F63" s="62">
        <f>'ASptISptSSv 4yr'!AE61/'T E&amp;G 4YR'!AE61*100</f>
        <v>27.449627935536807</v>
      </c>
      <c r="G63" s="62">
        <f>'SCHOLAR FELLOW 4yr'!AE61/'T E&amp;G 4YR'!AE61*100</f>
        <v>16.887309250598097</v>
      </c>
      <c r="H63" s="62">
        <f>('All Other 4yr'!AE61/'T E&amp;G 4YR'!AE61)*100</f>
        <v>4.2744099462958802</v>
      </c>
      <c r="I63" s="63">
        <f t="shared" si="25"/>
        <v>-0.56717217797650221</v>
      </c>
      <c r="J63" s="62">
        <f t="shared" si="26"/>
        <v>-0.61793837281046127</v>
      </c>
      <c r="K63" s="62">
        <f t="shared" si="27"/>
        <v>-0.16980422780252757</v>
      </c>
      <c r="L63" s="62">
        <f t="shared" si="28"/>
        <v>-4.1879219569537405</v>
      </c>
      <c r="M63" s="62">
        <f t="shared" si="29"/>
        <v>1.9994140674869421</v>
      </c>
      <c r="N63" s="62">
        <f t="shared" si="30"/>
        <v>3.5434226680562873</v>
      </c>
      <c r="O63" s="16"/>
      <c r="P63" s="37">
        <f>('Instruction-4YR'!Z61)/'T E&amp;G 4YR'!Z61*100</f>
        <v>42.170855450537523</v>
      </c>
      <c r="Q63" s="37">
        <f>('RESEARCH 4yr'!Z61)/('T E&amp;G 4YR'!Z61)*100</f>
        <v>8.2793704085186892</v>
      </c>
      <c r="R63" s="37">
        <f>('PUBLIC SERVICE 4yr'!Z61)/('T E&amp;G 4YR'!Z61)*100</f>
        <v>2.2933417871024893</v>
      </c>
      <c r="S63" s="37">
        <f>('ASptISptSSv 4yr'!Z61)/('T E&amp;G 4YR'!Z61)*100</f>
        <v>31.637549892490547</v>
      </c>
      <c r="T63" s="38">
        <f>('PLANT OPER MAIN 4yr'!Z61)/('T E&amp;G 4YR'!Z61)*100</f>
        <v>0</v>
      </c>
      <c r="U63" s="37">
        <f>('SCHOLAR FELLOW 4yr'!Z61)/('T E&amp;G 4YR'!Z61)*100</f>
        <v>14.887895183111155</v>
      </c>
      <c r="V63" s="36">
        <f>IF((('All Other 4yr'!Z61/'T E&amp;G 4YR'!Z61)*100)&gt;=0.005,('All Other 4yr'!Z61/'T E&amp;G 4YR'!Z61)*100,"*")</f>
        <v>0.73098727823959309</v>
      </c>
      <c r="W63" s="16"/>
      <c r="X63" s="27">
        <f t="shared" si="11"/>
        <v>100</v>
      </c>
      <c r="Y63" s="27">
        <f t="shared" si="12"/>
        <v>99.999999999999986</v>
      </c>
      <c r="Z63" s="29"/>
    </row>
    <row r="64" spans="1:26" s="30" customFormat="1">
      <c r="A64" s="53" t="s">
        <v>76</v>
      </c>
      <c r="B64" s="53"/>
      <c r="C64" s="62">
        <f>'Instruction-4YR'!AE62/'T E&amp;G 4YR'!AE62*100</f>
        <v>39.036259953197323</v>
      </c>
      <c r="D64" s="62">
        <f>'RESEARCH 4yr'!AE62/'T E&amp;G 4YR'!AE62*100</f>
        <v>0.43548134871024841</v>
      </c>
      <c r="E64" s="62">
        <f>'PUBLIC SERVICE 4yr'!AE62/'T E&amp;G 4YR'!AE62*100</f>
        <v>2.8538636761462519</v>
      </c>
      <c r="F64" s="62">
        <f>'ASptISptSSv 4yr'!AE62/'T E&amp;G 4YR'!AE62*100</f>
        <v>34.216576402367672</v>
      </c>
      <c r="G64" s="62">
        <f>'SCHOLAR FELLOW 4yr'!AE62/'T E&amp;G 4YR'!AE62*100</f>
        <v>14.791842407549268</v>
      </c>
      <c r="H64" s="62">
        <f>('All Other 4yr'!AE62/'T E&amp;G 4YR'!AE62)*100</f>
        <v>8.665976212029241</v>
      </c>
      <c r="I64" s="63">
        <f t="shared" si="25"/>
        <v>-5.6655605017136779</v>
      </c>
      <c r="J64" s="62">
        <f t="shared" si="26"/>
        <v>0.11928428023750315</v>
      </c>
      <c r="K64" s="62">
        <f t="shared" si="27"/>
        <v>0.54441256954692507</v>
      </c>
      <c r="L64" s="62">
        <f t="shared" si="28"/>
        <v>-3.1790506207938947</v>
      </c>
      <c r="M64" s="62">
        <f t="shared" si="29"/>
        <v>-0.48506193930608887</v>
      </c>
      <c r="N64" s="62">
        <f t="shared" si="30"/>
        <v>8.665976212029241</v>
      </c>
      <c r="O64" s="16"/>
      <c r="P64" s="37">
        <f>('Instruction-4YR'!Z62)/'T E&amp;G 4YR'!Z62*100</f>
        <v>44.701820454911001</v>
      </c>
      <c r="Q64" s="37">
        <f>('RESEARCH 4yr'!Z62)/('T E&amp;G 4YR'!Z62)*100</f>
        <v>0.31619706847274526</v>
      </c>
      <c r="R64" s="37">
        <f>('PUBLIC SERVICE 4yr'!Z62)/('T E&amp;G 4YR'!Z62)*100</f>
        <v>2.3094511065993268</v>
      </c>
      <c r="S64" s="37">
        <f>('ASptISptSSv 4yr'!Z62)/('T E&amp;G 4YR'!Z62)*100</f>
        <v>37.395627023161566</v>
      </c>
      <c r="T64" s="38">
        <f>('PLANT OPER MAIN 4yr'!Z62)/('T E&amp;G 4YR'!Z62)*100</f>
        <v>0</v>
      </c>
      <c r="U64" s="37">
        <f>('SCHOLAR FELLOW 4yr'!Z62)/('T E&amp;G 4YR'!Z62)*100</f>
        <v>15.276904346855357</v>
      </c>
      <c r="V64" s="36" t="str">
        <f>IF((('All Other 4yr'!Z62/'T E&amp;G 4YR'!Z62)*100)&gt;=0.005,('All Other 4yr'!Z62/'T E&amp;G 4YR'!Z62)*100,"*")</f>
        <v>*</v>
      </c>
      <c r="W64" s="16"/>
      <c r="X64" s="27">
        <f t="shared" si="11"/>
        <v>100</v>
      </c>
      <c r="Y64" s="27">
        <f t="shared" si="12"/>
        <v>100</v>
      </c>
      <c r="Z64" s="29"/>
    </row>
    <row r="65" spans="1:30" s="30" customFormat="1">
      <c r="A65" s="53" t="s">
        <v>77</v>
      </c>
      <c r="B65" s="53"/>
      <c r="C65" s="62">
        <f>'Instruction-4YR'!AE63/'T E&amp;G 4YR'!AE63*100</f>
        <v>29.402699404063338</v>
      </c>
      <c r="D65" s="62">
        <f>'RESEARCH 4yr'!AE63/'T E&amp;G 4YR'!AE63*100</f>
        <v>16.041969201398995</v>
      </c>
      <c r="E65" s="62">
        <f>'PUBLIC SERVICE 4yr'!AE63/'T E&amp;G 4YR'!AE63*100</f>
        <v>1.512744512263692</v>
      </c>
      <c r="F65" s="62">
        <f>'ASptISptSSv 4yr'!AE63/'T E&amp;G 4YR'!AE63*100</f>
        <v>27.598535501208669</v>
      </c>
      <c r="G65" s="62">
        <f>'SCHOLAR FELLOW 4yr'!AE63/'T E&amp;G 4YR'!AE63*100</f>
        <v>22.865272101126134</v>
      </c>
      <c r="H65" s="62">
        <f>('All Other 4yr'!AE63/'T E&amp;G 4YR'!AE63)*100</f>
        <v>2.5787792799391722</v>
      </c>
      <c r="I65" s="63">
        <f t="shared" si="25"/>
        <v>-0.23274119929522641</v>
      </c>
      <c r="J65" s="62">
        <f t="shared" si="26"/>
        <v>-1.2566554771477065</v>
      </c>
      <c r="K65" s="62">
        <f t="shared" si="27"/>
        <v>-0.29766189399096299</v>
      </c>
      <c r="L65" s="62">
        <f t="shared" si="28"/>
        <v>-1.262228065862665</v>
      </c>
      <c r="M65" s="62">
        <f t="shared" si="29"/>
        <v>0.47050735635739471</v>
      </c>
      <c r="N65" s="62">
        <f t="shared" si="30"/>
        <v>2.5787792799391722</v>
      </c>
      <c r="O65" s="16"/>
      <c r="P65" s="37">
        <f>('Instruction-4YR'!Z63)/'T E&amp;G 4YR'!Z63*100</f>
        <v>29.635440603358564</v>
      </c>
      <c r="Q65" s="37">
        <f>('RESEARCH 4yr'!Z63)/('T E&amp;G 4YR'!Z63)*100</f>
        <v>17.298624678546702</v>
      </c>
      <c r="R65" s="37">
        <f>('PUBLIC SERVICE 4yr'!Z63)/('T E&amp;G 4YR'!Z63)*100</f>
        <v>1.810406406254655</v>
      </c>
      <c r="S65" s="37">
        <f>('ASptISptSSv 4yr'!Z63)/('T E&amp;G 4YR'!Z63)*100</f>
        <v>28.860763567071334</v>
      </c>
      <c r="T65" s="38">
        <f>('PLANT OPER MAIN 4yr'!Z63)/('T E&amp;G 4YR'!Z63)*100</f>
        <v>0</v>
      </c>
      <c r="U65" s="37">
        <f>('SCHOLAR FELLOW 4yr'!Z63)/('T E&amp;G 4YR'!Z63)*100</f>
        <v>22.394764744768739</v>
      </c>
      <c r="V65" s="36" t="str">
        <f>IF((('All Other 4yr'!Z63/'T E&amp;G 4YR'!Z63)*100)&gt;=0.005,('All Other 4yr'!Z63/'T E&amp;G 4YR'!Z63)*100,"*")</f>
        <v>*</v>
      </c>
      <c r="W65" s="16"/>
      <c r="X65" s="27">
        <f t="shared" si="11"/>
        <v>99.999999999999986</v>
      </c>
      <c r="Y65" s="27">
        <f t="shared" si="12"/>
        <v>100</v>
      </c>
      <c r="Z65" s="29"/>
      <c r="AA65" s="29"/>
      <c r="AB65" s="29"/>
      <c r="AC65" s="29"/>
      <c r="AD65" s="29"/>
    </row>
    <row r="66" spans="1:30" s="30" customFormat="1">
      <c r="A66" s="54" t="s">
        <v>78</v>
      </c>
      <c r="B66" s="54"/>
      <c r="C66" s="60">
        <f>'Instruction-4YR'!AE64/'T E&amp;G 4YR'!AE64*100</f>
        <v>29.462571332115552</v>
      </c>
      <c r="D66" s="60">
        <f>'RESEARCH 4yr'!AE64/'T E&amp;G 4YR'!AE64*100</f>
        <v>12.082155123879801</v>
      </c>
      <c r="E66" s="60">
        <f>'PUBLIC SERVICE 4yr'!AE64/'T E&amp;G 4YR'!AE64*100</f>
        <v>9.1951395994575957</v>
      </c>
      <c r="F66" s="60">
        <f>'ASptISptSSv 4yr'!AE64/'T E&amp;G 4YR'!AE64*100</f>
        <v>26.952418880685723</v>
      </c>
      <c r="G66" s="60">
        <f>'SCHOLAR FELLOW 4yr'!AE64/'T E&amp;G 4YR'!AE64*100</f>
        <v>19.624270676428857</v>
      </c>
      <c r="H66" s="97">
        <f>('All Other 4yr'!AE64/'T E&amp;G 4YR'!AE64)*100</f>
        <v>2.6834443874324734</v>
      </c>
      <c r="I66" s="61">
        <f t="shared" si="25"/>
        <v>-1.2480405372589658</v>
      </c>
      <c r="J66" s="104">
        <f t="shared" si="26"/>
        <v>-3.1136708788990219E-2</v>
      </c>
      <c r="K66" s="104">
        <f t="shared" si="27"/>
        <v>-4.5464322061015139E-2</v>
      </c>
      <c r="L66" s="60">
        <f t="shared" si="28"/>
        <v>-1.6062342084030981</v>
      </c>
      <c r="M66" s="60">
        <f t="shared" si="29"/>
        <v>3.4656617588553402</v>
      </c>
      <c r="N66" s="60">
        <f t="shared" si="30"/>
        <v>-0.53478598234327457</v>
      </c>
      <c r="O66" s="16"/>
      <c r="P66" s="37">
        <f>('Instruction-4YR'!Z64)/'T E&amp;G 4YR'!Z64*100</f>
        <v>30.710611869374517</v>
      </c>
      <c r="Q66" s="37">
        <f>('RESEARCH 4yr'!Z64)/('T E&amp;G 4YR'!Z64)*100</f>
        <v>12.113291832668791</v>
      </c>
      <c r="R66" s="37">
        <f>('PUBLIC SERVICE 4yr'!Z64)/('T E&amp;G 4YR'!Z64)*100</f>
        <v>9.2406039215186109</v>
      </c>
      <c r="S66" s="37">
        <f>('ASptISptSSv 4yr'!Z64)/('T E&amp;G 4YR'!Z64)*100</f>
        <v>28.558653089088821</v>
      </c>
      <c r="T66" s="38">
        <f>('PLANT OPER MAIN 4yr'!Z64)/('T E&amp;G 4YR'!Z64)*100</f>
        <v>0</v>
      </c>
      <c r="U66" s="37">
        <f>('SCHOLAR FELLOW 4yr'!Z64)/('T E&amp;G 4YR'!Z64)*100</f>
        <v>16.158608917573517</v>
      </c>
      <c r="V66" s="36">
        <f>IF((('All Other 4yr'!Z64/'T E&amp;G 4YR'!Z64)*100)&gt;=0.005,('All Other 4yr'!Z64/'T E&amp;G 4YR'!Z64)*100,"*")</f>
        <v>3.2182303697757479</v>
      </c>
      <c r="W66" s="16"/>
      <c r="X66" s="27">
        <f t="shared" si="11"/>
        <v>100.00000000000001</v>
      </c>
      <c r="Y66" s="27">
        <f t="shared" si="12"/>
        <v>100</v>
      </c>
      <c r="Z66" s="29"/>
      <c r="AA66" s="29"/>
      <c r="AB66" s="29"/>
      <c r="AC66" s="29"/>
      <c r="AD66" s="29"/>
    </row>
    <row r="67" spans="1:30" s="30" customFormat="1">
      <c r="A67" s="45" t="s">
        <v>79</v>
      </c>
      <c r="B67" s="45"/>
      <c r="C67" s="60">
        <f>'Instruction-4YR'!AE65/'T E&amp;G 4YR'!AE65*100</f>
        <v>22.636404468108399</v>
      </c>
      <c r="D67" s="60">
        <f>'RESEARCH 4yr'!AE65/'T E&amp;G 4YR'!AE65*100</f>
        <v>2.8955508204947935</v>
      </c>
      <c r="E67" s="60">
        <f>'PUBLIC SERVICE 4yr'!AE65/'T E&amp;G 4YR'!AE65*100</f>
        <v>1.5468879787359417</v>
      </c>
      <c r="F67" s="60">
        <f>'ASptISptSSv 4yr'!AE65/'T E&amp;G 4YR'!AE65*100</f>
        <v>41.613808244759888</v>
      </c>
      <c r="G67" s="60">
        <f>'SCHOLAR FELLOW 4yr'!AE65/'T E&amp;G 4YR'!AE65*100</f>
        <v>11.162495021499378</v>
      </c>
      <c r="H67" s="97">
        <f>('All Other 4yr'!AE65/'T E&amp;G 4YR'!AE65)*100</f>
        <v>20.144853466401599</v>
      </c>
      <c r="I67" s="71">
        <f t="shared" si="25"/>
        <v>-16.240098679059503</v>
      </c>
      <c r="J67" s="70">
        <f t="shared" si="26"/>
        <v>-0.49459845414927228</v>
      </c>
      <c r="K67" s="70">
        <f t="shared" si="27"/>
        <v>-0.46479379377664531</v>
      </c>
      <c r="L67" s="70">
        <f t="shared" si="28"/>
        <v>9.7423188547849975</v>
      </c>
      <c r="M67" s="70">
        <f t="shared" si="29"/>
        <v>-3.7527902384243053</v>
      </c>
      <c r="N67" s="70">
        <f t="shared" si="30"/>
        <v>11.209962310624721</v>
      </c>
      <c r="O67" s="16"/>
      <c r="P67" s="37">
        <f>('Instruction-4YR'!Z65)/'T E&amp;G 4YR'!Z65*100</f>
        <v>38.876503147167902</v>
      </c>
      <c r="Q67" s="37">
        <f>('RESEARCH 4yr'!Z65)/('T E&amp;G 4YR'!Z65)*100</f>
        <v>3.3901492746440658</v>
      </c>
      <c r="R67" s="37">
        <f>('PUBLIC SERVICE 4yr'!Z65)/('T E&amp;G 4YR'!Z65)*100</f>
        <v>2.0116817725125871</v>
      </c>
      <c r="S67" s="37">
        <f>('ASptISptSSv 4yr'!Z65)/('T E&amp;G 4YR'!Z65)*100</f>
        <v>31.87148938997489</v>
      </c>
      <c r="T67" s="38">
        <f>('PLANT OPER MAIN 4yr'!Z65)/('T E&amp;G 4YR'!Z65)*100</f>
        <v>0</v>
      </c>
      <c r="U67" s="37">
        <f>('SCHOLAR FELLOW 4yr'!Z65)/('T E&amp;G 4YR'!Z65)*100</f>
        <v>14.915285259923683</v>
      </c>
      <c r="V67" s="36">
        <f>IF((('All Other 4yr'!Z65/'T E&amp;G 4YR'!Z65)*100)&gt;=0.005,('All Other 4yr'!Z65/'T E&amp;G 4YR'!Z65)*100,"*")</f>
        <v>8.934891155776878</v>
      </c>
      <c r="W67" s="16"/>
      <c r="X67" s="27">
        <f t="shared" si="11"/>
        <v>100</v>
      </c>
      <c r="Y67" s="27">
        <f t="shared" si="12"/>
        <v>100</v>
      </c>
      <c r="Z67" s="29"/>
      <c r="AA67" s="29"/>
      <c r="AB67" s="29"/>
      <c r="AC67" s="29"/>
      <c r="AD67" s="29"/>
    </row>
    <row r="68" spans="1:30" s="30" customFormat="1">
      <c r="A68" s="21"/>
      <c r="B68"/>
      <c r="C68"/>
      <c r="D68"/>
      <c r="E68"/>
      <c r="F68"/>
      <c r="G68"/>
      <c r="H68"/>
      <c r="I68" s="29"/>
      <c r="J68" s="29"/>
      <c r="K68" s="28"/>
      <c r="L68" s="28"/>
      <c r="M68" s="28"/>
      <c r="N68" s="28"/>
      <c r="O68" s="16"/>
      <c r="P68" s="37"/>
      <c r="Q68" s="37"/>
      <c r="R68" s="37"/>
      <c r="S68" s="37"/>
      <c r="T68" s="38"/>
      <c r="U68" s="37"/>
      <c r="V68" s="36"/>
      <c r="W68" s="16"/>
      <c r="X68" s="29"/>
      <c r="Y68" s="29"/>
      <c r="Z68" s="29"/>
      <c r="AA68" s="29"/>
      <c r="AB68" s="29"/>
      <c r="AC68" s="29"/>
      <c r="AD68" s="29"/>
    </row>
    <row r="69" spans="1:30" ht="115.5" customHeight="1">
      <c r="A69" s="111" t="s">
        <v>80</v>
      </c>
      <c r="B69" s="110"/>
      <c r="C69" s="110"/>
      <c r="D69" s="110"/>
      <c r="E69" s="110"/>
      <c r="F69" s="110"/>
      <c r="G69" s="110"/>
      <c r="H69" s="110"/>
      <c r="I69" s="111" t="s">
        <v>81</v>
      </c>
      <c r="J69" s="112"/>
      <c r="K69" s="112"/>
      <c r="L69" s="112"/>
      <c r="M69" s="112"/>
      <c r="N69" s="112"/>
      <c r="O69" s="17"/>
      <c r="P69" s="102" t="s">
        <v>82</v>
      </c>
      <c r="Q69" s="37"/>
      <c r="R69" s="37"/>
      <c r="S69" s="37"/>
      <c r="T69" s="38"/>
      <c r="U69" s="37"/>
      <c r="V69" s="36"/>
      <c r="W69" s="17"/>
      <c r="X69" s="1"/>
      <c r="Y69" s="14"/>
      <c r="Z69" s="1"/>
      <c r="AA69" s="1"/>
      <c r="AB69" s="1"/>
      <c r="AC69" s="1"/>
      <c r="AD69" s="1"/>
    </row>
    <row r="70" spans="1:30" ht="51" customHeight="1">
      <c r="A70" s="111" t="s">
        <v>83</v>
      </c>
      <c r="B70" s="110"/>
      <c r="C70" s="110"/>
      <c r="D70" s="110"/>
      <c r="E70" s="110"/>
      <c r="F70" s="110"/>
      <c r="G70" s="110"/>
      <c r="H70" s="110"/>
      <c r="I70" s="31"/>
      <c r="J70" s="14"/>
      <c r="K70" s="14"/>
      <c r="L70" s="14"/>
      <c r="M70" s="14"/>
      <c r="N70" s="14"/>
      <c r="O70" s="17"/>
      <c r="P70" s="37"/>
      <c r="Q70" s="37"/>
      <c r="R70" s="37"/>
      <c r="S70" s="37"/>
      <c r="T70" s="38"/>
      <c r="U70" s="37"/>
      <c r="V70" s="36"/>
      <c r="W70" s="17"/>
      <c r="X70" s="1"/>
      <c r="Y70" s="14"/>
      <c r="Z70" s="1"/>
      <c r="AA70" s="1"/>
      <c r="AB70" s="1"/>
      <c r="AC70" s="1"/>
      <c r="AD70" s="1"/>
    </row>
    <row r="71" spans="1:30" ht="47.25" customHeight="1">
      <c r="A71" s="111" t="s">
        <v>84</v>
      </c>
      <c r="B71" s="110"/>
      <c r="C71" s="110"/>
      <c r="D71" s="110"/>
      <c r="E71" s="110"/>
      <c r="F71" s="110"/>
      <c r="G71" s="110"/>
      <c r="H71" s="110"/>
      <c r="I71" s="31"/>
      <c r="J71" s="14"/>
      <c r="K71" s="14"/>
      <c r="L71" s="14"/>
      <c r="M71" s="14"/>
      <c r="N71" s="14"/>
      <c r="O71" s="17"/>
      <c r="P71" s="17"/>
      <c r="Q71" s="17"/>
      <c r="R71" s="17"/>
      <c r="S71" s="17"/>
      <c r="T71" s="17"/>
      <c r="U71" s="17"/>
      <c r="V71" s="17"/>
      <c r="W71" s="17"/>
      <c r="X71" s="1"/>
      <c r="Y71" s="14"/>
      <c r="Z71" s="1"/>
      <c r="AA71" s="1"/>
      <c r="AB71" s="1"/>
      <c r="AC71" s="1"/>
      <c r="AD71" s="1"/>
    </row>
    <row r="72" spans="1:30" ht="14.25">
      <c r="A72" s="109"/>
      <c r="B72" s="110"/>
      <c r="C72" s="110"/>
      <c r="D72" s="110"/>
      <c r="E72" s="110"/>
      <c r="F72" s="110"/>
      <c r="G72" s="110"/>
      <c r="H72" s="110"/>
      <c r="I72" s="31"/>
      <c r="J72" s="14"/>
      <c r="K72" s="14"/>
      <c r="L72" s="14"/>
      <c r="M72" s="14"/>
      <c r="N72" s="14" t="s">
        <v>85</v>
      </c>
      <c r="O72" s="17"/>
      <c r="P72" s="17"/>
      <c r="Q72" s="17"/>
      <c r="R72" s="17"/>
      <c r="S72" s="17"/>
      <c r="T72" s="17"/>
      <c r="U72" s="17"/>
      <c r="V72" s="17"/>
      <c r="W72" s="17"/>
      <c r="X72" s="1"/>
      <c r="Y72" s="14"/>
      <c r="Z72" s="1"/>
      <c r="AA72" s="1"/>
      <c r="AB72" s="1"/>
      <c r="AC72" s="1"/>
      <c r="AD72" s="1"/>
    </row>
    <row r="73" spans="1:30">
      <c r="A73" s="26"/>
      <c r="B73" s="26"/>
      <c r="C73" s="26"/>
      <c r="D73" s="26"/>
      <c r="E73" s="26"/>
      <c r="F73" s="26"/>
      <c r="G73" s="26"/>
      <c r="H73" s="26"/>
      <c r="I73" s="26"/>
      <c r="J73" s="26"/>
      <c r="K73" s="26"/>
      <c r="L73" s="26"/>
      <c r="M73" s="14"/>
      <c r="N73" s="18"/>
      <c r="O73"/>
      <c r="P73"/>
      <c r="Q73"/>
      <c r="R73"/>
      <c r="S73"/>
      <c r="T73"/>
      <c r="U73"/>
      <c r="V73"/>
      <c r="W73"/>
    </row>
    <row r="74" spans="1:30">
      <c r="A74" s="1"/>
      <c r="B74" s="1"/>
      <c r="C74" s="1"/>
      <c r="D74" s="1"/>
      <c r="E74" s="1"/>
      <c r="F74" s="1"/>
      <c r="G74" s="1"/>
      <c r="H74" s="1"/>
      <c r="I74" s="1"/>
      <c r="J74" s="1"/>
      <c r="K74" s="1"/>
      <c r="L74" s="1"/>
      <c r="M74" s="1"/>
      <c r="N74" s="1"/>
      <c r="O74" s="8"/>
      <c r="P74" s="8"/>
      <c r="Q74" s="8"/>
      <c r="R74" s="8"/>
      <c r="S74" s="8"/>
      <c r="T74" s="8"/>
      <c r="U74" s="8"/>
      <c r="V74" s="8"/>
      <c r="W74" s="8"/>
      <c r="X74" s="1"/>
      <c r="Y74" s="1"/>
      <c r="Z74" s="1"/>
      <c r="AA74" s="1"/>
      <c r="AB74" s="1"/>
      <c r="AC74" s="1"/>
      <c r="AD74" s="1"/>
    </row>
    <row r="75" spans="1:30">
      <c r="A75" s="1"/>
      <c r="B75" s="1"/>
      <c r="C75" s="1"/>
      <c r="D75" s="1"/>
      <c r="E75" s="1"/>
      <c r="F75" s="1"/>
      <c r="G75" s="1"/>
      <c r="H75" s="1"/>
      <c r="I75" s="1"/>
      <c r="J75" s="1"/>
      <c r="K75" s="1"/>
      <c r="L75" s="1"/>
      <c r="M75" s="1"/>
      <c r="N75" s="1"/>
      <c r="O75" s="8"/>
      <c r="P75" s="8"/>
      <c r="Q75" s="8"/>
      <c r="R75" s="8"/>
      <c r="S75" s="8"/>
      <c r="T75" s="8"/>
      <c r="U75" s="8"/>
      <c r="V75" s="8"/>
      <c r="W75" s="8"/>
      <c r="X75" s="1"/>
      <c r="Y75" s="1"/>
      <c r="Z75" s="1"/>
      <c r="AA75" s="1"/>
      <c r="AB75" s="1"/>
      <c r="AC75" s="1"/>
      <c r="AD75" s="1"/>
    </row>
    <row r="76" spans="1:30">
      <c r="A76" s="1"/>
      <c r="B76" s="1"/>
      <c r="C76" s="1"/>
      <c r="D76" s="1"/>
      <c r="E76" s="1"/>
      <c r="F76" s="1"/>
      <c r="G76" s="1"/>
      <c r="H76" s="1"/>
      <c r="I76" s="1"/>
      <c r="J76" s="1"/>
      <c r="K76" s="1"/>
      <c r="L76" s="1"/>
      <c r="M76" s="1"/>
      <c r="N76" s="1"/>
      <c r="O76" s="8"/>
      <c r="P76" s="8"/>
      <c r="Q76" s="8"/>
      <c r="R76" s="8"/>
      <c r="S76" s="8"/>
      <c r="T76" s="8"/>
      <c r="U76" s="8"/>
      <c r="V76" s="8"/>
      <c r="W76" s="8"/>
      <c r="X76" s="1"/>
      <c r="Y76" s="1"/>
      <c r="Z76" s="1"/>
      <c r="AA76" s="1"/>
      <c r="AB76" s="1"/>
      <c r="AC76" s="1"/>
      <c r="AD76" s="1"/>
    </row>
    <row r="77" spans="1:30">
      <c r="A77" s="1"/>
      <c r="B77" s="1"/>
      <c r="C77" s="1"/>
      <c r="D77" s="1"/>
      <c r="E77" s="1"/>
      <c r="F77" s="1"/>
      <c r="G77" s="1"/>
      <c r="H77" s="1"/>
      <c r="I77" s="1"/>
      <c r="J77" s="1"/>
      <c r="K77" s="1"/>
      <c r="L77" s="1"/>
      <c r="M77" s="1"/>
      <c r="N77" s="1"/>
      <c r="O77" s="8"/>
      <c r="P77" s="8"/>
      <c r="Q77" s="8"/>
      <c r="R77" s="8"/>
      <c r="S77" s="8"/>
      <c r="T77" s="8"/>
      <c r="U77" s="8"/>
      <c r="V77" s="8"/>
      <c r="W77" s="8"/>
      <c r="X77" s="1"/>
      <c r="Y77" s="1"/>
      <c r="Z77" s="1"/>
      <c r="AA77" s="1"/>
      <c r="AB77" s="1"/>
      <c r="AC77" s="1"/>
      <c r="AD77" s="1"/>
    </row>
    <row r="78" spans="1:30">
      <c r="A78" s="1"/>
      <c r="B78" s="1"/>
      <c r="C78" s="1"/>
      <c r="D78" s="1"/>
      <c r="E78" s="1"/>
      <c r="F78" s="1"/>
      <c r="G78" s="1"/>
      <c r="H78" s="1"/>
      <c r="I78" s="1"/>
      <c r="J78" s="1"/>
      <c r="K78" s="1"/>
      <c r="L78" s="1"/>
      <c r="M78" s="1"/>
      <c r="N78" s="1"/>
      <c r="O78" s="8"/>
      <c r="P78" s="8"/>
      <c r="Q78" s="8"/>
      <c r="R78" s="8"/>
      <c r="S78" s="8"/>
      <c r="T78" s="8"/>
      <c r="U78" s="8"/>
      <c r="V78" s="8"/>
      <c r="W78" s="8"/>
      <c r="X78" s="1"/>
      <c r="Y78" s="1"/>
      <c r="Z78" s="1"/>
      <c r="AA78" s="1"/>
      <c r="AB78" s="1"/>
      <c r="AC78" s="1"/>
      <c r="AD78" s="1"/>
    </row>
    <row r="79" spans="1:30">
      <c r="A79" s="1"/>
      <c r="B79" s="1"/>
      <c r="C79" s="1"/>
      <c r="D79" s="1"/>
      <c r="E79" s="1"/>
      <c r="F79" s="1"/>
      <c r="G79" s="1"/>
      <c r="H79" s="1"/>
      <c r="I79" s="1"/>
      <c r="J79" s="1"/>
      <c r="K79" s="1"/>
      <c r="L79" s="1"/>
      <c r="M79" s="1"/>
      <c r="N79" s="1"/>
      <c r="O79" s="8"/>
      <c r="P79" s="8"/>
      <c r="Q79" s="8"/>
      <c r="R79" s="8"/>
      <c r="S79" s="8"/>
      <c r="T79" s="8"/>
      <c r="U79" s="8"/>
      <c r="V79" s="8"/>
      <c r="W79" s="8"/>
      <c r="X79" s="1"/>
      <c r="Y79" s="1"/>
      <c r="Z79" s="1"/>
      <c r="AA79" s="1"/>
      <c r="AB79" s="1"/>
      <c r="AC79" s="1"/>
      <c r="AD79" s="1"/>
    </row>
    <row r="80" spans="1:30">
      <c r="A80" s="1"/>
      <c r="B80" s="1"/>
      <c r="C80" s="1"/>
      <c r="D80" s="1"/>
      <c r="E80" s="1"/>
      <c r="F80" s="1"/>
      <c r="G80" s="1"/>
      <c r="H80" s="1"/>
      <c r="I80" s="1"/>
      <c r="J80" s="1"/>
      <c r="K80" s="1"/>
      <c r="L80" s="1"/>
      <c r="M80" s="1"/>
      <c r="N80" s="1"/>
      <c r="O80" s="8"/>
      <c r="P80" s="8"/>
      <c r="Q80" s="8"/>
      <c r="R80" s="8"/>
      <c r="S80" s="8"/>
      <c r="T80" s="8"/>
      <c r="U80" s="8"/>
      <c r="V80" s="8"/>
      <c r="W80" s="8"/>
      <c r="X80" s="1"/>
      <c r="Y80" s="1"/>
      <c r="Z80" s="1"/>
      <c r="AA80" s="1"/>
      <c r="AB80" s="1"/>
      <c r="AC80" s="1"/>
      <c r="AD80" s="1"/>
    </row>
    <row r="81" spans="1:30">
      <c r="A81" s="1"/>
      <c r="B81" s="1"/>
      <c r="C81" s="1"/>
      <c r="D81" s="1"/>
      <c r="E81" s="1"/>
      <c r="F81" s="1"/>
      <c r="G81" s="1"/>
      <c r="H81" s="1"/>
      <c r="I81" s="1"/>
      <c r="J81" s="1"/>
      <c r="K81" s="1"/>
      <c r="L81" s="1"/>
      <c r="M81" s="1"/>
      <c r="N81" s="1"/>
      <c r="O81" s="8"/>
      <c r="P81" s="8"/>
      <c r="Q81" s="8"/>
      <c r="R81" s="8"/>
      <c r="S81" s="8"/>
      <c r="T81" s="8"/>
      <c r="U81" s="8"/>
      <c r="V81" s="8"/>
      <c r="W81" s="8"/>
      <c r="X81" s="1"/>
      <c r="Y81" s="1"/>
      <c r="Z81" s="1"/>
      <c r="AA81" s="1"/>
      <c r="AB81" s="1"/>
      <c r="AC81" s="1"/>
      <c r="AD81" s="1"/>
    </row>
    <row r="82" spans="1:30">
      <c r="A82" s="1"/>
      <c r="B82" s="1"/>
      <c r="C82" s="1"/>
      <c r="D82" s="1"/>
      <c r="E82" s="1"/>
      <c r="F82" s="1"/>
      <c r="G82" s="1"/>
      <c r="H82" s="1"/>
      <c r="I82" s="1"/>
      <c r="J82" s="1"/>
      <c r="K82" s="1"/>
      <c r="L82" s="1"/>
      <c r="M82" s="1"/>
      <c r="N82" s="1"/>
      <c r="O82" s="8"/>
      <c r="P82" s="8"/>
      <c r="Q82" s="8"/>
      <c r="R82" s="8"/>
      <c r="S82" s="8"/>
      <c r="T82" s="8"/>
      <c r="U82" s="8"/>
      <c r="V82" s="8"/>
      <c r="W82" s="8"/>
      <c r="X82" s="1"/>
      <c r="Y82" s="1"/>
      <c r="Z82" s="1"/>
      <c r="AA82" s="1"/>
      <c r="AB82" s="1"/>
      <c r="AC82" s="1"/>
      <c r="AD82" s="1"/>
    </row>
    <row r="83" spans="1:30">
      <c r="A83" s="1"/>
      <c r="B83" s="1"/>
      <c r="C83" s="1"/>
      <c r="D83" s="1"/>
      <c r="E83" s="1"/>
      <c r="F83" s="1"/>
      <c r="G83" s="1"/>
      <c r="H83" s="1"/>
      <c r="I83" s="1"/>
      <c r="J83" s="1"/>
      <c r="K83" s="1"/>
      <c r="L83" s="1"/>
      <c r="M83" s="1"/>
      <c r="N83" s="1"/>
      <c r="O83" s="8"/>
      <c r="P83" s="8"/>
      <c r="Q83" s="8"/>
      <c r="R83" s="8"/>
      <c r="S83" s="8"/>
      <c r="T83" s="8"/>
      <c r="U83" s="8"/>
      <c r="V83" s="8"/>
      <c r="W83" s="8"/>
      <c r="X83" s="1"/>
      <c r="Y83" s="1"/>
      <c r="Z83" s="1"/>
      <c r="AA83" s="1"/>
      <c r="AB83" s="1"/>
      <c r="AC83" s="1"/>
      <c r="AD83" s="1"/>
    </row>
    <row r="84" spans="1:30">
      <c r="A84" s="1"/>
      <c r="B84" s="1"/>
      <c r="C84" s="1"/>
      <c r="D84" s="1"/>
      <c r="E84" s="1"/>
      <c r="F84" s="1"/>
      <c r="G84" s="1"/>
      <c r="H84" s="1"/>
      <c r="I84" s="1"/>
      <c r="J84" s="1"/>
      <c r="K84" s="1"/>
      <c r="L84" s="1"/>
      <c r="M84" s="1"/>
      <c r="N84" s="1"/>
      <c r="O84" s="8"/>
      <c r="P84" s="8"/>
      <c r="Q84" s="8"/>
      <c r="R84" s="8"/>
      <c r="S84" s="8"/>
      <c r="T84" s="8"/>
      <c r="U84" s="8"/>
      <c r="V84" s="8"/>
      <c r="W84" s="8"/>
      <c r="X84" s="1"/>
      <c r="Y84" s="1"/>
      <c r="Z84" s="1"/>
      <c r="AA84" s="1"/>
      <c r="AB84" s="1"/>
      <c r="AC84" s="1"/>
      <c r="AD84" s="1"/>
    </row>
    <row r="85" spans="1:30">
      <c r="A85" s="1"/>
      <c r="B85" s="1"/>
      <c r="C85" s="1"/>
      <c r="D85" s="1"/>
      <c r="E85" s="1"/>
      <c r="F85" s="1"/>
      <c r="G85" s="1"/>
      <c r="H85" s="1"/>
      <c r="I85" s="1"/>
      <c r="J85" s="1"/>
      <c r="K85" s="1"/>
      <c r="L85" s="1"/>
      <c r="M85" s="1"/>
      <c r="N85" s="1"/>
      <c r="O85" s="8"/>
      <c r="P85" s="8"/>
      <c r="Q85" s="8"/>
      <c r="R85" s="8"/>
      <c r="S85" s="8"/>
      <c r="T85" s="8"/>
      <c r="U85" s="8"/>
      <c r="V85" s="8"/>
      <c r="W85" s="8"/>
      <c r="X85" s="1"/>
      <c r="Y85" s="1"/>
      <c r="Z85" s="1"/>
      <c r="AA85" s="1"/>
      <c r="AB85" s="1"/>
      <c r="AC85" s="1"/>
      <c r="AD85" s="1"/>
    </row>
  </sheetData>
  <mergeCells count="16">
    <mergeCell ref="E6:E7"/>
    <mergeCell ref="R6:R7"/>
    <mergeCell ref="H6:H7"/>
    <mergeCell ref="G6:G7"/>
    <mergeCell ref="F6:F7"/>
    <mergeCell ref="L6:L7"/>
    <mergeCell ref="M6:M7"/>
    <mergeCell ref="K6:K7"/>
    <mergeCell ref="N6:N7"/>
    <mergeCell ref="I6:I7"/>
    <mergeCell ref="J6:J7"/>
    <mergeCell ref="A72:H72"/>
    <mergeCell ref="A69:H69"/>
    <mergeCell ref="A70:H70"/>
    <mergeCell ref="A71:H71"/>
    <mergeCell ref="I69:N69"/>
  </mergeCells>
  <phoneticPr fontId="6" type="noConversion"/>
  <conditionalFormatting sqref="P8:W26 P9:V70">
    <cfRule type="cellIs" dxfId="1" priority="3" stopIfTrue="1" operator="between">
      <formula>0</formula>
      <formula>0.1</formula>
    </cfRule>
  </conditionalFormatting>
  <conditionalFormatting sqref="X8:Y67">
    <cfRule type="cellIs" dxfId="0" priority="4" stopIfTrue="1" operator="notEqual">
      <formula>100</formula>
    </cfRule>
  </conditionalFormatting>
  <printOptions horizontalCentered="1"/>
  <pageMargins left="0.9" right="0.9" top="1" bottom="0.55000000000000004" header="0.5" footer="0.5"/>
  <pageSetup scale="51" orientation="portrait" verticalDpi="300" r:id="rId1"/>
  <headerFooter alignWithMargins="0">
    <oddFooter>&amp;L&amp;"Arial,Regular"SREB Fact Book&amp;R&amp;"Arial,Regular"&amp;D</oddFooter>
  </headerFooter>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codeName="Sheet5">
    <tabColor indexed="62"/>
  </sheetPr>
  <dimension ref="A1:AE70"/>
  <sheetViews>
    <sheetView showZeros="0" zoomScale="95" zoomScaleNormal="95" workbookViewId="0">
      <pane xSplit="1" ySplit="5" topLeftCell="V6" activePane="bottomRight" state="frozen"/>
      <selection pane="topRight" activeCell="B52" sqref="B52"/>
      <selection pane="bottomLeft" activeCell="B52" sqref="B52"/>
      <selection pane="bottomRight" activeCell="AE9" sqref="AE9:AE24"/>
    </sheetView>
  </sheetViews>
  <sheetFormatPr defaultColWidth="9.85546875" defaultRowHeight="12.75"/>
  <cols>
    <col min="1" max="1" width="23.42578125" style="43" customWidth="1"/>
    <col min="2" max="23" width="12.42578125" style="1" customWidth="1"/>
    <col min="24" max="25" width="12.85546875" style="1" bestFit="1" customWidth="1"/>
    <col min="26" max="29" width="12.85546875" style="1" customWidth="1"/>
    <col min="30" max="31" width="12.42578125" style="1" customWidth="1"/>
    <col min="32" max="45" width="10.85546875" style="1" customWidth="1"/>
    <col min="46" max="16384" width="9.85546875" style="1"/>
  </cols>
  <sheetData>
    <row r="1" spans="1:31">
      <c r="A1" s="7" t="s">
        <v>94</v>
      </c>
      <c r="B1"/>
      <c r="C1" s="9"/>
      <c r="D1" s="9"/>
      <c r="E1" s="9"/>
      <c r="AB1" s="1">
        <v>1000</v>
      </c>
    </row>
    <row r="2" spans="1:31">
      <c r="A2" s="9"/>
      <c r="B2" s="9"/>
      <c r="C2" s="9"/>
      <c r="D2" s="9"/>
      <c r="E2" s="9"/>
    </row>
    <row r="3" spans="1:31">
      <c r="A3" s="1" t="s">
        <v>130</v>
      </c>
      <c r="B3" s="9"/>
      <c r="C3" s="9"/>
      <c r="D3" s="9"/>
      <c r="E3" s="9"/>
    </row>
    <row r="4" spans="1:31" s="32" customFormat="1">
      <c r="B4" s="32">
        <v>1984</v>
      </c>
      <c r="C4" s="32">
        <v>1985</v>
      </c>
      <c r="D4" s="32">
        <v>1986</v>
      </c>
      <c r="E4" s="32">
        <v>1991</v>
      </c>
      <c r="F4" s="32">
        <v>1992</v>
      </c>
      <c r="G4" s="32">
        <v>1993</v>
      </c>
      <c r="H4" s="32">
        <v>1994</v>
      </c>
      <c r="I4" s="32">
        <v>1995</v>
      </c>
      <c r="J4" s="32">
        <v>1996</v>
      </c>
      <c r="K4" s="32">
        <v>1997</v>
      </c>
      <c r="L4" s="32">
        <v>2000</v>
      </c>
      <c r="M4" s="39">
        <v>2001</v>
      </c>
      <c r="N4" s="39">
        <v>2002</v>
      </c>
      <c r="O4" s="39">
        <v>2003</v>
      </c>
      <c r="P4" s="39">
        <v>2004</v>
      </c>
      <c r="Q4" s="39">
        <v>2005</v>
      </c>
      <c r="R4" s="39">
        <v>2006</v>
      </c>
      <c r="S4" s="39">
        <v>2007</v>
      </c>
      <c r="T4" s="39">
        <v>2008</v>
      </c>
      <c r="U4" s="39">
        <v>2009</v>
      </c>
      <c r="V4" s="39">
        <v>2010</v>
      </c>
      <c r="W4" s="39">
        <v>2011</v>
      </c>
      <c r="X4" s="32" t="s">
        <v>111</v>
      </c>
      <c r="Y4" s="32" t="s">
        <v>112</v>
      </c>
      <c r="Z4" s="32" t="s">
        <v>113</v>
      </c>
      <c r="AA4" s="32" t="s">
        <v>114</v>
      </c>
      <c r="AB4" s="95" t="s">
        <v>115</v>
      </c>
      <c r="AC4" s="95" t="s">
        <v>116</v>
      </c>
      <c r="AD4" s="96">
        <v>2018</v>
      </c>
      <c r="AE4" s="96">
        <v>2019</v>
      </c>
    </row>
    <row r="5" spans="1:31">
      <c r="B5" s="8" t="s">
        <v>109</v>
      </c>
      <c r="C5" s="8" t="s">
        <v>109</v>
      </c>
      <c r="D5" s="8" t="s">
        <v>109</v>
      </c>
      <c r="E5" s="8" t="s">
        <v>109</v>
      </c>
      <c r="F5" s="8" t="s">
        <v>109</v>
      </c>
      <c r="G5" s="8" t="s">
        <v>109</v>
      </c>
      <c r="H5" s="8" t="s">
        <v>109</v>
      </c>
      <c r="I5" s="8" t="s">
        <v>109</v>
      </c>
      <c r="J5" s="8" t="s">
        <v>109</v>
      </c>
      <c r="K5" s="8" t="s">
        <v>109</v>
      </c>
      <c r="L5" s="8" t="s">
        <v>109</v>
      </c>
      <c r="M5" s="8" t="s">
        <v>109</v>
      </c>
      <c r="N5" s="8" t="s">
        <v>109</v>
      </c>
      <c r="O5" s="8" t="s">
        <v>109</v>
      </c>
      <c r="P5" s="8" t="s">
        <v>109</v>
      </c>
      <c r="Q5" s="8" t="s">
        <v>109</v>
      </c>
      <c r="R5" s="8" t="s">
        <v>109</v>
      </c>
      <c r="S5" s="8" t="s">
        <v>109</v>
      </c>
      <c r="T5" s="8" t="s">
        <v>109</v>
      </c>
      <c r="U5" s="8" t="s">
        <v>109</v>
      </c>
      <c r="V5" s="8" t="s">
        <v>109</v>
      </c>
      <c r="W5" s="8" t="s">
        <v>109</v>
      </c>
      <c r="X5" s="8" t="s">
        <v>109</v>
      </c>
      <c r="Y5" s="8" t="s">
        <v>109</v>
      </c>
      <c r="Z5" s="8" t="s">
        <v>109</v>
      </c>
      <c r="AA5" s="8" t="s">
        <v>109</v>
      </c>
      <c r="AB5" s="8" t="s">
        <v>109</v>
      </c>
      <c r="AC5" s="8" t="s">
        <v>109</v>
      </c>
      <c r="AD5" s="8" t="s">
        <v>109</v>
      </c>
      <c r="AE5" s="8" t="s">
        <v>109</v>
      </c>
    </row>
    <row r="6" spans="1:31">
      <c r="A6" s="23" t="s">
        <v>24</v>
      </c>
      <c r="B6" s="23">
        <v>150109</v>
      </c>
      <c r="C6" s="23">
        <v>193928</v>
      </c>
      <c r="D6" s="23">
        <v>202440</v>
      </c>
      <c r="E6" s="23">
        <v>364383.609</v>
      </c>
      <c r="F6" s="48">
        <f>+F7+F25+F40+F54+F65</f>
        <v>340619.00799999997</v>
      </c>
      <c r="G6" s="23">
        <v>400927.46399999998</v>
      </c>
      <c r="H6" s="23">
        <v>431444.21899999998</v>
      </c>
      <c r="I6" s="48">
        <f>+I7+I25+I40+I54+I65</f>
        <v>410849.25200000004</v>
      </c>
      <c r="J6" s="23">
        <v>476340.68699999998</v>
      </c>
      <c r="K6" s="48">
        <f t="shared" ref="K6:U6" si="0">+K7+K25+K40+K54+K65</f>
        <v>516935.46023999993</v>
      </c>
      <c r="L6" s="48">
        <f t="shared" si="0"/>
        <v>596459.40999999992</v>
      </c>
      <c r="M6" s="48">
        <f t="shared" si="0"/>
        <v>686109.7350000001</v>
      </c>
      <c r="N6" s="48">
        <f t="shared" si="0"/>
        <v>679548.6100000001</v>
      </c>
      <c r="O6" s="48">
        <f t="shared" si="0"/>
        <v>651073.56900000002</v>
      </c>
      <c r="P6" s="48">
        <f t="shared" si="0"/>
        <v>595739.97899999993</v>
      </c>
      <c r="Q6" s="48">
        <f t="shared" si="0"/>
        <v>616515.09399999992</v>
      </c>
      <c r="R6" s="48">
        <f t="shared" si="0"/>
        <v>651904.21799999999</v>
      </c>
      <c r="S6" s="48">
        <f t="shared" si="0"/>
        <v>653794.6719999999</v>
      </c>
      <c r="T6" s="48">
        <f t="shared" si="0"/>
        <v>719979.44500000007</v>
      </c>
      <c r="U6" s="48">
        <f t="shared" si="0"/>
        <v>789651.24099999992</v>
      </c>
      <c r="V6" s="48">
        <f t="shared" ref="V6:W6" si="1">+V7+V25+V40+V54+V65</f>
        <v>893239.08199999994</v>
      </c>
      <c r="W6" s="48">
        <f t="shared" si="1"/>
        <v>910234.99699999997</v>
      </c>
      <c r="X6" s="48">
        <f t="shared" ref="X6:Y6" si="2">+X7+X25+X40+X54+X65</f>
        <v>908656.04399999999</v>
      </c>
      <c r="Y6" s="48">
        <f t="shared" si="2"/>
        <v>762528.0689999999</v>
      </c>
      <c r="Z6" s="48">
        <f t="shared" ref="Z6:AA6" si="3">+Z7+Z25+Z40+Z54+Z65</f>
        <v>761614.59600000014</v>
      </c>
      <c r="AA6" s="48">
        <f t="shared" si="3"/>
        <v>732703.62099999993</v>
      </c>
      <c r="AB6" s="48">
        <f t="shared" ref="AB6:AE6" si="4">+AB7+AB25+AB40+AB54+AB65</f>
        <v>831789.103</v>
      </c>
      <c r="AC6" s="48">
        <f t="shared" si="4"/>
        <v>849858.80900000001</v>
      </c>
      <c r="AD6" s="48">
        <f t="shared" si="4"/>
        <v>0</v>
      </c>
      <c r="AE6" s="48">
        <f t="shared" si="4"/>
        <v>865879.56299999985</v>
      </c>
    </row>
    <row r="7" spans="1:31">
      <c r="A7" s="1" t="s">
        <v>25</v>
      </c>
      <c r="B7" s="47">
        <f>SUM(B8:B24)</f>
        <v>34496</v>
      </c>
      <c r="C7" s="47">
        <f t="shared" ref="C7:U7" si="5">SUM(C8:C24)</f>
        <v>50104</v>
      </c>
      <c r="D7" s="47">
        <f t="shared" si="5"/>
        <v>56261</v>
      </c>
      <c r="E7" s="47">
        <f t="shared" si="5"/>
        <v>98389.286999999997</v>
      </c>
      <c r="F7" s="47">
        <f t="shared" si="5"/>
        <v>95192.52399999999</v>
      </c>
      <c r="G7" s="47">
        <f t="shared" si="5"/>
        <v>108316.08500000001</v>
      </c>
      <c r="H7" s="47">
        <f t="shared" si="5"/>
        <v>121912.17000000001</v>
      </c>
      <c r="I7" s="47">
        <f t="shared" si="5"/>
        <v>111946.04000000001</v>
      </c>
      <c r="J7" s="47">
        <f t="shared" si="5"/>
        <v>118325.96609999999</v>
      </c>
      <c r="K7" s="47">
        <f t="shared" si="5"/>
        <v>137827.10210999998</v>
      </c>
      <c r="L7" s="47">
        <f t="shared" si="5"/>
        <v>180119.78700000004</v>
      </c>
      <c r="M7" s="47">
        <f t="shared" si="5"/>
        <v>203000.38700000002</v>
      </c>
      <c r="N7" s="47">
        <f t="shared" si="5"/>
        <v>176728.655</v>
      </c>
      <c r="O7" s="47">
        <f t="shared" si="5"/>
        <v>168038.22200000001</v>
      </c>
      <c r="P7" s="47">
        <f t="shared" si="5"/>
        <v>154748.51999999999</v>
      </c>
      <c r="Q7" s="47">
        <f t="shared" si="5"/>
        <v>157646.36199999999</v>
      </c>
      <c r="R7" s="47">
        <f t="shared" si="5"/>
        <v>161168.728</v>
      </c>
      <c r="S7" s="47">
        <f t="shared" si="5"/>
        <v>170832.69699999999</v>
      </c>
      <c r="T7" s="47">
        <f t="shared" si="5"/>
        <v>197631.95099999997</v>
      </c>
      <c r="U7" s="47">
        <f t="shared" si="5"/>
        <v>211010.94399999999</v>
      </c>
      <c r="V7" s="47">
        <f t="shared" ref="V7:W7" si="6">SUM(V8:V24)</f>
        <v>240774.68500000003</v>
      </c>
      <c r="W7" s="47">
        <f t="shared" si="6"/>
        <v>230781.83099999998</v>
      </c>
      <c r="X7" s="47">
        <f t="shared" ref="X7:Y7" si="7">SUM(X8:X24)</f>
        <v>225729.87</v>
      </c>
      <c r="Y7" s="47">
        <f t="shared" si="7"/>
        <v>224420.66199999998</v>
      </c>
      <c r="Z7" s="47">
        <f t="shared" ref="Z7:AA7" si="8">SUM(Z8:Z24)</f>
        <v>222873.48199999999</v>
      </c>
      <c r="AA7" s="47">
        <f t="shared" si="8"/>
        <v>213421.64499999996</v>
      </c>
      <c r="AB7" s="47">
        <f t="shared" ref="AB7:AE7" si="9">SUM(AB8:AB24)</f>
        <v>229070.12899999996</v>
      </c>
      <c r="AC7" s="47">
        <f t="shared" si="9"/>
        <v>215197.13399999999</v>
      </c>
      <c r="AD7" s="47">
        <f t="shared" si="9"/>
        <v>0</v>
      </c>
      <c r="AE7" s="47">
        <f t="shared" si="9"/>
        <v>204276.429</v>
      </c>
    </row>
    <row r="8" spans="1:31">
      <c r="A8" s="7" t="s">
        <v>97</v>
      </c>
    </row>
    <row r="9" spans="1:31">
      <c r="A9" s="1" t="s">
        <v>26</v>
      </c>
      <c r="B9" s="1">
        <v>1033</v>
      </c>
      <c r="C9" s="1">
        <v>1330</v>
      </c>
      <c r="D9" s="1">
        <v>1409</v>
      </c>
      <c r="E9" s="1">
        <v>1688.9590000000001</v>
      </c>
      <c r="F9" s="41">
        <v>1438.6510000000001</v>
      </c>
      <c r="G9" s="1">
        <v>1589.135</v>
      </c>
      <c r="H9" s="1">
        <v>1823.568</v>
      </c>
      <c r="I9" s="1">
        <v>2482.8139999999999</v>
      </c>
      <c r="J9" s="1">
        <v>2873.3809999999999</v>
      </c>
      <c r="K9" s="1">
        <v>3163.3609999999999</v>
      </c>
      <c r="L9" s="1">
        <v>4196.607</v>
      </c>
      <c r="M9" s="1">
        <v>6145.0990000000002</v>
      </c>
      <c r="N9" s="1">
        <v>5800.7049999999999</v>
      </c>
      <c r="O9" s="1">
        <v>5807.0129999999999</v>
      </c>
      <c r="P9" s="1">
        <v>6084.857</v>
      </c>
      <c r="Q9" s="1">
        <v>6532.7910000000002</v>
      </c>
      <c r="R9" s="1">
        <v>4359.3509999999997</v>
      </c>
      <c r="S9" s="1">
        <v>3812.8139999999999</v>
      </c>
      <c r="T9" s="1">
        <v>9522.2890000000007</v>
      </c>
      <c r="U9" s="1">
        <v>13911.208000000001</v>
      </c>
      <c r="V9" s="1">
        <v>14624.278</v>
      </c>
      <c r="W9" s="1">
        <v>11752.214</v>
      </c>
      <c r="X9" s="1">
        <v>11682.181</v>
      </c>
      <c r="Y9" s="1">
        <v>9841.5660000000007</v>
      </c>
      <c r="Z9" s="1">
        <v>6978.3050000000003</v>
      </c>
      <c r="AA9" s="1">
        <v>5139.2139999999999</v>
      </c>
      <c r="AB9" s="1">
        <v>2892.7910000000002</v>
      </c>
      <c r="AC9" s="1">
        <v>2965.9270000000001</v>
      </c>
      <c r="AE9" s="1">
        <v>2787.741</v>
      </c>
    </row>
    <row r="10" spans="1:31">
      <c r="A10" s="1" t="s">
        <v>27</v>
      </c>
      <c r="B10" s="1">
        <v>423</v>
      </c>
      <c r="C10" s="1">
        <v>504</v>
      </c>
      <c r="D10" s="1">
        <v>557</v>
      </c>
      <c r="E10" s="1">
        <v>776.64599999999996</v>
      </c>
      <c r="F10" s="41">
        <v>934.76599999999996</v>
      </c>
      <c r="G10" s="1">
        <v>1172.6510000000001</v>
      </c>
      <c r="H10" s="1">
        <v>1719.068</v>
      </c>
      <c r="I10" s="1">
        <v>2562.797</v>
      </c>
      <c r="J10" s="1">
        <v>2493.8809999999999</v>
      </c>
      <c r="K10" s="1">
        <v>2848.5889999999999</v>
      </c>
      <c r="L10" s="1">
        <v>4747.9639999999999</v>
      </c>
      <c r="M10" s="1">
        <v>4720.3090000000002</v>
      </c>
      <c r="N10" s="1">
        <v>3931.2179999999998</v>
      </c>
      <c r="O10" s="1">
        <v>4121.2610000000004</v>
      </c>
      <c r="P10" s="1">
        <v>5193.0559999999996</v>
      </c>
      <c r="Q10" s="1">
        <v>4355.1610000000001</v>
      </c>
      <c r="R10" s="1">
        <v>4741.3459999999995</v>
      </c>
      <c r="S10" s="1">
        <v>5249.2960000000003</v>
      </c>
      <c r="T10" s="1">
        <v>7368.683</v>
      </c>
      <c r="U10" s="1">
        <v>5203.5870000000004</v>
      </c>
      <c r="V10" s="1">
        <v>5824.165</v>
      </c>
      <c r="W10" s="1">
        <v>6907.598</v>
      </c>
      <c r="X10" s="1">
        <v>6626.5240000000003</v>
      </c>
      <c r="Y10" s="1">
        <v>7912.1859999999997</v>
      </c>
      <c r="Z10" s="1">
        <v>8831.7649999999994</v>
      </c>
      <c r="AA10" s="1">
        <v>8772.7450000000008</v>
      </c>
      <c r="AB10" s="1">
        <v>7212.62</v>
      </c>
      <c r="AC10" s="1">
        <v>7499.1670000000004</v>
      </c>
      <c r="AE10" s="1">
        <v>7728.08</v>
      </c>
    </row>
    <row r="11" spans="1:31">
      <c r="A11" s="1" t="s">
        <v>28</v>
      </c>
      <c r="D11" s="1">
        <v>0</v>
      </c>
      <c r="F11" s="41">
        <v>0</v>
      </c>
      <c r="I11" s="1">
        <v>175.232</v>
      </c>
      <c r="J11" s="1">
        <v>320.34100000000001</v>
      </c>
      <c r="K11" s="1">
        <v>1052.943</v>
      </c>
      <c r="L11" s="1">
        <v>2318.5250000000001</v>
      </c>
      <c r="M11" s="1">
        <v>3108.127</v>
      </c>
      <c r="N11" s="1">
        <v>3549.22</v>
      </c>
      <c r="O11" s="1">
        <v>3892.21</v>
      </c>
      <c r="P11" s="1">
        <v>4249.6819999999998</v>
      </c>
      <c r="Q11" s="1">
        <v>4514.1589999999997</v>
      </c>
      <c r="R11" s="1">
        <v>4081.049</v>
      </c>
      <c r="S11" s="1">
        <v>4259.3040000000001</v>
      </c>
      <c r="T11" s="1">
        <v>3741.93</v>
      </c>
      <c r="U11" s="1">
        <v>3888.7849999999999</v>
      </c>
      <c r="V11" s="1">
        <v>5055.1930000000002</v>
      </c>
      <c r="W11" s="1">
        <v>4760.5510000000004</v>
      </c>
      <c r="X11" s="1">
        <v>3522.0149999999999</v>
      </c>
      <c r="Y11" s="1">
        <v>4146.6949999999997</v>
      </c>
      <c r="Z11" s="1">
        <v>3462.6370000000002</v>
      </c>
      <c r="AA11" s="1">
        <v>3615.6559999999999</v>
      </c>
      <c r="AB11" s="1">
        <v>3846.2339999999999</v>
      </c>
      <c r="AC11" s="1">
        <v>4246.6869999999999</v>
      </c>
      <c r="AE11" s="1">
        <v>4789.067</v>
      </c>
    </row>
    <row r="12" spans="1:31">
      <c r="A12" s="1" t="s">
        <v>29</v>
      </c>
      <c r="B12" s="1">
        <v>2527</v>
      </c>
      <c r="C12" s="1">
        <v>2558</v>
      </c>
      <c r="D12" s="1">
        <v>5295</v>
      </c>
      <c r="E12" s="1">
        <v>7599.1130000000003</v>
      </c>
      <c r="F12" s="41">
        <v>7309.3729999999996</v>
      </c>
      <c r="G12" s="1">
        <v>8216.116</v>
      </c>
      <c r="H12" s="1">
        <v>8895.2880000000005</v>
      </c>
      <c r="I12" s="1">
        <v>10237.683999999999</v>
      </c>
      <c r="J12" s="1">
        <v>10534.199000000001</v>
      </c>
      <c r="K12" s="1">
        <v>13035.11</v>
      </c>
      <c r="L12" s="1">
        <v>31378.936000000002</v>
      </c>
      <c r="M12" s="1">
        <v>34471.453000000001</v>
      </c>
      <c r="N12" s="1">
        <v>30583.34</v>
      </c>
      <c r="O12" s="1">
        <v>24883.532999999999</v>
      </c>
      <c r="P12" s="1">
        <v>23013.845000000001</v>
      </c>
      <c r="Q12" s="1">
        <v>25704.668000000001</v>
      </c>
      <c r="R12" s="1">
        <v>26600.457999999999</v>
      </c>
      <c r="S12" s="1">
        <v>31324.069</v>
      </c>
      <c r="T12" s="1">
        <v>41581.964</v>
      </c>
      <c r="U12" s="1">
        <v>41180.228000000003</v>
      </c>
      <c r="V12" s="1">
        <v>39158.256999999998</v>
      </c>
      <c r="W12" s="1">
        <v>38311.857000000004</v>
      </c>
      <c r="X12" s="1">
        <v>37922.442000000003</v>
      </c>
      <c r="Y12" s="1">
        <v>37779.883999999998</v>
      </c>
      <c r="Z12" s="1">
        <v>43260.065000000002</v>
      </c>
      <c r="AA12" s="1">
        <v>36495.364000000001</v>
      </c>
      <c r="AB12" s="1">
        <v>45900.974000000002</v>
      </c>
      <c r="AC12" s="1">
        <v>33746.648000000001</v>
      </c>
      <c r="AE12" s="1">
        <v>31760.177</v>
      </c>
    </row>
    <row r="13" spans="1:31">
      <c r="A13" s="1" t="s">
        <v>30</v>
      </c>
      <c r="B13" s="1">
        <v>502</v>
      </c>
      <c r="C13" s="1">
        <v>632</v>
      </c>
      <c r="D13" s="1">
        <v>659</v>
      </c>
      <c r="E13" s="1">
        <v>1674.664</v>
      </c>
      <c r="F13" s="41">
        <v>1299.1110000000001</v>
      </c>
      <c r="G13" s="1">
        <v>1299.838</v>
      </c>
      <c r="H13" s="1">
        <v>1237.08</v>
      </c>
      <c r="I13" s="1">
        <v>1468.63</v>
      </c>
      <c r="J13" s="1">
        <v>1946.4960000000001</v>
      </c>
      <c r="K13" s="1">
        <v>1739.383</v>
      </c>
      <c r="L13" s="1">
        <v>1615.874</v>
      </c>
      <c r="M13" s="1">
        <v>1909.951</v>
      </c>
      <c r="N13" s="1">
        <v>2713.6880000000001</v>
      </c>
      <c r="O13" s="1">
        <v>3176.0390000000002</v>
      </c>
      <c r="P13" s="1">
        <v>3629.23</v>
      </c>
      <c r="Q13" s="1">
        <v>3955.5970000000002</v>
      </c>
      <c r="R13" s="1">
        <v>3564.183</v>
      </c>
      <c r="S13" s="1">
        <v>3505.652</v>
      </c>
      <c r="T13" s="1">
        <v>2949.31</v>
      </c>
      <c r="U13" s="1">
        <v>4096.4260000000004</v>
      </c>
      <c r="V13" s="1">
        <v>5664.0910000000003</v>
      </c>
      <c r="W13" s="1">
        <v>6672.8119999999999</v>
      </c>
      <c r="X13" s="1">
        <v>5145.1059999999998</v>
      </c>
      <c r="Y13" s="1">
        <v>4578.3689999999997</v>
      </c>
      <c r="Z13" s="1">
        <v>4555.8100000000004</v>
      </c>
      <c r="AA13" s="1">
        <v>4369.8249999999998</v>
      </c>
      <c r="AB13" s="1">
        <v>5470.0159999999996</v>
      </c>
      <c r="AC13" s="1">
        <v>2823.5369999999998</v>
      </c>
      <c r="AE13" s="1">
        <v>4.1900000000000004</v>
      </c>
    </row>
    <row r="14" spans="1:31">
      <c r="A14" s="1" t="s">
        <v>31</v>
      </c>
      <c r="B14" s="1">
        <v>1908</v>
      </c>
      <c r="C14" s="1">
        <v>527</v>
      </c>
      <c r="D14" s="1">
        <v>310</v>
      </c>
      <c r="E14" s="1">
        <v>6152.3140000000003</v>
      </c>
      <c r="F14" s="41">
        <v>5990.2969999999996</v>
      </c>
      <c r="G14" s="1">
        <v>6234.21</v>
      </c>
      <c r="H14" s="1">
        <v>8283.9089999999997</v>
      </c>
      <c r="I14" s="1">
        <v>4984.3459999999995</v>
      </c>
      <c r="J14" s="1">
        <v>6995.2840999999999</v>
      </c>
      <c r="K14" s="1">
        <v>6729.9309999999996</v>
      </c>
      <c r="L14" s="1">
        <v>6511.2219999999998</v>
      </c>
      <c r="M14" s="1">
        <v>26774.043000000001</v>
      </c>
      <c r="N14" s="1">
        <v>845.14499999999998</v>
      </c>
      <c r="O14" s="1">
        <v>776.07</v>
      </c>
      <c r="P14" s="1">
        <v>461.67099999999999</v>
      </c>
      <c r="Q14" s="1">
        <v>6819.3540000000003</v>
      </c>
      <c r="R14" s="1">
        <v>6340.509</v>
      </c>
      <c r="S14" s="1">
        <v>6223.4809999999998</v>
      </c>
      <c r="T14" s="1">
        <v>7629.5630000000001</v>
      </c>
      <c r="U14" s="1">
        <v>7432.6239999999998</v>
      </c>
      <c r="V14" s="1">
        <v>8121.1819999999998</v>
      </c>
      <c r="W14" s="1">
        <v>9292.1790000000001</v>
      </c>
      <c r="X14" s="1">
        <v>9290.7880000000005</v>
      </c>
      <c r="Y14" s="1">
        <v>7493.37</v>
      </c>
      <c r="Z14" s="1">
        <v>6604.08</v>
      </c>
      <c r="AA14" s="1">
        <v>6728.9040000000005</v>
      </c>
      <c r="AB14" s="1">
        <v>6089.7960000000003</v>
      </c>
      <c r="AC14" s="1">
        <v>5576.8729999999996</v>
      </c>
      <c r="AE14" s="1">
        <v>3330.9160000000002</v>
      </c>
    </row>
    <row r="15" spans="1:31">
      <c r="A15" s="1" t="s">
        <v>32</v>
      </c>
      <c r="B15" s="1">
        <v>1131</v>
      </c>
      <c r="C15" s="1">
        <v>1091</v>
      </c>
      <c r="D15" s="1">
        <v>1125</v>
      </c>
      <c r="E15" s="1">
        <v>398.291</v>
      </c>
      <c r="F15" s="41">
        <v>872.37400000000002</v>
      </c>
      <c r="G15" s="1">
        <v>541.50300000000004</v>
      </c>
      <c r="H15" s="1">
        <v>430.04199999999997</v>
      </c>
      <c r="I15" s="1">
        <v>369.31900000000002</v>
      </c>
      <c r="J15" s="1">
        <v>1284.231</v>
      </c>
      <c r="K15" s="1">
        <v>531.64090999999644</v>
      </c>
      <c r="L15" s="1">
        <v>1278.598</v>
      </c>
      <c r="M15" s="1">
        <v>1358.5150000000001</v>
      </c>
      <c r="N15" s="1">
        <v>1990.155</v>
      </c>
      <c r="O15" s="1">
        <v>2801.6930000000002</v>
      </c>
      <c r="P15" s="1">
        <v>4511.6779999999999</v>
      </c>
      <c r="Q15" s="1">
        <v>3615.2779999999998</v>
      </c>
      <c r="R15" s="1">
        <v>5333.5810000000001</v>
      </c>
      <c r="S15" s="1">
        <v>6238.96</v>
      </c>
      <c r="T15" s="1">
        <v>4617.26</v>
      </c>
      <c r="U15" s="1">
        <v>3400.18</v>
      </c>
      <c r="V15" s="1">
        <v>2614.8339999999998</v>
      </c>
      <c r="W15" s="1">
        <v>2087.8409999999999</v>
      </c>
      <c r="X15" s="1">
        <v>2187.5410000000002</v>
      </c>
      <c r="Y15" s="1">
        <v>1945.453</v>
      </c>
      <c r="Z15" s="1">
        <v>1667.7819999999999</v>
      </c>
      <c r="AA15" s="1">
        <v>2901.1410000000001</v>
      </c>
      <c r="AB15" s="1">
        <v>2143.5740000000001</v>
      </c>
      <c r="AC15" s="1">
        <v>2756.9050000000002</v>
      </c>
      <c r="AE15" s="1">
        <v>6874.8639999999996</v>
      </c>
    </row>
    <row r="16" spans="1:31">
      <c r="A16" s="1" t="s">
        <v>33</v>
      </c>
      <c r="B16" s="1">
        <v>2725</v>
      </c>
      <c r="C16" s="1">
        <v>4099</v>
      </c>
      <c r="D16" s="1">
        <v>2406</v>
      </c>
      <c r="E16" s="1">
        <v>796.81200000000001</v>
      </c>
      <c r="F16" s="41">
        <v>706.50300000000004</v>
      </c>
      <c r="G16" s="1">
        <v>742.96500000000003</v>
      </c>
      <c r="H16" s="1">
        <v>902.49900000000002</v>
      </c>
      <c r="I16" s="1">
        <v>1090.9670000000001</v>
      </c>
      <c r="J16" s="1">
        <v>915.89499999999998</v>
      </c>
      <c r="K16" s="1">
        <v>3812.97</v>
      </c>
      <c r="L16" s="1">
        <v>1698.3119999999999</v>
      </c>
      <c r="M16" s="1">
        <v>2186.7730000000001</v>
      </c>
      <c r="N16" s="1">
        <v>2837.48</v>
      </c>
      <c r="O16" s="1">
        <v>3547.0659999999998</v>
      </c>
      <c r="P16" s="1">
        <v>3422.1880000000001</v>
      </c>
      <c r="Q16" s="1">
        <v>2155.4380000000001</v>
      </c>
      <c r="R16" s="1">
        <v>3848.3409999999999</v>
      </c>
      <c r="S16" s="1">
        <v>3648.453</v>
      </c>
      <c r="T16" s="1">
        <v>4169.9229999999998</v>
      </c>
      <c r="U16" s="1">
        <v>4524.1189999999997</v>
      </c>
      <c r="V16" s="1">
        <v>5428.3360000000002</v>
      </c>
      <c r="W16" s="1">
        <v>5559.6549999999997</v>
      </c>
      <c r="X16" s="1">
        <v>5730.2569999999996</v>
      </c>
      <c r="Y16" s="1">
        <v>5304.4290000000001</v>
      </c>
      <c r="Z16" s="1">
        <v>5179.9930000000004</v>
      </c>
      <c r="AA16" s="1">
        <v>5532.9229999999998</v>
      </c>
      <c r="AB16" s="1">
        <v>6547.3109999999997</v>
      </c>
      <c r="AC16" s="1">
        <v>5683.9870000000001</v>
      </c>
      <c r="AE16" s="1">
        <v>5599.6589999999997</v>
      </c>
    </row>
    <row r="17" spans="1:31">
      <c r="A17" s="1" t="s">
        <v>34</v>
      </c>
      <c r="B17" s="1">
        <v>436</v>
      </c>
      <c r="C17" s="1">
        <v>390</v>
      </c>
      <c r="D17" s="1">
        <v>422</v>
      </c>
      <c r="E17" s="1">
        <v>1050.4559999999999</v>
      </c>
      <c r="F17" s="41">
        <v>1142.3430000000001</v>
      </c>
      <c r="G17" s="1">
        <v>1263.8040000000001</v>
      </c>
      <c r="H17" s="1">
        <v>1651.99</v>
      </c>
      <c r="I17" s="1">
        <v>1742.3689999999999</v>
      </c>
      <c r="J17" s="1">
        <v>1937.873</v>
      </c>
      <c r="K17" s="1">
        <v>2046.0239999999999</v>
      </c>
      <c r="L17" s="1">
        <v>3617.12</v>
      </c>
      <c r="M17" s="1">
        <v>3243.2269999999999</v>
      </c>
      <c r="N17" s="1">
        <v>4543.4250000000002</v>
      </c>
      <c r="O17" s="1">
        <v>1010.111</v>
      </c>
      <c r="P17" s="1">
        <v>1115.2560000000001</v>
      </c>
      <c r="Q17" s="1">
        <v>1288.8879999999999</v>
      </c>
      <c r="R17" s="1">
        <v>1197.1410000000001</v>
      </c>
      <c r="S17" s="1">
        <v>1220.626</v>
      </c>
      <c r="T17" s="1">
        <v>1612.877</v>
      </c>
      <c r="U17" s="1">
        <v>1468.7550000000001</v>
      </c>
      <c r="V17" s="1">
        <v>1007.147</v>
      </c>
      <c r="W17" s="1">
        <v>1215.3579999999999</v>
      </c>
      <c r="X17" s="1">
        <v>1350.345</v>
      </c>
      <c r="Y17" s="1">
        <v>1763.5640000000001</v>
      </c>
      <c r="Z17" s="1">
        <v>1161.1969999999999</v>
      </c>
      <c r="AA17" s="1">
        <v>1060.3309999999999</v>
      </c>
      <c r="AB17" s="1">
        <v>898.05899999999997</v>
      </c>
      <c r="AC17" s="1">
        <v>977.81299999999999</v>
      </c>
      <c r="AE17" s="1">
        <v>907.77</v>
      </c>
    </row>
    <row r="18" spans="1:31">
      <c r="A18" s="1" t="s">
        <v>35</v>
      </c>
      <c r="B18" s="1">
        <v>2188</v>
      </c>
      <c r="C18" s="1">
        <v>2140</v>
      </c>
      <c r="D18" s="1">
        <v>1725</v>
      </c>
      <c r="E18" s="1">
        <v>5286.3190000000004</v>
      </c>
      <c r="F18" s="41">
        <v>3442.5039999999999</v>
      </c>
      <c r="G18" s="1">
        <v>3977.431</v>
      </c>
      <c r="H18" s="1">
        <v>3559.6880000000001</v>
      </c>
      <c r="I18" s="1">
        <v>3096.2220000000002</v>
      </c>
      <c r="J18" s="1">
        <v>3377.799</v>
      </c>
      <c r="K18" s="1">
        <v>3726.0924000000059</v>
      </c>
      <c r="L18" s="1">
        <v>5304.9120000000003</v>
      </c>
      <c r="M18" s="1">
        <v>5429.7860000000001</v>
      </c>
      <c r="N18" s="1">
        <v>11208.258</v>
      </c>
      <c r="O18" s="1">
        <v>6978.9049999999997</v>
      </c>
      <c r="P18" s="1">
        <v>6367.308</v>
      </c>
      <c r="Q18" s="1">
        <v>5679.5789999999997</v>
      </c>
      <c r="R18" s="1">
        <v>5029.05</v>
      </c>
      <c r="S18" s="1">
        <v>4655.2120000000004</v>
      </c>
      <c r="T18" s="1">
        <v>5366.8959999999997</v>
      </c>
      <c r="U18" s="1">
        <v>4691.3419999999996</v>
      </c>
      <c r="V18" s="1">
        <v>6089.3459999999995</v>
      </c>
      <c r="W18" s="1">
        <v>7671.0590000000002</v>
      </c>
      <c r="X18" s="1">
        <v>6587.5029999999997</v>
      </c>
      <c r="Y18" s="1">
        <v>7287.3980000000001</v>
      </c>
      <c r="Z18" s="1">
        <v>7255.02</v>
      </c>
      <c r="AA18" s="1">
        <v>7583.7160000000003</v>
      </c>
      <c r="AB18" s="1">
        <v>6512.5240000000003</v>
      </c>
      <c r="AC18" s="1">
        <v>6922.0820000000003</v>
      </c>
      <c r="AE18" s="1">
        <v>6941.0020000000004</v>
      </c>
    </row>
    <row r="19" spans="1:31">
      <c r="A19" s="1" t="s">
        <v>36</v>
      </c>
      <c r="B19" s="1">
        <v>1312</v>
      </c>
      <c r="C19" s="1">
        <v>1312</v>
      </c>
      <c r="D19" s="1">
        <v>1328</v>
      </c>
      <c r="E19" s="1">
        <v>891.47699999999998</v>
      </c>
      <c r="F19" s="41">
        <v>1019.135</v>
      </c>
      <c r="G19" s="1">
        <v>1982.847</v>
      </c>
      <c r="H19" s="1">
        <v>2363.607</v>
      </c>
      <c r="I19" s="1">
        <v>2669.473</v>
      </c>
      <c r="J19" s="1">
        <v>2906.9989999999998</v>
      </c>
      <c r="K19" s="1">
        <v>3961.419969999999</v>
      </c>
      <c r="L19" s="1">
        <v>3605.2689999999998</v>
      </c>
      <c r="M19" s="1">
        <v>2986.886</v>
      </c>
      <c r="N19" s="1">
        <v>3034.4679999999998</v>
      </c>
      <c r="O19" s="1">
        <v>1923.444</v>
      </c>
      <c r="P19" s="1">
        <v>1518.867</v>
      </c>
      <c r="Q19" s="1">
        <v>2440.21</v>
      </c>
      <c r="R19" s="1">
        <v>1551.7429999999999</v>
      </c>
      <c r="S19" s="1">
        <v>1632.711</v>
      </c>
      <c r="T19" s="1">
        <v>2177.817</v>
      </c>
      <c r="U19" s="1">
        <v>2954.8270000000002</v>
      </c>
      <c r="V19" s="1">
        <v>4431.9009999999998</v>
      </c>
      <c r="W19" s="1">
        <v>4729.1809999999996</v>
      </c>
      <c r="X19" s="1">
        <v>4131.067</v>
      </c>
      <c r="Y19" s="1">
        <v>5132.0450000000001</v>
      </c>
      <c r="Z19" s="1">
        <v>4201.8649999999998</v>
      </c>
      <c r="AA19" s="1">
        <v>3277.5630000000001</v>
      </c>
      <c r="AB19" s="1">
        <v>4415.7389999999996</v>
      </c>
      <c r="AC19" s="1">
        <v>4604.6109999999999</v>
      </c>
      <c r="AE19" s="1">
        <v>3940.08</v>
      </c>
    </row>
    <row r="20" spans="1:31">
      <c r="A20" s="1" t="s">
        <v>37</v>
      </c>
      <c r="B20" s="1">
        <v>410</v>
      </c>
      <c r="C20" s="1">
        <v>467</v>
      </c>
      <c r="D20" s="1">
        <v>762</v>
      </c>
      <c r="E20" s="1">
        <v>1251.7950000000001</v>
      </c>
      <c r="F20" s="41">
        <v>1128.2539999999999</v>
      </c>
      <c r="G20" s="1">
        <v>1138.5419999999999</v>
      </c>
      <c r="H20" s="1">
        <v>1672.1959999999999</v>
      </c>
      <c r="I20" s="1">
        <v>1541.586</v>
      </c>
      <c r="J20" s="1">
        <v>1334.152</v>
      </c>
      <c r="K20" s="1">
        <v>1729.7370000000001</v>
      </c>
      <c r="L20" s="1">
        <v>2100.6819999999998</v>
      </c>
      <c r="M20" s="1">
        <v>2338.1379999999999</v>
      </c>
      <c r="N20" s="1">
        <v>2237.1909999999998</v>
      </c>
      <c r="O20" s="1">
        <v>2982.2869999999998</v>
      </c>
      <c r="P20" s="1">
        <v>2294.335</v>
      </c>
      <c r="Q20" s="1">
        <v>2550.8530000000001</v>
      </c>
      <c r="R20" s="1">
        <v>1747.479</v>
      </c>
      <c r="S20" s="1">
        <v>2283.8919999999998</v>
      </c>
      <c r="T20" s="1">
        <v>2487.5639999999999</v>
      </c>
      <c r="U20" s="1">
        <v>2453.1210000000001</v>
      </c>
      <c r="V20" s="1">
        <v>2265.4029999999998</v>
      </c>
      <c r="W20" s="1">
        <v>2089.518</v>
      </c>
      <c r="X20" s="1">
        <v>1977.625</v>
      </c>
      <c r="Y20" s="1">
        <v>1452.9939999999999</v>
      </c>
      <c r="Z20" s="1">
        <v>1206.23</v>
      </c>
      <c r="AA20" s="1">
        <v>764.34100000000001</v>
      </c>
      <c r="AB20" s="1">
        <v>797.39599999999996</v>
      </c>
      <c r="AC20" s="1">
        <v>687.84400000000005</v>
      </c>
      <c r="AE20" s="1">
        <v>407.529</v>
      </c>
    </row>
    <row r="21" spans="1:31" s="11" customFormat="1">
      <c r="A21" s="1" t="s">
        <v>38</v>
      </c>
      <c r="B21" s="1">
        <v>6880</v>
      </c>
      <c r="C21" s="1">
        <v>17051</v>
      </c>
      <c r="D21" s="1">
        <v>20972</v>
      </c>
      <c r="E21" s="1">
        <v>29374.335999999999</v>
      </c>
      <c r="F21" s="41">
        <v>25986.506000000001</v>
      </c>
      <c r="G21" s="1">
        <v>28402.98</v>
      </c>
      <c r="H21" s="1">
        <v>26862.296999999999</v>
      </c>
      <c r="I21" s="1">
        <v>26122.539000000001</v>
      </c>
      <c r="J21" s="1">
        <v>21815.467000000001</v>
      </c>
      <c r="K21" s="1">
        <v>23542.904999999999</v>
      </c>
      <c r="L21" s="1">
        <v>37873.915000000001</v>
      </c>
      <c r="M21" s="1">
        <v>21992.063999999998</v>
      </c>
      <c r="N21" s="1">
        <v>20123.753000000001</v>
      </c>
      <c r="O21" s="1">
        <v>21473.297999999999</v>
      </c>
      <c r="P21" s="1">
        <v>16265.706</v>
      </c>
      <c r="Q21" s="1">
        <v>15679.513000000001</v>
      </c>
      <c r="R21" s="1">
        <v>15216.154</v>
      </c>
      <c r="S21" s="1">
        <v>13905.790999999999</v>
      </c>
      <c r="T21" s="1">
        <v>14355.625</v>
      </c>
      <c r="U21" s="1">
        <v>16139.462</v>
      </c>
      <c r="V21" s="1">
        <v>22942.19</v>
      </c>
      <c r="W21" s="1">
        <v>15697.331</v>
      </c>
      <c r="X21" s="1">
        <v>16481.513999999999</v>
      </c>
      <c r="Y21" s="1">
        <v>14949.380999999999</v>
      </c>
      <c r="Z21" s="1">
        <v>13398.258</v>
      </c>
      <c r="AA21" s="1">
        <v>12561.347</v>
      </c>
      <c r="AB21" s="1">
        <v>12039.356</v>
      </c>
      <c r="AC21" s="1">
        <v>12991.97</v>
      </c>
      <c r="AD21" s="1"/>
      <c r="AE21" s="1">
        <v>9433.1910000000007</v>
      </c>
    </row>
    <row r="22" spans="1:31">
      <c r="A22" s="1" t="s">
        <v>39</v>
      </c>
      <c r="B22" s="1">
        <v>12437</v>
      </c>
      <c r="C22" s="1">
        <v>17338</v>
      </c>
      <c r="D22" s="1">
        <v>18702</v>
      </c>
      <c r="E22" s="1">
        <v>39803.883999999998</v>
      </c>
      <c r="F22" s="41">
        <v>41926.281000000003</v>
      </c>
      <c r="G22" s="1">
        <v>49603.347000000002</v>
      </c>
      <c r="H22" s="1">
        <v>60285.976000000002</v>
      </c>
      <c r="I22" s="1">
        <v>51115.133000000002</v>
      </c>
      <c r="J22" s="1">
        <v>57807.4</v>
      </c>
      <c r="K22" s="1">
        <v>67863.180999999997</v>
      </c>
      <c r="L22" s="1">
        <v>69850.631999999998</v>
      </c>
      <c r="M22" s="1">
        <v>80946.964000000007</v>
      </c>
      <c r="N22" s="1">
        <v>78409.39</v>
      </c>
      <c r="O22" s="1">
        <v>78067.993000000002</v>
      </c>
      <c r="P22" s="1">
        <v>69270.566999999995</v>
      </c>
      <c r="Q22" s="1">
        <v>64881.870999999999</v>
      </c>
      <c r="R22" s="1">
        <v>70757.585000000006</v>
      </c>
      <c r="S22" s="1">
        <v>75639.933999999994</v>
      </c>
      <c r="T22" s="1">
        <v>81706.873999999996</v>
      </c>
      <c r="U22" s="1">
        <v>91192.83</v>
      </c>
      <c r="V22" s="1">
        <v>107427.79300000001</v>
      </c>
      <c r="W22" s="1">
        <v>102406.815</v>
      </c>
      <c r="X22" s="1">
        <v>97407.801999999996</v>
      </c>
      <c r="Y22" s="1">
        <v>100675.28200000001</v>
      </c>
      <c r="Z22" s="1">
        <v>104162.863</v>
      </c>
      <c r="AA22" s="1">
        <v>100462.39999999999</v>
      </c>
      <c r="AB22" s="1">
        <v>102645.84</v>
      </c>
      <c r="AC22" s="1">
        <v>100703.318</v>
      </c>
      <c r="AE22" s="1">
        <v>104858.541</v>
      </c>
    </row>
    <row r="23" spans="1:31">
      <c r="A23" s="1" t="s">
        <v>40</v>
      </c>
      <c r="B23" s="1">
        <v>369</v>
      </c>
      <c r="C23" s="1">
        <v>380</v>
      </c>
      <c r="D23" s="1">
        <v>357</v>
      </c>
      <c r="E23" s="1">
        <v>1456.221</v>
      </c>
      <c r="F23" s="41">
        <v>1554.8320000000001</v>
      </c>
      <c r="G23" s="1">
        <v>1760.7159999999999</v>
      </c>
      <c r="H23" s="1">
        <v>1898.8589999999999</v>
      </c>
      <c r="I23" s="1">
        <v>1993.644</v>
      </c>
      <c r="J23" s="1">
        <v>1438.991</v>
      </c>
      <c r="K23" s="1">
        <v>1701.9269999999999</v>
      </c>
      <c r="L23" s="1">
        <v>2843.8389999999999</v>
      </c>
      <c r="M23" s="1">
        <v>3639.3</v>
      </c>
      <c r="N23" s="1">
        <v>4473.2269999999999</v>
      </c>
      <c r="O23" s="1">
        <v>3542.8910000000001</v>
      </c>
      <c r="P23" s="1">
        <v>4100.3959999999997</v>
      </c>
      <c r="Q23" s="1">
        <v>4220.2160000000003</v>
      </c>
      <c r="R23" s="1">
        <v>3846.4319999999998</v>
      </c>
      <c r="S23" s="1">
        <v>4684.2479999999996</v>
      </c>
      <c r="T23" s="1">
        <v>5800.9009999999998</v>
      </c>
      <c r="U23" s="1">
        <v>6135.3919999999998</v>
      </c>
      <c r="V23" s="1">
        <v>6490.88</v>
      </c>
      <c r="W23" s="1">
        <v>7647.1909999999998</v>
      </c>
      <c r="X23" s="1">
        <v>10805.638999999999</v>
      </c>
      <c r="Y23" s="1">
        <v>9880.7129999999997</v>
      </c>
      <c r="Z23" s="1">
        <v>7683.8119999999999</v>
      </c>
      <c r="AA23" s="1">
        <v>10499.746999999999</v>
      </c>
      <c r="AB23" s="1">
        <v>18776.936000000002</v>
      </c>
      <c r="AC23" s="1">
        <v>20170.148000000001</v>
      </c>
      <c r="AE23" s="1">
        <v>12394.895</v>
      </c>
    </row>
    <row r="24" spans="1:31">
      <c r="A24" s="23" t="s">
        <v>41</v>
      </c>
      <c r="B24" s="23">
        <v>215</v>
      </c>
      <c r="C24" s="23">
        <v>285</v>
      </c>
      <c r="D24" s="23">
        <v>232</v>
      </c>
      <c r="E24" s="23">
        <v>188</v>
      </c>
      <c r="F24" s="44">
        <v>441.59399999999999</v>
      </c>
      <c r="G24" s="23">
        <v>390</v>
      </c>
      <c r="H24" s="23">
        <v>326.10300000000001</v>
      </c>
      <c r="I24" s="23">
        <v>293.28500000000003</v>
      </c>
      <c r="J24" s="23">
        <v>343.577</v>
      </c>
      <c r="K24" s="23">
        <v>341.88783000000564</v>
      </c>
      <c r="L24" s="23">
        <v>1177.3800000000001</v>
      </c>
      <c r="M24" s="23">
        <v>1749.752</v>
      </c>
      <c r="N24" s="23">
        <v>447.99200000000002</v>
      </c>
      <c r="O24" s="23">
        <v>3054.4079999999999</v>
      </c>
      <c r="P24" s="23">
        <v>3249.8780000000002</v>
      </c>
      <c r="Q24" s="23">
        <v>3252.7860000000001</v>
      </c>
      <c r="R24" s="23">
        <v>2954.326</v>
      </c>
      <c r="S24" s="23">
        <v>2548.2539999999999</v>
      </c>
      <c r="T24" s="23">
        <v>2542.4749999999999</v>
      </c>
      <c r="U24" s="23">
        <v>2338.058</v>
      </c>
      <c r="V24" s="23">
        <v>3629.6889999999999</v>
      </c>
      <c r="W24" s="23">
        <v>3980.6709999999998</v>
      </c>
      <c r="X24" s="23">
        <v>4881.5209999999997</v>
      </c>
      <c r="Y24" s="23">
        <v>4277.3329999999996</v>
      </c>
      <c r="Z24" s="23">
        <v>3263.8</v>
      </c>
      <c r="AA24" s="23">
        <v>3656.4279999999999</v>
      </c>
      <c r="AB24" s="23">
        <v>2880.9630000000002</v>
      </c>
      <c r="AC24" s="23">
        <v>2839.6170000000002</v>
      </c>
      <c r="AD24" s="23"/>
      <c r="AE24" s="23">
        <v>2518.7269999999999</v>
      </c>
    </row>
    <row r="25" spans="1:31">
      <c r="A25" s="7" t="s">
        <v>42</v>
      </c>
      <c r="B25" s="47">
        <f>SUM(B27:B39)</f>
        <v>0</v>
      </c>
      <c r="C25" s="47">
        <f t="shared" ref="C25:AC25" si="10">SUM(C27:C39)</f>
        <v>0</v>
      </c>
      <c r="D25" s="47">
        <f t="shared" si="10"/>
        <v>0</v>
      </c>
      <c r="E25" s="47">
        <f t="shared" si="10"/>
        <v>0</v>
      </c>
      <c r="F25" s="47">
        <f t="shared" si="10"/>
        <v>80433.036999999997</v>
      </c>
      <c r="G25" s="47">
        <f t="shared" si="10"/>
        <v>0</v>
      </c>
      <c r="H25" s="47">
        <f t="shared" si="10"/>
        <v>0</v>
      </c>
      <c r="I25" s="47">
        <f t="shared" si="10"/>
        <v>95595.422999999981</v>
      </c>
      <c r="J25" s="47">
        <f t="shared" si="10"/>
        <v>0</v>
      </c>
      <c r="K25" s="47">
        <f t="shared" si="10"/>
        <v>131658.56070999999</v>
      </c>
      <c r="L25" s="47">
        <f t="shared" si="10"/>
        <v>145030.71499999997</v>
      </c>
      <c r="M25" s="47">
        <f t="shared" si="10"/>
        <v>165019.484</v>
      </c>
      <c r="N25" s="47">
        <f t="shared" si="10"/>
        <v>175518.29399999999</v>
      </c>
      <c r="O25" s="47">
        <f t="shared" si="10"/>
        <v>176394.30499999999</v>
      </c>
      <c r="P25" s="47">
        <f t="shared" si="10"/>
        <v>162603.51700000002</v>
      </c>
      <c r="Q25" s="47">
        <f t="shared" si="10"/>
        <v>181201.85699999999</v>
      </c>
      <c r="R25" s="47">
        <f t="shared" si="10"/>
        <v>193125.49099999998</v>
      </c>
      <c r="S25" s="47">
        <f t="shared" si="10"/>
        <v>194388.16200000001</v>
      </c>
      <c r="T25" s="47">
        <f t="shared" si="10"/>
        <v>210719.80500000002</v>
      </c>
      <c r="U25" s="47">
        <f t="shared" si="10"/>
        <v>222162.74699999997</v>
      </c>
      <c r="V25" s="47">
        <f t="shared" si="10"/>
        <v>262003.894</v>
      </c>
      <c r="W25" s="47">
        <f t="shared" si="10"/>
        <v>287991.79800000001</v>
      </c>
      <c r="X25" s="47">
        <f t="shared" si="10"/>
        <v>299512.67199999996</v>
      </c>
      <c r="Y25" s="47">
        <f t="shared" si="10"/>
        <v>186659.62699999998</v>
      </c>
      <c r="Z25" s="47">
        <f t="shared" si="10"/>
        <v>193889.04400000008</v>
      </c>
      <c r="AA25" s="47">
        <f t="shared" si="10"/>
        <v>194214.144</v>
      </c>
      <c r="AB25" s="47">
        <f t="shared" si="10"/>
        <v>251514.51700000002</v>
      </c>
      <c r="AC25" s="47">
        <f t="shared" si="10"/>
        <v>273914.49400000006</v>
      </c>
      <c r="AD25" s="47">
        <f t="shared" ref="AD25:AE25" si="11">SUM(AD27:AD39)</f>
        <v>0</v>
      </c>
      <c r="AE25" s="47">
        <f t="shared" si="11"/>
        <v>287967.22899999993</v>
      </c>
    </row>
    <row r="26" spans="1:31">
      <c r="A26" s="7" t="s">
        <v>97</v>
      </c>
      <c r="X26" s="1">
        <v>0</v>
      </c>
      <c r="AB26" s="1">
        <v>0</v>
      </c>
      <c r="AC26" s="1">
        <v>0</v>
      </c>
    </row>
    <row r="27" spans="1:31">
      <c r="A27" s="1" t="s">
        <v>43</v>
      </c>
      <c r="F27" s="41">
        <v>60.533000000000001</v>
      </c>
      <c r="I27" s="1">
        <v>99.935000000000002</v>
      </c>
      <c r="K27" s="1">
        <v>99.484999999999999</v>
      </c>
      <c r="L27" s="1">
        <v>456.02699999999999</v>
      </c>
      <c r="M27" s="1">
        <v>255.22200000000001</v>
      </c>
      <c r="N27" s="1">
        <v>461.25200000000001</v>
      </c>
      <c r="O27" s="1">
        <v>302.39299999999997</v>
      </c>
      <c r="P27" s="1">
        <v>400.45100000000002</v>
      </c>
      <c r="Q27" s="1">
        <v>319.47899999999998</v>
      </c>
      <c r="R27" s="1">
        <v>327.26799999999997</v>
      </c>
      <c r="S27" s="1">
        <v>410.33499999999998</v>
      </c>
      <c r="T27" s="1">
        <v>347.601</v>
      </c>
      <c r="U27" s="1">
        <v>489.03199999999998</v>
      </c>
      <c r="V27" s="1">
        <v>406.85500000000002</v>
      </c>
      <c r="W27" s="1">
        <v>290.32499999999999</v>
      </c>
      <c r="X27" s="1">
        <v>319.26799999999997</v>
      </c>
      <c r="Y27" s="1">
        <v>433.60599999999999</v>
      </c>
      <c r="AB27" s="1">
        <v>0</v>
      </c>
      <c r="AC27" s="1">
        <v>0</v>
      </c>
      <c r="AE27" s="1">
        <v>0</v>
      </c>
    </row>
    <row r="28" spans="1:31">
      <c r="A28" s="1" t="s">
        <v>44</v>
      </c>
      <c r="F28" s="41">
        <v>3208.973</v>
      </c>
      <c r="I28" s="1">
        <v>4390.7039999999997</v>
      </c>
      <c r="K28" s="1">
        <v>9752.9286599999959</v>
      </c>
      <c r="L28" s="1">
        <v>8543.43</v>
      </c>
      <c r="M28" s="1">
        <v>10908.332</v>
      </c>
      <c r="N28" s="1">
        <v>12366.891</v>
      </c>
      <c r="O28" s="1">
        <v>11483.224</v>
      </c>
      <c r="P28" s="1">
        <v>10963.419</v>
      </c>
      <c r="Q28" s="1">
        <v>12366.618</v>
      </c>
      <c r="R28" s="1">
        <v>15842.578</v>
      </c>
      <c r="S28" s="1">
        <v>12186.953</v>
      </c>
      <c r="T28" s="1">
        <v>13191.253000000001</v>
      </c>
      <c r="U28" s="1">
        <v>15086.248</v>
      </c>
      <c r="V28" s="1">
        <v>17299.632000000001</v>
      </c>
      <c r="W28" s="1">
        <v>16515.240000000002</v>
      </c>
      <c r="X28" s="1">
        <v>16089.281000000001</v>
      </c>
      <c r="Y28" s="1">
        <v>3149.9340000000002</v>
      </c>
      <c r="Z28" s="1">
        <v>2412.0039999999999</v>
      </c>
      <c r="AA28" s="1">
        <v>2377.38</v>
      </c>
      <c r="AB28" s="1">
        <v>18201.2</v>
      </c>
      <c r="AC28" s="1">
        <v>20481.833999999999</v>
      </c>
      <c r="AE28" s="1">
        <v>20329.327000000001</v>
      </c>
    </row>
    <row r="29" spans="1:31">
      <c r="A29" s="1" t="s">
        <v>45</v>
      </c>
      <c r="F29" s="41">
        <v>41174.606</v>
      </c>
      <c r="I29" s="1">
        <v>42365.673999999999</v>
      </c>
      <c r="K29" s="1">
        <v>64833.056120000008</v>
      </c>
      <c r="L29" s="1">
        <v>59353.243999999999</v>
      </c>
      <c r="M29" s="1">
        <v>65265.398999999998</v>
      </c>
      <c r="N29" s="1">
        <v>69617.5</v>
      </c>
      <c r="O29" s="1">
        <v>73840.14</v>
      </c>
      <c r="P29" s="1">
        <v>65287.91</v>
      </c>
      <c r="Q29" s="1">
        <v>77520.567999999999</v>
      </c>
      <c r="R29" s="1">
        <v>88225.406000000003</v>
      </c>
      <c r="S29" s="1">
        <v>93007.27</v>
      </c>
      <c r="T29" s="1">
        <v>99493.095000000001</v>
      </c>
      <c r="U29" s="1">
        <v>98422.767000000007</v>
      </c>
      <c r="V29" s="1">
        <v>109698.514</v>
      </c>
      <c r="W29" s="1">
        <v>142434.58799999999</v>
      </c>
      <c r="X29" s="1">
        <v>169827.54199999999</v>
      </c>
      <c r="Y29" s="1">
        <v>91641.489000000001</v>
      </c>
      <c r="Z29" s="1">
        <v>94609.702000000005</v>
      </c>
      <c r="AA29" s="1">
        <v>101035.556</v>
      </c>
      <c r="AB29" s="1">
        <v>129335.88800000001</v>
      </c>
      <c r="AC29" s="1">
        <v>141277.959</v>
      </c>
      <c r="AE29" s="1">
        <v>171237.728</v>
      </c>
    </row>
    <row r="30" spans="1:31">
      <c r="A30" s="1" t="s">
        <v>46</v>
      </c>
      <c r="F30" s="41">
        <v>2554.6320000000001</v>
      </c>
      <c r="I30" s="1">
        <v>4353.1750000000002</v>
      </c>
      <c r="K30" s="1">
        <v>4609.95</v>
      </c>
      <c r="L30" s="1">
        <v>5800.9719999999998</v>
      </c>
      <c r="M30" s="1">
        <v>6686.6660000000002</v>
      </c>
      <c r="N30" s="1">
        <v>8358.8510000000006</v>
      </c>
      <c r="O30" s="1">
        <v>4441.0129999999999</v>
      </c>
      <c r="P30" s="1">
        <v>5238.0959999999995</v>
      </c>
      <c r="Q30" s="1">
        <v>5328.1970000000001</v>
      </c>
      <c r="R30" s="1">
        <v>4841.7830000000004</v>
      </c>
      <c r="S30" s="1">
        <v>4166.8270000000002</v>
      </c>
      <c r="T30" s="1">
        <v>3637.6010000000001</v>
      </c>
      <c r="U30" s="1">
        <v>7180.1139999999996</v>
      </c>
      <c r="V30" s="1">
        <v>6220.6890000000003</v>
      </c>
      <c r="W30" s="1">
        <v>6252.9690000000001</v>
      </c>
      <c r="X30" s="1">
        <v>4773.857</v>
      </c>
      <c r="Y30" s="1">
        <v>1568.4839999999999</v>
      </c>
      <c r="Z30" s="1">
        <v>1726.876</v>
      </c>
      <c r="AA30" s="1">
        <v>1579.777</v>
      </c>
      <c r="AB30" s="1">
        <v>5155.8440000000001</v>
      </c>
      <c r="AC30" s="1">
        <v>5294.0789999999997</v>
      </c>
      <c r="AE30" s="1">
        <v>5629.5879999999997</v>
      </c>
    </row>
    <row r="31" spans="1:31">
      <c r="A31" s="1" t="s">
        <v>47</v>
      </c>
      <c r="F31" s="41">
        <v>8379.6540000000005</v>
      </c>
      <c r="I31" s="1">
        <v>11163.646000000001</v>
      </c>
      <c r="K31" s="1">
        <v>9818.6869999999999</v>
      </c>
      <c r="L31" s="1">
        <v>14692.216</v>
      </c>
      <c r="M31" s="1">
        <v>15245.718000000001</v>
      </c>
      <c r="N31" s="1">
        <v>15429.996999999999</v>
      </c>
      <c r="O31" s="1">
        <v>17226.626</v>
      </c>
      <c r="P31" s="1">
        <v>14303.985000000001</v>
      </c>
      <c r="Q31" s="1">
        <v>15689.258</v>
      </c>
      <c r="R31" s="1">
        <v>16496.66</v>
      </c>
      <c r="S31" s="1">
        <v>15914.335999999999</v>
      </c>
      <c r="T31" s="1">
        <v>17546.830999999998</v>
      </c>
      <c r="U31" s="1">
        <v>20635.145</v>
      </c>
      <c r="V31" s="1">
        <v>22219.803</v>
      </c>
      <c r="W31" s="1">
        <v>20823.501</v>
      </c>
      <c r="X31" s="1">
        <v>19759.444</v>
      </c>
      <c r="Y31" s="1">
        <v>9694.0509999999995</v>
      </c>
      <c r="Z31" s="1">
        <v>13640.422</v>
      </c>
      <c r="AA31" s="1">
        <v>10732.297</v>
      </c>
      <c r="AB31" s="1">
        <v>13710.462</v>
      </c>
      <c r="AC31" s="1">
        <v>15680.822</v>
      </c>
      <c r="AE31" s="1">
        <v>14227.512000000001</v>
      </c>
    </row>
    <row r="32" spans="1:31">
      <c r="A32" s="1" t="s">
        <v>48</v>
      </c>
      <c r="F32" s="41">
        <v>3129.9009999999998</v>
      </c>
      <c r="I32" s="1">
        <v>3746.03</v>
      </c>
      <c r="K32" s="1">
        <v>3644.904</v>
      </c>
      <c r="L32" s="1">
        <v>11406.721</v>
      </c>
      <c r="M32" s="1">
        <v>12602.263000000001</v>
      </c>
      <c r="N32" s="1">
        <v>14017.145</v>
      </c>
      <c r="O32" s="1">
        <v>17873.975999999999</v>
      </c>
      <c r="P32" s="1">
        <v>16324.081</v>
      </c>
      <c r="Q32" s="1">
        <v>17151.217000000001</v>
      </c>
      <c r="R32" s="1">
        <v>17595.164000000001</v>
      </c>
      <c r="S32" s="1">
        <v>17251.087</v>
      </c>
      <c r="T32" s="1">
        <v>17782.342000000001</v>
      </c>
      <c r="U32" s="1">
        <v>19269.231</v>
      </c>
      <c r="V32" s="1">
        <v>21379.875</v>
      </c>
      <c r="W32" s="1">
        <v>21553.144</v>
      </c>
      <c r="X32" s="1">
        <v>22545.621999999999</v>
      </c>
      <c r="Y32" s="1">
        <v>20714.937999999998</v>
      </c>
      <c r="Z32" s="1">
        <v>21977.08</v>
      </c>
      <c r="AA32" s="1">
        <v>22459.348999999998</v>
      </c>
      <c r="AB32" s="1">
        <v>21514.275000000001</v>
      </c>
      <c r="AC32" s="1">
        <v>21229.891</v>
      </c>
      <c r="AE32" s="1">
        <v>21996.828000000001</v>
      </c>
    </row>
    <row r="33" spans="1:31">
      <c r="A33" s="1" t="s">
        <v>49</v>
      </c>
      <c r="F33" s="41">
        <v>494.80399999999997</v>
      </c>
      <c r="I33" s="1">
        <v>676.71699999999998</v>
      </c>
      <c r="K33" s="1">
        <v>1494.1119200000019</v>
      </c>
      <c r="L33" s="1">
        <v>1047.721</v>
      </c>
      <c r="M33" s="1">
        <v>1007.134</v>
      </c>
      <c r="N33" s="1">
        <v>896.93799999999999</v>
      </c>
      <c r="O33" s="1">
        <v>1016.404</v>
      </c>
      <c r="P33" s="1">
        <v>1629.0630000000001</v>
      </c>
      <c r="Q33" s="1">
        <v>1199.203</v>
      </c>
      <c r="R33" s="1">
        <v>1664.2670000000001</v>
      </c>
      <c r="S33" s="1">
        <v>1828.1949999999999</v>
      </c>
      <c r="T33" s="1">
        <v>3360.424</v>
      </c>
      <c r="U33" s="1">
        <v>3360.9270000000001</v>
      </c>
      <c r="V33" s="1">
        <v>3001.4209999999998</v>
      </c>
      <c r="W33" s="1">
        <v>3384.808</v>
      </c>
      <c r="X33" s="1">
        <v>2296.0320000000002</v>
      </c>
      <c r="Y33" s="1">
        <v>1703.4849999999999</v>
      </c>
      <c r="Z33" s="1">
        <v>1609.2550000000001</v>
      </c>
      <c r="AA33" s="1">
        <v>1765.3420000000001</v>
      </c>
      <c r="AB33" s="1">
        <v>2248.5230000000001</v>
      </c>
      <c r="AC33" s="1">
        <v>2472.7620000000002</v>
      </c>
      <c r="AE33" s="1">
        <v>3222.4490000000001</v>
      </c>
    </row>
    <row r="34" spans="1:31">
      <c r="A34" s="1" t="s">
        <v>50</v>
      </c>
      <c r="F34" s="41">
        <v>202.17699999999999</v>
      </c>
      <c r="I34" s="1">
        <v>1588.9</v>
      </c>
      <c r="K34" s="1">
        <v>294</v>
      </c>
      <c r="L34" s="1">
        <v>1242</v>
      </c>
      <c r="M34" s="1">
        <v>1898</v>
      </c>
      <c r="N34" s="1">
        <v>1490</v>
      </c>
      <c r="O34" s="1">
        <v>1105</v>
      </c>
      <c r="P34" s="1">
        <v>0</v>
      </c>
      <c r="Q34" s="1">
        <v>0</v>
      </c>
      <c r="R34" s="1">
        <v>0</v>
      </c>
      <c r="S34" s="1">
        <v>0</v>
      </c>
      <c r="T34" s="1">
        <v>0</v>
      </c>
      <c r="U34" s="1">
        <v>307.33199999999999</v>
      </c>
      <c r="V34" s="1">
        <v>261.63099999999997</v>
      </c>
      <c r="W34" s="1">
        <v>360.46899999999999</v>
      </c>
      <c r="X34" s="1">
        <v>474.63099999999997</v>
      </c>
      <c r="Y34" s="1">
        <v>617.86199999999997</v>
      </c>
      <c r="Z34" s="1">
        <v>515.67100000000005</v>
      </c>
      <c r="AA34" s="1">
        <v>567.14800000000002</v>
      </c>
      <c r="AB34" s="1">
        <v>759.49400000000003</v>
      </c>
      <c r="AC34" s="1">
        <v>1003.494</v>
      </c>
      <c r="AE34" s="1">
        <v>986.60699999999997</v>
      </c>
    </row>
    <row r="35" spans="1:31">
      <c r="A35" s="1" t="s">
        <v>51</v>
      </c>
      <c r="F35" s="41">
        <v>9569.5730000000003</v>
      </c>
      <c r="I35" s="1">
        <v>7156.2569999999996</v>
      </c>
      <c r="K35" s="1">
        <v>14885.175510000021</v>
      </c>
      <c r="L35" s="1">
        <v>19645.973000000002</v>
      </c>
      <c r="M35" s="1">
        <v>22524.19</v>
      </c>
      <c r="N35" s="1">
        <v>24707.054</v>
      </c>
      <c r="O35" s="1">
        <v>22042.307000000001</v>
      </c>
      <c r="P35" s="1">
        <v>22607.635999999999</v>
      </c>
      <c r="Q35" s="1">
        <v>23421.508000000002</v>
      </c>
      <c r="R35" s="1">
        <v>23085.295999999998</v>
      </c>
      <c r="S35" s="1">
        <v>24218.02</v>
      </c>
      <c r="T35" s="1">
        <v>26399.920999999998</v>
      </c>
      <c r="U35" s="1">
        <v>29866.194</v>
      </c>
      <c r="V35" s="1">
        <v>32108.524000000001</v>
      </c>
      <c r="W35" s="1">
        <v>28346.862000000001</v>
      </c>
      <c r="X35" s="1">
        <v>27103.757000000001</v>
      </c>
      <c r="Y35" s="1">
        <v>17041.41</v>
      </c>
      <c r="Z35" s="1">
        <v>15355.912</v>
      </c>
      <c r="AA35" s="1">
        <v>15056.758</v>
      </c>
      <c r="AB35" s="1">
        <v>24671.031999999999</v>
      </c>
      <c r="AC35" s="1">
        <v>27335.297999999999</v>
      </c>
      <c r="AE35" s="1">
        <v>30040.583999999999</v>
      </c>
    </row>
    <row r="36" spans="1:31">
      <c r="A36" s="1" t="s">
        <v>52</v>
      </c>
      <c r="F36" s="41">
        <v>8033.41</v>
      </c>
      <c r="I36" s="1">
        <v>15224.074000000001</v>
      </c>
      <c r="K36" s="1">
        <v>16059.759439999998</v>
      </c>
      <c r="L36" s="1">
        <v>16835.985000000001</v>
      </c>
      <c r="M36" s="1">
        <v>22111.853999999999</v>
      </c>
      <c r="N36" s="1">
        <v>21665.074000000001</v>
      </c>
      <c r="O36" s="1">
        <v>22857.018</v>
      </c>
      <c r="P36" s="1">
        <v>21212.285</v>
      </c>
      <c r="Q36" s="1">
        <v>23431.546999999999</v>
      </c>
      <c r="R36" s="1">
        <v>19292.361000000001</v>
      </c>
      <c r="S36" s="1">
        <v>19728.71</v>
      </c>
      <c r="T36" s="1">
        <v>21798.986000000001</v>
      </c>
      <c r="U36" s="1">
        <v>21528.235000000001</v>
      </c>
      <c r="V36" s="1">
        <v>41411.913</v>
      </c>
      <c r="W36" s="1">
        <v>40366.616000000002</v>
      </c>
      <c r="X36" s="1">
        <v>30986.531999999999</v>
      </c>
      <c r="Y36" s="1">
        <v>28403.39</v>
      </c>
      <c r="Z36" s="1">
        <v>29602.523000000001</v>
      </c>
      <c r="AA36" s="1">
        <v>26426.477999999999</v>
      </c>
      <c r="AB36" s="1">
        <v>30426.873</v>
      </c>
      <c r="AC36" s="1">
        <v>33888.847000000002</v>
      </c>
      <c r="AE36" s="1">
        <v>15629.484</v>
      </c>
    </row>
    <row r="37" spans="1:31">
      <c r="A37" s="1" t="s">
        <v>53</v>
      </c>
      <c r="F37" s="41">
        <v>1021.93</v>
      </c>
      <c r="I37" s="1">
        <v>2163.2460000000001</v>
      </c>
      <c r="K37" s="1">
        <v>4158.3519999999999</v>
      </c>
      <c r="L37" s="1">
        <v>3995.1309999999999</v>
      </c>
      <c r="M37" s="1">
        <v>4208.7719999999999</v>
      </c>
      <c r="N37" s="1">
        <v>2817.2559999999999</v>
      </c>
      <c r="O37" s="1">
        <v>2614.1709999999998</v>
      </c>
      <c r="P37" s="1">
        <v>2842.0810000000001</v>
      </c>
      <c r="Q37" s="1">
        <v>2998.0630000000001</v>
      </c>
      <c r="R37" s="1">
        <v>3638.011</v>
      </c>
      <c r="S37" s="1">
        <v>3811.2930000000001</v>
      </c>
      <c r="T37" s="1">
        <v>5280.9639999999999</v>
      </c>
      <c r="U37" s="1">
        <v>3738.018</v>
      </c>
      <c r="V37" s="1">
        <v>5256.2640000000001</v>
      </c>
      <c r="W37" s="1">
        <v>5323.9849999999997</v>
      </c>
      <c r="X37" s="1">
        <v>3097.5720000000001</v>
      </c>
      <c r="Y37" s="1">
        <v>9372.26</v>
      </c>
      <c r="Z37" s="1">
        <v>9845.0210000000006</v>
      </c>
      <c r="AA37" s="1">
        <v>9262.6010000000006</v>
      </c>
      <c r="AB37" s="1">
        <v>2901.567</v>
      </c>
      <c r="AC37" s="1">
        <v>2434.5650000000001</v>
      </c>
      <c r="AE37" s="1">
        <v>2298</v>
      </c>
    </row>
    <row r="38" spans="1:31">
      <c r="A38" s="1" t="s">
        <v>54</v>
      </c>
      <c r="F38" s="41">
        <v>562.76400000000001</v>
      </c>
      <c r="I38" s="1">
        <v>167.86600000000001</v>
      </c>
      <c r="K38" s="1">
        <v>278.28606000000241</v>
      </c>
      <c r="L38" s="1">
        <v>214.46799999999999</v>
      </c>
      <c r="M38" s="1">
        <v>72.453000000000003</v>
      </c>
      <c r="N38" s="1">
        <v>71.619</v>
      </c>
      <c r="O38" s="1">
        <v>63.74</v>
      </c>
      <c r="P38" s="1">
        <v>77.162999999999997</v>
      </c>
      <c r="Q38" s="1">
        <v>82.322000000000003</v>
      </c>
      <c r="R38" s="1">
        <v>101.675</v>
      </c>
      <c r="S38" s="1">
        <v>102.056</v>
      </c>
      <c r="T38" s="1">
        <v>76.447999999999993</v>
      </c>
      <c r="U38" s="1">
        <v>20.036000000000001</v>
      </c>
      <c r="V38" s="1">
        <v>0</v>
      </c>
      <c r="W38" s="1">
        <v>0</v>
      </c>
      <c r="X38" s="1">
        <v>0</v>
      </c>
      <c r="Y38" s="1">
        <v>0</v>
      </c>
      <c r="Z38" s="1">
        <v>0</v>
      </c>
      <c r="AA38" s="1">
        <v>0</v>
      </c>
      <c r="AB38" s="1">
        <v>0</v>
      </c>
      <c r="AC38" s="1">
        <v>0</v>
      </c>
      <c r="AE38" s="1">
        <v>0</v>
      </c>
    </row>
    <row r="39" spans="1:31">
      <c r="A39" s="23" t="s">
        <v>55</v>
      </c>
      <c r="B39" s="23"/>
      <c r="C39" s="23"/>
      <c r="D39" s="23"/>
      <c r="E39" s="23"/>
      <c r="F39" s="44">
        <v>2040.08</v>
      </c>
      <c r="G39" s="23"/>
      <c r="H39" s="23"/>
      <c r="I39" s="23">
        <v>2499.1990000000001</v>
      </c>
      <c r="J39" s="23"/>
      <c r="K39" s="23">
        <v>1729.865</v>
      </c>
      <c r="L39" s="23">
        <v>1796.827</v>
      </c>
      <c r="M39" s="23">
        <v>2233.4810000000002</v>
      </c>
      <c r="N39" s="23">
        <v>3618.7170000000001</v>
      </c>
      <c r="O39" s="23">
        <v>1528.2929999999999</v>
      </c>
      <c r="P39" s="23">
        <v>1717.347</v>
      </c>
      <c r="Q39" s="23">
        <v>1693.877</v>
      </c>
      <c r="R39" s="23">
        <v>2015.0219999999999</v>
      </c>
      <c r="S39" s="23">
        <v>1763.08</v>
      </c>
      <c r="T39" s="23">
        <v>1804.3389999999999</v>
      </c>
      <c r="U39" s="23">
        <v>2259.4679999999998</v>
      </c>
      <c r="V39" s="23">
        <v>2738.7730000000001</v>
      </c>
      <c r="W39" s="23">
        <v>2339.2910000000002</v>
      </c>
      <c r="X39" s="23">
        <v>2239.134</v>
      </c>
      <c r="Y39" s="23">
        <v>2318.7179999999998</v>
      </c>
      <c r="Z39" s="23">
        <v>2594.578</v>
      </c>
      <c r="AA39" s="23">
        <v>2951.4580000000001</v>
      </c>
      <c r="AB39" s="23">
        <v>2589.3589999999999</v>
      </c>
      <c r="AC39" s="23">
        <v>2814.9430000000002</v>
      </c>
      <c r="AD39" s="23"/>
      <c r="AE39" s="23">
        <v>2369.1219999999998</v>
      </c>
    </row>
    <row r="40" spans="1:31">
      <c r="A40" s="7" t="s">
        <v>56</v>
      </c>
      <c r="B40" s="47">
        <f>SUM(B42:B53)</f>
        <v>0</v>
      </c>
      <c r="C40" s="47">
        <f t="shared" ref="C40:AC40" si="12">SUM(C42:C53)</f>
        <v>0</v>
      </c>
      <c r="D40" s="47">
        <f t="shared" si="12"/>
        <v>0</v>
      </c>
      <c r="E40" s="47">
        <f t="shared" si="12"/>
        <v>0</v>
      </c>
      <c r="F40" s="47">
        <f t="shared" si="12"/>
        <v>121619.57100000001</v>
      </c>
      <c r="G40" s="47">
        <f t="shared" si="12"/>
        <v>0</v>
      </c>
      <c r="H40" s="47">
        <f t="shared" si="12"/>
        <v>0</v>
      </c>
      <c r="I40" s="47">
        <f t="shared" si="12"/>
        <v>155206.33900000001</v>
      </c>
      <c r="J40" s="47">
        <f t="shared" si="12"/>
        <v>0</v>
      </c>
      <c r="K40" s="47">
        <f t="shared" si="12"/>
        <v>202673.16846999998</v>
      </c>
      <c r="L40" s="47">
        <f t="shared" si="12"/>
        <v>223647.70800000001</v>
      </c>
      <c r="M40" s="47">
        <f t="shared" si="12"/>
        <v>250026.44800000003</v>
      </c>
      <c r="N40" s="47">
        <f t="shared" si="12"/>
        <v>258027.19700000004</v>
      </c>
      <c r="O40" s="47">
        <f t="shared" si="12"/>
        <v>255382.26699999999</v>
      </c>
      <c r="P40" s="47">
        <f t="shared" si="12"/>
        <v>224875.345</v>
      </c>
      <c r="Q40" s="47">
        <f t="shared" si="12"/>
        <v>223102.633</v>
      </c>
      <c r="R40" s="47">
        <f t="shared" si="12"/>
        <v>244407.37100000001</v>
      </c>
      <c r="S40" s="47">
        <f t="shared" si="12"/>
        <v>235799.804</v>
      </c>
      <c r="T40" s="47">
        <f t="shared" si="12"/>
        <v>251843.68100000001</v>
      </c>
      <c r="U40" s="47">
        <f t="shared" si="12"/>
        <v>282786.54399999994</v>
      </c>
      <c r="V40" s="47">
        <f t="shared" si="12"/>
        <v>309849.533</v>
      </c>
      <c r="W40" s="47">
        <f t="shared" si="12"/>
        <v>308746.54300000001</v>
      </c>
      <c r="X40" s="47">
        <f t="shared" si="12"/>
        <v>303860.18700000003</v>
      </c>
      <c r="Y40" s="47">
        <f t="shared" si="12"/>
        <v>258899.81099999999</v>
      </c>
      <c r="Z40" s="47">
        <f t="shared" si="12"/>
        <v>251664.67800000001</v>
      </c>
      <c r="AA40" s="47">
        <f t="shared" si="12"/>
        <v>232659.14599999998</v>
      </c>
      <c r="AB40" s="47">
        <f t="shared" si="12"/>
        <v>278899.95199999999</v>
      </c>
      <c r="AC40" s="47">
        <f t="shared" si="12"/>
        <v>281241.67199999996</v>
      </c>
      <c r="AD40" s="47">
        <f t="shared" ref="AD40:AE40" si="13">SUM(AD42:AD53)</f>
        <v>0</v>
      </c>
      <c r="AE40" s="47">
        <f t="shared" si="13"/>
        <v>292221.75900000002</v>
      </c>
    </row>
    <row r="41" spans="1:31">
      <c r="A41" s="7" t="s">
        <v>97</v>
      </c>
      <c r="X41" s="1">
        <v>0</v>
      </c>
      <c r="AB41" s="1">
        <v>0</v>
      </c>
      <c r="AC41" s="1">
        <v>0</v>
      </c>
    </row>
    <row r="42" spans="1:31">
      <c r="A42" s="1" t="s">
        <v>57</v>
      </c>
      <c r="F42" s="41">
        <v>41617.044000000002</v>
      </c>
      <c r="I42" s="1">
        <v>56890.107000000004</v>
      </c>
      <c r="K42" s="1">
        <v>58243.556949999991</v>
      </c>
      <c r="L42" s="1">
        <v>82563.534</v>
      </c>
      <c r="M42" s="1">
        <v>99239.675000000003</v>
      </c>
      <c r="N42" s="1">
        <v>103683.298</v>
      </c>
      <c r="O42" s="1">
        <v>96857.376000000004</v>
      </c>
      <c r="P42" s="1">
        <v>91625.531000000003</v>
      </c>
      <c r="Q42" s="1">
        <v>91134.91</v>
      </c>
      <c r="R42" s="1">
        <v>90382.357999999993</v>
      </c>
      <c r="S42" s="1">
        <v>90901.717000000004</v>
      </c>
      <c r="T42" s="1">
        <v>92904.633000000002</v>
      </c>
      <c r="U42" s="1">
        <v>93941.433000000005</v>
      </c>
      <c r="V42" s="1">
        <v>109715.359</v>
      </c>
      <c r="W42" s="1">
        <v>111853.48699999999</v>
      </c>
      <c r="X42" s="1">
        <v>112861.762</v>
      </c>
      <c r="Y42" s="1">
        <v>65434.500999999997</v>
      </c>
      <c r="Z42" s="1">
        <v>66321.914000000004</v>
      </c>
      <c r="AA42" s="1">
        <v>67605.455000000002</v>
      </c>
      <c r="AB42" s="1">
        <v>104636.026</v>
      </c>
      <c r="AC42" s="1">
        <v>101246.08900000001</v>
      </c>
      <c r="AE42" s="1">
        <v>117282.095</v>
      </c>
    </row>
    <row r="43" spans="1:31">
      <c r="A43" s="1" t="s">
        <v>58</v>
      </c>
      <c r="F43" s="41">
        <v>19777.100999999999</v>
      </c>
      <c r="I43" s="1">
        <v>18656.896000000001</v>
      </c>
      <c r="K43" s="1">
        <v>37413.828999999998</v>
      </c>
      <c r="L43" s="1">
        <v>26648.714</v>
      </c>
      <c r="M43" s="1">
        <v>24820.894</v>
      </c>
      <c r="N43" s="1">
        <v>26709.225999999999</v>
      </c>
      <c r="O43" s="1">
        <v>30185.499</v>
      </c>
      <c r="P43" s="1">
        <v>2530.192</v>
      </c>
      <c r="Q43" s="1">
        <v>2851.5259999999998</v>
      </c>
      <c r="R43" s="1">
        <v>2948.7510000000002</v>
      </c>
      <c r="S43" s="1">
        <v>2632.5059999999999</v>
      </c>
      <c r="T43" s="1">
        <v>1470.8910000000001</v>
      </c>
      <c r="U43" s="1">
        <v>3646.6260000000002</v>
      </c>
      <c r="V43" s="1">
        <v>5244.8639999999996</v>
      </c>
      <c r="W43" s="1">
        <v>5828.2330000000002</v>
      </c>
      <c r="X43" s="1">
        <v>3207.2710000000002</v>
      </c>
      <c r="Y43" s="1">
        <v>20029.217000000001</v>
      </c>
      <c r="Z43" s="1">
        <v>16677.278999999999</v>
      </c>
      <c r="AA43" s="1">
        <v>12602.388999999999</v>
      </c>
      <c r="AB43" s="1">
        <v>1060.2149999999999</v>
      </c>
      <c r="AC43" s="1">
        <v>1076.6400000000001</v>
      </c>
      <c r="AE43" s="1">
        <v>12626.050999999999</v>
      </c>
    </row>
    <row r="44" spans="1:31">
      <c r="A44" s="1" t="s">
        <v>59</v>
      </c>
      <c r="F44" s="41">
        <v>15110.588</v>
      </c>
      <c r="I44" s="1">
        <v>15132.572</v>
      </c>
      <c r="K44" s="1">
        <v>14291.415999999999</v>
      </c>
      <c r="L44" s="1">
        <v>18562.995999999999</v>
      </c>
      <c r="M44" s="1">
        <v>16991.351999999999</v>
      </c>
      <c r="N44" s="1">
        <v>22302.394</v>
      </c>
      <c r="O44" s="1">
        <v>17901.460999999999</v>
      </c>
      <c r="P44" s="1">
        <v>21402.284</v>
      </c>
      <c r="Q44" s="1">
        <v>22018.726999999999</v>
      </c>
      <c r="R44" s="1">
        <v>37098.432000000001</v>
      </c>
      <c r="S44" s="1">
        <v>27868.191999999999</v>
      </c>
      <c r="T44" s="1">
        <v>33386.241000000002</v>
      </c>
      <c r="U44" s="1">
        <v>34060.578999999998</v>
      </c>
      <c r="V44" s="1">
        <v>33330.523999999998</v>
      </c>
      <c r="W44" s="1">
        <v>32104.197</v>
      </c>
      <c r="X44" s="1">
        <v>31728.894</v>
      </c>
      <c r="Y44" s="1">
        <v>23420.43</v>
      </c>
      <c r="Z44" s="1">
        <v>21346.258000000002</v>
      </c>
      <c r="AA44" s="1">
        <v>17039.955999999998</v>
      </c>
      <c r="AB44" s="1">
        <v>22929.512999999999</v>
      </c>
      <c r="AC44" s="1">
        <v>21914.288</v>
      </c>
      <c r="AE44" s="1">
        <v>24597.432000000001</v>
      </c>
    </row>
    <row r="45" spans="1:31">
      <c r="A45" s="1" t="s">
        <v>60</v>
      </c>
      <c r="F45" s="41">
        <v>3743.21</v>
      </c>
      <c r="I45" s="1">
        <v>4721.759</v>
      </c>
      <c r="K45" s="1">
        <v>3858.7314399999977</v>
      </c>
      <c r="L45" s="1">
        <v>13652.298000000001</v>
      </c>
      <c r="M45" s="1">
        <v>9473.9320000000007</v>
      </c>
      <c r="N45" s="1">
        <v>14213.713</v>
      </c>
      <c r="O45" s="1">
        <v>18066.501</v>
      </c>
      <c r="P45" s="1">
        <v>4864.4719999999998</v>
      </c>
      <c r="Q45" s="1">
        <v>5232.7290000000003</v>
      </c>
      <c r="R45" s="1">
        <v>5747.4589999999998</v>
      </c>
      <c r="S45" s="1">
        <v>4535.3530000000001</v>
      </c>
      <c r="T45" s="1">
        <v>5433.9859999999999</v>
      </c>
      <c r="U45" s="1">
        <v>5403.6859999999997</v>
      </c>
      <c r="V45" s="1">
        <v>6308.3670000000002</v>
      </c>
      <c r="W45" s="1">
        <v>6632.415</v>
      </c>
      <c r="X45" s="1">
        <v>6766.5540000000001</v>
      </c>
      <c r="Y45" s="1">
        <v>6250.2049999999999</v>
      </c>
      <c r="Z45" s="1">
        <v>5729.665</v>
      </c>
      <c r="AA45" s="1">
        <v>5674.6530000000002</v>
      </c>
      <c r="AB45" s="1">
        <v>6316.0829999999996</v>
      </c>
      <c r="AC45" s="1">
        <v>6403.0450000000001</v>
      </c>
      <c r="AE45" s="1">
        <v>6106.2089999999998</v>
      </c>
    </row>
    <row r="46" spans="1:31">
      <c r="A46" s="1" t="s">
        <v>61</v>
      </c>
      <c r="F46" s="41">
        <v>10090.757</v>
      </c>
      <c r="I46" s="1">
        <v>15386.79</v>
      </c>
      <c r="K46" s="1">
        <v>20177.28769999999</v>
      </c>
      <c r="L46" s="1">
        <v>18006.113000000001</v>
      </c>
      <c r="M46" s="1">
        <v>18555.941999999999</v>
      </c>
      <c r="N46" s="1">
        <v>19179.263999999999</v>
      </c>
      <c r="O46" s="1">
        <v>18135.202000000001</v>
      </c>
      <c r="P46" s="1">
        <v>23802.429</v>
      </c>
      <c r="Q46" s="1">
        <v>25445.71</v>
      </c>
      <c r="R46" s="1">
        <v>27145.773000000001</v>
      </c>
      <c r="S46" s="1">
        <v>29879.792000000001</v>
      </c>
      <c r="T46" s="1">
        <v>33214.716</v>
      </c>
      <c r="U46" s="1">
        <v>38810.642</v>
      </c>
      <c r="V46" s="1">
        <v>47185.489000000001</v>
      </c>
      <c r="W46" s="1">
        <v>49867.57</v>
      </c>
      <c r="X46" s="1">
        <v>41627.974999999999</v>
      </c>
      <c r="Y46" s="1">
        <v>43839.762000000002</v>
      </c>
      <c r="Z46" s="1">
        <v>41546.843000000001</v>
      </c>
      <c r="AA46" s="1">
        <v>40745.120999999999</v>
      </c>
      <c r="AB46" s="1">
        <v>40939.875999999997</v>
      </c>
      <c r="AC46" s="1">
        <v>43063.383999999998</v>
      </c>
      <c r="AE46" s="1">
        <v>42124.898999999998</v>
      </c>
    </row>
    <row r="47" spans="1:31">
      <c r="A47" s="1" t="s">
        <v>62</v>
      </c>
      <c r="F47" s="41">
        <v>8235.9879999999994</v>
      </c>
      <c r="I47" s="1">
        <v>9387.7459999999992</v>
      </c>
      <c r="K47" s="1">
        <v>27266.884379999996</v>
      </c>
      <c r="L47" s="1">
        <v>7351.7470000000003</v>
      </c>
      <c r="M47" s="1">
        <v>9158.0830000000005</v>
      </c>
      <c r="N47" s="1">
        <v>7058.6239999999998</v>
      </c>
      <c r="O47" s="1">
        <v>6017.5780000000004</v>
      </c>
      <c r="P47" s="1">
        <v>6683.2449999999999</v>
      </c>
      <c r="Q47" s="1">
        <v>5855.6769999999997</v>
      </c>
      <c r="R47" s="1">
        <v>7372.5320000000002</v>
      </c>
      <c r="S47" s="1">
        <v>6932.5559999999996</v>
      </c>
      <c r="T47" s="1">
        <v>8347.0550000000003</v>
      </c>
      <c r="U47" s="1">
        <v>9397.9410000000007</v>
      </c>
      <c r="V47" s="1">
        <v>10653.137000000001</v>
      </c>
      <c r="W47" s="1">
        <v>11813</v>
      </c>
      <c r="X47" s="1">
        <v>9434.9689999999991</v>
      </c>
      <c r="Y47" s="1">
        <v>4172.5249999999996</v>
      </c>
      <c r="Z47" s="1">
        <v>4506.576</v>
      </c>
      <c r="AA47" s="1">
        <v>3643.0540000000001</v>
      </c>
      <c r="AB47" s="1">
        <v>6756.47</v>
      </c>
      <c r="AC47" s="1">
        <v>7284.1689999999999</v>
      </c>
      <c r="AE47" s="1">
        <v>8479.02</v>
      </c>
    </row>
    <row r="48" spans="1:31">
      <c r="A48" s="1" t="s">
        <v>63</v>
      </c>
      <c r="F48" s="41">
        <v>1284.796</v>
      </c>
      <c r="I48" s="1">
        <v>3509.364</v>
      </c>
      <c r="K48" s="1">
        <v>3533.165</v>
      </c>
      <c r="L48" s="1">
        <v>2248.6379999999999</v>
      </c>
      <c r="M48" s="1">
        <v>2435.39</v>
      </c>
      <c r="N48" s="1">
        <v>1116.9880000000001</v>
      </c>
      <c r="O48" s="1">
        <v>1281.058</v>
      </c>
      <c r="P48" s="1">
        <v>1022.652</v>
      </c>
      <c r="Q48" s="1">
        <v>1114.403</v>
      </c>
      <c r="R48" s="1">
        <v>1486.953</v>
      </c>
      <c r="S48" s="1">
        <v>1602.3309999999999</v>
      </c>
      <c r="T48" s="1">
        <v>1812.1</v>
      </c>
      <c r="U48" s="1">
        <v>1685.395</v>
      </c>
      <c r="V48" s="1">
        <v>1910.569</v>
      </c>
      <c r="W48" s="1">
        <v>2287.308</v>
      </c>
      <c r="X48" s="1">
        <v>7363.73</v>
      </c>
      <c r="Y48" s="1">
        <v>12589.835999999999</v>
      </c>
      <c r="Z48" s="1">
        <v>14546.817999999999</v>
      </c>
      <c r="AA48" s="1">
        <v>12627.266</v>
      </c>
      <c r="AB48" s="1">
        <v>13076.029</v>
      </c>
      <c r="AC48" s="1">
        <v>10886.848</v>
      </c>
      <c r="AE48" s="1">
        <v>3781.518</v>
      </c>
    </row>
    <row r="49" spans="1:31">
      <c r="A49" s="1" t="s">
        <v>64</v>
      </c>
      <c r="F49" s="41">
        <v>201.017</v>
      </c>
      <c r="I49" s="1">
        <v>0</v>
      </c>
      <c r="K49" s="1">
        <v>0</v>
      </c>
      <c r="L49" s="1">
        <v>0</v>
      </c>
      <c r="M49" s="1">
        <v>0</v>
      </c>
      <c r="N49" s="1">
        <v>0</v>
      </c>
      <c r="O49" s="1">
        <v>0</v>
      </c>
      <c r="P49" s="1">
        <v>330.77300000000002</v>
      </c>
      <c r="Q49" s="1">
        <v>0</v>
      </c>
      <c r="R49" s="1">
        <v>0</v>
      </c>
      <c r="S49" s="1">
        <v>0</v>
      </c>
      <c r="T49" s="1">
        <v>16</v>
      </c>
      <c r="U49" s="1">
        <v>0</v>
      </c>
      <c r="V49" s="1">
        <v>0</v>
      </c>
      <c r="W49" s="1">
        <v>0</v>
      </c>
      <c r="X49" s="1">
        <v>0</v>
      </c>
      <c r="Y49" s="1">
        <v>0</v>
      </c>
      <c r="Z49" s="1">
        <v>0</v>
      </c>
      <c r="AA49" s="1">
        <v>26.245000000000001</v>
      </c>
      <c r="AB49" s="1">
        <v>48.012999999999998</v>
      </c>
      <c r="AC49" s="1">
        <v>71.12</v>
      </c>
      <c r="AE49" s="1">
        <v>91.31</v>
      </c>
    </row>
    <row r="50" spans="1:31">
      <c r="A50" s="1" t="s">
        <v>65</v>
      </c>
      <c r="F50" s="41">
        <v>369.31299999999999</v>
      </c>
      <c r="I50" s="1">
        <v>501.01600000000002</v>
      </c>
      <c r="K50" s="1">
        <v>388.142</v>
      </c>
      <c r="L50" s="1">
        <v>823.37300000000005</v>
      </c>
      <c r="M50" s="1">
        <v>231.12200000000001</v>
      </c>
      <c r="N50" s="1">
        <v>46.92</v>
      </c>
      <c r="O50" s="1">
        <v>106.83499999999999</v>
      </c>
      <c r="P50" s="1">
        <v>20.204000000000001</v>
      </c>
      <c r="Q50" s="1">
        <v>96.918000000000006</v>
      </c>
      <c r="R50" s="1">
        <v>96.313999999999993</v>
      </c>
      <c r="S50" s="1">
        <v>119.19</v>
      </c>
      <c r="T50" s="1">
        <v>0</v>
      </c>
      <c r="U50" s="1">
        <v>0</v>
      </c>
      <c r="V50" s="1">
        <v>18.491</v>
      </c>
      <c r="W50" s="1">
        <v>0</v>
      </c>
      <c r="X50" s="1">
        <v>610.92100000000005</v>
      </c>
      <c r="Y50" s="1">
        <v>595.58900000000006</v>
      </c>
      <c r="Z50" s="1">
        <v>2257.7530000000002</v>
      </c>
      <c r="AA50" s="1">
        <v>2595.3980000000001</v>
      </c>
      <c r="AB50" s="1">
        <v>2395.0659999999998</v>
      </c>
      <c r="AC50" s="1">
        <v>2430.3560000000002</v>
      </c>
      <c r="AE50" s="1">
        <v>290.28800000000001</v>
      </c>
    </row>
    <row r="51" spans="1:31">
      <c r="A51" s="1" t="s">
        <v>66</v>
      </c>
      <c r="F51" s="41">
        <v>19946.499</v>
      </c>
      <c r="I51" s="1">
        <v>29174.625</v>
      </c>
      <c r="K51" s="1">
        <v>35095.660000000003</v>
      </c>
      <c r="L51" s="1">
        <v>50680.741999999998</v>
      </c>
      <c r="M51" s="1">
        <v>65735.199999999997</v>
      </c>
      <c r="N51" s="1">
        <v>60766.15</v>
      </c>
      <c r="O51" s="1">
        <v>64074.974000000002</v>
      </c>
      <c r="P51" s="1">
        <v>69525.680999999997</v>
      </c>
      <c r="Q51" s="1">
        <v>66496.608999999997</v>
      </c>
      <c r="R51" s="1">
        <v>68979.171000000002</v>
      </c>
      <c r="S51" s="1">
        <v>68376.994999999995</v>
      </c>
      <c r="T51" s="1">
        <v>71979.372000000003</v>
      </c>
      <c r="U51" s="1">
        <v>86755.626000000004</v>
      </c>
      <c r="V51" s="1">
        <v>91057.232000000004</v>
      </c>
      <c r="W51" s="1">
        <v>83999.918999999994</v>
      </c>
      <c r="X51" s="1">
        <v>85742.093999999997</v>
      </c>
      <c r="Y51" s="1">
        <v>72259.37</v>
      </c>
      <c r="Z51" s="1">
        <v>68184.649000000005</v>
      </c>
      <c r="AA51" s="1">
        <v>60068.392999999996</v>
      </c>
      <c r="AB51" s="1">
        <v>70423.258000000002</v>
      </c>
      <c r="AC51" s="1">
        <v>76268.717999999993</v>
      </c>
      <c r="AE51" s="1">
        <v>69020.172000000006</v>
      </c>
    </row>
    <row r="52" spans="1:31">
      <c r="A52" s="1" t="s">
        <v>67</v>
      </c>
      <c r="F52" s="41">
        <v>0</v>
      </c>
      <c r="I52" s="1">
        <v>0</v>
      </c>
      <c r="K52" s="1">
        <v>337.27300000000002</v>
      </c>
      <c r="L52" s="1">
        <v>874.07</v>
      </c>
      <c r="M52" s="1">
        <v>595.76499999999999</v>
      </c>
      <c r="N52" s="1">
        <v>218.15100000000001</v>
      </c>
      <c r="O52" s="1">
        <v>0</v>
      </c>
      <c r="P52" s="1">
        <v>5.2309999999999999</v>
      </c>
      <c r="Q52" s="1">
        <v>0</v>
      </c>
      <c r="R52" s="1">
        <v>0</v>
      </c>
      <c r="S52" s="1">
        <v>0</v>
      </c>
      <c r="T52" s="1">
        <v>0</v>
      </c>
      <c r="U52" s="1">
        <v>5694.3370000000004</v>
      </c>
      <c r="V52" s="1">
        <v>0</v>
      </c>
      <c r="W52" s="1">
        <v>0</v>
      </c>
      <c r="X52" s="1">
        <v>0</v>
      </c>
      <c r="Y52" s="1">
        <v>6336.0929999999998</v>
      </c>
      <c r="Z52" s="1">
        <v>6454.7830000000004</v>
      </c>
      <c r="AA52" s="1">
        <v>6231.2039999999997</v>
      </c>
      <c r="AB52" s="1">
        <v>6214.9470000000001</v>
      </c>
      <c r="AC52" s="1">
        <v>6687.29</v>
      </c>
      <c r="AE52" s="1">
        <v>6754.07</v>
      </c>
    </row>
    <row r="53" spans="1:31">
      <c r="A53" s="23" t="s">
        <v>68</v>
      </c>
      <c r="B53" s="23"/>
      <c r="C53" s="23"/>
      <c r="D53" s="23"/>
      <c r="E53" s="23"/>
      <c r="F53" s="44">
        <v>1243.258</v>
      </c>
      <c r="G53" s="23"/>
      <c r="H53" s="23"/>
      <c r="I53" s="23">
        <v>1845.4639999999999</v>
      </c>
      <c r="J53" s="23"/>
      <c r="K53" s="23">
        <v>2067.223</v>
      </c>
      <c r="L53" s="23">
        <v>2235.4830000000002</v>
      </c>
      <c r="M53" s="23">
        <v>2789.0929999999998</v>
      </c>
      <c r="N53" s="23">
        <v>2732.4690000000001</v>
      </c>
      <c r="O53" s="23">
        <v>2755.7829999999999</v>
      </c>
      <c r="P53" s="23">
        <v>3062.6509999999998</v>
      </c>
      <c r="Q53" s="23">
        <v>2855.424</v>
      </c>
      <c r="R53" s="23">
        <v>3149.6280000000002</v>
      </c>
      <c r="S53" s="23">
        <v>2951.172</v>
      </c>
      <c r="T53" s="23">
        <v>3278.6869999999999</v>
      </c>
      <c r="U53" s="23">
        <v>3390.279</v>
      </c>
      <c r="V53" s="23">
        <v>4425.5010000000002</v>
      </c>
      <c r="W53" s="23">
        <v>4360.4139999999998</v>
      </c>
      <c r="X53" s="23">
        <v>4516.0169999999998</v>
      </c>
      <c r="Y53" s="23">
        <v>3972.2829999999999</v>
      </c>
      <c r="Z53" s="23">
        <v>4092.14</v>
      </c>
      <c r="AA53" s="23">
        <v>3800.0120000000002</v>
      </c>
      <c r="AB53" s="23">
        <v>4104.4560000000001</v>
      </c>
      <c r="AC53" s="23">
        <v>3909.7249999999999</v>
      </c>
      <c r="AD53" s="23"/>
      <c r="AE53" s="23">
        <v>1068.6949999999999</v>
      </c>
    </row>
    <row r="54" spans="1:31">
      <c r="A54" s="7" t="s">
        <v>69</v>
      </c>
      <c r="B54" s="47">
        <f>SUM(B56:B64)</f>
        <v>0</v>
      </c>
      <c r="C54" s="47">
        <f t="shared" ref="C54:AC54" si="14">SUM(C56:C64)</f>
        <v>0</v>
      </c>
      <c r="D54" s="47">
        <f t="shared" si="14"/>
        <v>0</v>
      </c>
      <c r="E54" s="47">
        <f t="shared" si="14"/>
        <v>0</v>
      </c>
      <c r="F54" s="47">
        <f>SUM(F56:F64)</f>
        <v>43373.875999999997</v>
      </c>
      <c r="G54" s="47">
        <f t="shared" si="14"/>
        <v>0</v>
      </c>
      <c r="H54" s="47">
        <f t="shared" si="14"/>
        <v>0</v>
      </c>
      <c r="I54" s="47">
        <f t="shared" si="14"/>
        <v>48101.45</v>
      </c>
      <c r="J54" s="47">
        <f t="shared" si="14"/>
        <v>0</v>
      </c>
      <c r="K54" s="47">
        <f t="shared" si="14"/>
        <v>44776.628949999998</v>
      </c>
      <c r="L54" s="47">
        <f t="shared" si="14"/>
        <v>47661.200000000004</v>
      </c>
      <c r="M54" s="47">
        <f t="shared" si="14"/>
        <v>68063.415999999997</v>
      </c>
      <c r="N54" s="47">
        <f t="shared" si="14"/>
        <v>69274.463999999993</v>
      </c>
      <c r="O54" s="47">
        <f t="shared" si="14"/>
        <v>51258.775000000001</v>
      </c>
      <c r="P54" s="47">
        <f t="shared" si="14"/>
        <v>53512.597000000002</v>
      </c>
      <c r="Q54" s="47">
        <f t="shared" si="14"/>
        <v>54564.242000000006</v>
      </c>
      <c r="R54" s="47">
        <f t="shared" si="14"/>
        <v>53202.628000000004</v>
      </c>
      <c r="S54" s="47">
        <f t="shared" si="14"/>
        <v>52774.008999999998</v>
      </c>
      <c r="T54" s="47">
        <f t="shared" si="14"/>
        <v>59784.007999999994</v>
      </c>
      <c r="U54" s="47">
        <f t="shared" si="14"/>
        <v>73691.006000000008</v>
      </c>
      <c r="V54" s="47">
        <f t="shared" si="14"/>
        <v>80610.969999999987</v>
      </c>
      <c r="W54" s="47">
        <f t="shared" si="14"/>
        <v>82714.824999999997</v>
      </c>
      <c r="X54" s="47">
        <f t="shared" si="14"/>
        <v>79553.315000000002</v>
      </c>
      <c r="Y54" s="47">
        <f t="shared" si="14"/>
        <v>92547.968999999983</v>
      </c>
      <c r="Z54" s="47">
        <f t="shared" si="14"/>
        <v>93187.392000000007</v>
      </c>
      <c r="AA54" s="47">
        <f t="shared" si="14"/>
        <v>92408.686000000002</v>
      </c>
      <c r="AB54" s="47">
        <f t="shared" si="14"/>
        <v>72304.50499999999</v>
      </c>
      <c r="AC54" s="47">
        <f t="shared" si="14"/>
        <v>79505.509000000005</v>
      </c>
      <c r="AD54" s="47">
        <f t="shared" ref="AD54:AE54" si="15">SUM(AD56:AD64)</f>
        <v>0</v>
      </c>
      <c r="AE54" s="47">
        <f t="shared" si="15"/>
        <v>81414.145999999979</v>
      </c>
    </row>
    <row r="55" spans="1:31">
      <c r="A55" s="7" t="s">
        <v>97</v>
      </c>
      <c r="X55" s="1">
        <v>0</v>
      </c>
      <c r="AB55" s="1">
        <v>0</v>
      </c>
      <c r="AC55" s="1">
        <v>0</v>
      </c>
    </row>
    <row r="56" spans="1:31">
      <c r="A56" s="1" t="s">
        <v>70</v>
      </c>
      <c r="F56" s="41">
        <v>1523.3489999999999</v>
      </c>
      <c r="I56" s="1">
        <v>1280.5530000000001</v>
      </c>
      <c r="K56" s="1">
        <v>1243.8261999999993</v>
      </c>
      <c r="L56" s="1">
        <v>2226.6260000000002</v>
      </c>
      <c r="M56" s="1">
        <v>1739.242</v>
      </c>
      <c r="N56" s="1">
        <v>1534.3320000000001</v>
      </c>
      <c r="O56" s="1">
        <v>1088.7249999999999</v>
      </c>
      <c r="P56" s="1">
        <v>756.75900000000001</v>
      </c>
      <c r="Q56" s="1">
        <v>865.78399999999999</v>
      </c>
      <c r="R56" s="1">
        <v>1001.465</v>
      </c>
      <c r="S56" s="1">
        <v>760.52200000000005</v>
      </c>
      <c r="T56" s="1">
        <v>360.76100000000002</v>
      </c>
      <c r="U56" s="1">
        <v>348.6</v>
      </c>
      <c r="V56" s="1">
        <v>490.77699999999999</v>
      </c>
      <c r="W56" s="1">
        <v>771.95399999999995</v>
      </c>
      <c r="X56" s="1">
        <v>1063.6859999999999</v>
      </c>
      <c r="Y56" s="1">
        <v>1047.028</v>
      </c>
      <c r="Z56" s="1">
        <v>1049.3430000000001</v>
      </c>
      <c r="AA56" s="1">
        <v>1560.277</v>
      </c>
      <c r="AB56" s="1">
        <v>983.55499999999995</v>
      </c>
      <c r="AC56" s="1">
        <v>1200.82</v>
      </c>
      <c r="AE56" s="1">
        <v>1075.6320000000001</v>
      </c>
    </row>
    <row r="57" spans="1:31">
      <c r="A57" s="1" t="s">
        <v>71</v>
      </c>
      <c r="F57" s="41">
        <v>1153.48</v>
      </c>
      <c r="I57" s="1">
        <v>587.09699999999998</v>
      </c>
      <c r="K57" s="1">
        <v>440.34800000000001</v>
      </c>
      <c r="L57" s="1">
        <v>244.584</v>
      </c>
      <c r="M57" s="1">
        <v>246.53899999999999</v>
      </c>
      <c r="N57" s="1">
        <v>457.16</v>
      </c>
      <c r="O57" s="1">
        <v>476.50799999999998</v>
      </c>
      <c r="P57" s="1">
        <v>431.86399999999998</v>
      </c>
      <c r="Q57" s="1">
        <v>538.76900000000001</v>
      </c>
      <c r="R57" s="1">
        <v>244.89599999999999</v>
      </c>
      <c r="S57" s="1">
        <v>241.60599999999999</v>
      </c>
      <c r="T57" s="1">
        <v>470.95699999999999</v>
      </c>
      <c r="U57" s="1">
        <v>659.95299999999997</v>
      </c>
      <c r="V57" s="1">
        <v>447.87</v>
      </c>
      <c r="W57" s="1">
        <v>463.83800000000002</v>
      </c>
      <c r="X57" s="1">
        <v>580.846</v>
      </c>
      <c r="Y57" s="1">
        <v>559.46500000000003</v>
      </c>
      <c r="Z57" s="1">
        <v>1022.136</v>
      </c>
      <c r="AA57" s="1">
        <v>1201.78</v>
      </c>
      <c r="AB57" s="1">
        <v>751.52099999999996</v>
      </c>
      <c r="AC57" s="1">
        <v>1091.2260000000001</v>
      </c>
      <c r="AE57" s="1">
        <v>1028.6969999999999</v>
      </c>
    </row>
    <row r="58" spans="1:31" s="11" customFormat="1">
      <c r="A58" s="1" t="s">
        <v>72</v>
      </c>
      <c r="B58" s="1"/>
      <c r="C58" s="1"/>
      <c r="D58" s="1"/>
      <c r="E58" s="1"/>
      <c r="F58" s="41">
        <v>2784.8789999999999</v>
      </c>
      <c r="G58" s="1"/>
      <c r="H58" s="1"/>
      <c r="I58" s="1">
        <v>3082.2420000000002</v>
      </c>
      <c r="J58" s="1"/>
      <c r="K58" s="1">
        <v>4991.6080000000002</v>
      </c>
      <c r="L58" s="1">
        <v>6585.4340000000002</v>
      </c>
      <c r="M58" s="1">
        <v>6964.9740000000002</v>
      </c>
      <c r="N58" s="1">
        <v>6861.116</v>
      </c>
      <c r="O58" s="1">
        <v>5483.9229999999998</v>
      </c>
      <c r="P58" s="1">
        <v>5592.5690000000004</v>
      </c>
      <c r="Q58" s="1">
        <v>7142.8639999999996</v>
      </c>
      <c r="R58" s="1">
        <v>8064.1710000000003</v>
      </c>
      <c r="S58" s="1">
        <v>8159.7120000000004</v>
      </c>
      <c r="T58" s="1">
        <v>8007.4059999999999</v>
      </c>
      <c r="U58" s="1">
        <v>7956.1080000000002</v>
      </c>
      <c r="V58" s="1">
        <v>9248.3040000000001</v>
      </c>
      <c r="W58" s="1">
        <v>8854.393</v>
      </c>
      <c r="X58" s="1">
        <v>8270.6779999999999</v>
      </c>
      <c r="Y58" s="1">
        <v>10772.208000000001</v>
      </c>
      <c r="Z58" s="1">
        <v>10674.692999999999</v>
      </c>
      <c r="AA58" s="1">
        <v>11263.675999999999</v>
      </c>
      <c r="AB58" s="1">
        <v>12032.754999999999</v>
      </c>
      <c r="AC58" s="1">
        <v>12133.705</v>
      </c>
      <c r="AD58" s="1"/>
      <c r="AE58" s="1">
        <v>6997.4960000000001</v>
      </c>
    </row>
    <row r="59" spans="1:31">
      <c r="A59" s="1" t="s">
        <v>73</v>
      </c>
      <c r="F59" s="41">
        <v>11</v>
      </c>
      <c r="I59" s="1">
        <v>323.096</v>
      </c>
      <c r="K59" s="1">
        <v>136.80275</v>
      </c>
      <c r="L59" s="1">
        <v>50.555</v>
      </c>
      <c r="M59" s="1">
        <v>58.16</v>
      </c>
      <c r="N59" s="1">
        <v>63.933999999999997</v>
      </c>
      <c r="O59" s="1">
        <v>80.692999999999998</v>
      </c>
      <c r="P59" s="1">
        <v>60.311</v>
      </c>
      <c r="Q59" s="1">
        <v>37.33</v>
      </c>
      <c r="R59" s="1">
        <v>50.529000000000003</v>
      </c>
      <c r="S59" s="1">
        <v>34.805999999999997</v>
      </c>
      <c r="T59" s="1">
        <v>41.484000000000002</v>
      </c>
      <c r="U59" s="1">
        <v>23.268999999999998</v>
      </c>
      <c r="V59" s="1">
        <v>124.217</v>
      </c>
      <c r="W59" s="1">
        <v>213.97800000000001</v>
      </c>
      <c r="X59" s="1">
        <v>160.58500000000001</v>
      </c>
      <c r="Y59" s="1">
        <v>120.384</v>
      </c>
      <c r="Z59" s="1">
        <v>120.386</v>
      </c>
      <c r="AA59" s="1">
        <v>180.511</v>
      </c>
      <c r="AB59" s="1">
        <v>143.03200000000001</v>
      </c>
      <c r="AC59" s="1">
        <v>92.853999999999999</v>
      </c>
      <c r="AE59" s="1">
        <v>179.86</v>
      </c>
    </row>
    <row r="60" spans="1:31">
      <c r="A60" s="1" t="s">
        <v>74</v>
      </c>
      <c r="F60" s="41">
        <v>16667.510999999999</v>
      </c>
      <c r="I60" s="1">
        <v>19230.317999999999</v>
      </c>
      <c r="K60" s="1">
        <v>20878.339</v>
      </c>
      <c r="L60" s="1">
        <v>22402.169000000002</v>
      </c>
      <c r="M60" s="1">
        <v>22756.165000000001</v>
      </c>
      <c r="N60" s="1">
        <v>23389.297999999999</v>
      </c>
      <c r="O60" s="1">
        <v>26921.482</v>
      </c>
      <c r="P60" s="1">
        <v>26005.805</v>
      </c>
      <c r="Q60" s="1">
        <v>26695.406999999999</v>
      </c>
      <c r="R60" s="1">
        <v>26649.891</v>
      </c>
      <c r="S60" s="1">
        <v>26206.221000000001</v>
      </c>
      <c r="T60" s="1">
        <v>29450.565999999999</v>
      </c>
      <c r="U60" s="1">
        <v>28532.007000000001</v>
      </c>
      <c r="V60" s="1">
        <v>35131.856</v>
      </c>
      <c r="W60" s="1">
        <v>36173.076000000001</v>
      </c>
      <c r="X60" s="1">
        <v>34288.097999999998</v>
      </c>
      <c r="Y60" s="1">
        <v>32239.883999999998</v>
      </c>
      <c r="Z60" s="1">
        <v>32764.576000000001</v>
      </c>
      <c r="AA60" s="1">
        <v>34051.502</v>
      </c>
      <c r="AB60" s="1">
        <v>33433.014999999999</v>
      </c>
      <c r="AC60" s="1">
        <v>34195.194000000003</v>
      </c>
      <c r="AE60" s="1">
        <v>32075.235000000001</v>
      </c>
    </row>
    <row r="61" spans="1:31">
      <c r="A61" s="1" t="s">
        <v>75</v>
      </c>
      <c r="F61" s="41">
        <v>19091.597000000002</v>
      </c>
      <c r="I61" s="1">
        <v>21944.517</v>
      </c>
      <c r="K61" s="1">
        <v>15501.438</v>
      </c>
      <c r="L61" s="1">
        <v>14439.815000000001</v>
      </c>
      <c r="M61" s="1">
        <v>34475.016000000003</v>
      </c>
      <c r="N61" s="1">
        <v>34026.307999999997</v>
      </c>
      <c r="O61" s="1">
        <v>15419.305</v>
      </c>
      <c r="P61" s="1">
        <v>18681.816999999999</v>
      </c>
      <c r="Q61" s="1">
        <v>16981.596000000001</v>
      </c>
      <c r="R61" s="1">
        <v>14401.088</v>
      </c>
      <c r="S61" s="1">
        <v>15173.415000000001</v>
      </c>
      <c r="T61" s="1">
        <v>17512.056</v>
      </c>
      <c r="U61" s="1">
        <v>26396.44</v>
      </c>
      <c r="V61" s="1">
        <v>30159.401000000002</v>
      </c>
      <c r="W61" s="1">
        <v>29582.921999999999</v>
      </c>
      <c r="X61" s="1">
        <v>29246.386999999999</v>
      </c>
      <c r="Y61" s="1">
        <v>31874.629000000001</v>
      </c>
      <c r="Z61" s="1">
        <v>33002.824999999997</v>
      </c>
      <c r="AA61" s="1">
        <v>31501.552</v>
      </c>
      <c r="AB61" s="1">
        <v>19494.192999999999</v>
      </c>
      <c r="AC61" s="1">
        <v>25306.406999999999</v>
      </c>
      <c r="AE61" s="1">
        <v>33637.502</v>
      </c>
    </row>
    <row r="62" spans="1:31">
      <c r="A62" s="1" t="s">
        <v>76</v>
      </c>
      <c r="F62" s="41">
        <v>1033.8510000000001</v>
      </c>
      <c r="I62" s="1">
        <v>754.81500000000005</v>
      </c>
      <c r="K62" s="1">
        <v>581.40300000000002</v>
      </c>
      <c r="L62" s="1">
        <v>748.46600000000001</v>
      </c>
      <c r="M62" s="1">
        <v>943.84699999999998</v>
      </c>
      <c r="N62" s="1">
        <v>1821.5429999999999</v>
      </c>
      <c r="O62" s="1">
        <v>572.99599999999998</v>
      </c>
      <c r="P62" s="1">
        <v>720.04200000000003</v>
      </c>
      <c r="Q62" s="1">
        <v>859.29600000000005</v>
      </c>
      <c r="R62" s="1">
        <v>1093.4459999999999</v>
      </c>
      <c r="S62" s="1">
        <v>731.35599999999999</v>
      </c>
      <c r="T62" s="1">
        <v>2478.8609999999999</v>
      </c>
      <c r="U62" s="1">
        <v>2804.7530000000002</v>
      </c>
      <c r="V62" s="1">
        <v>3146.09</v>
      </c>
      <c r="W62" s="1">
        <v>4021.88</v>
      </c>
      <c r="X62" s="1">
        <v>3367.9969999999998</v>
      </c>
      <c r="Y62" s="1">
        <v>6145.4870000000001</v>
      </c>
      <c r="Z62" s="1">
        <v>3890.2420000000002</v>
      </c>
      <c r="AA62" s="1">
        <v>3056.0390000000002</v>
      </c>
      <c r="AB62" s="1">
        <v>3155.489</v>
      </c>
      <c r="AC62" s="1">
        <v>3221.2269999999999</v>
      </c>
      <c r="AE62" s="1">
        <v>3639.7220000000002</v>
      </c>
    </row>
    <row r="63" spans="1:31">
      <c r="A63" s="1" t="s">
        <v>77</v>
      </c>
      <c r="F63" s="41">
        <v>785.03700000000003</v>
      </c>
      <c r="I63" s="1">
        <v>788.42600000000004</v>
      </c>
      <c r="K63" s="1">
        <v>704.60400000000004</v>
      </c>
      <c r="L63" s="1">
        <v>838.56600000000003</v>
      </c>
      <c r="M63" s="1">
        <v>724.38900000000001</v>
      </c>
      <c r="N63" s="1">
        <v>836.19299999999998</v>
      </c>
      <c r="O63" s="1">
        <v>939.64099999999996</v>
      </c>
      <c r="P63" s="1">
        <v>855.51599999999996</v>
      </c>
      <c r="Q63" s="1">
        <v>1026.989</v>
      </c>
      <c r="R63" s="1">
        <v>1198.085</v>
      </c>
      <c r="S63" s="1">
        <v>1019.0940000000001</v>
      </c>
      <c r="T63" s="1">
        <v>1069.8389999999999</v>
      </c>
      <c r="U63" s="1">
        <v>1288.663</v>
      </c>
      <c r="V63" s="1">
        <v>1382.877</v>
      </c>
      <c r="W63" s="1">
        <v>1529.0429999999999</v>
      </c>
      <c r="X63" s="1">
        <v>1498.5150000000001</v>
      </c>
      <c r="Y63" s="1">
        <v>1429.2760000000001</v>
      </c>
      <c r="Z63" s="1">
        <v>1422.335</v>
      </c>
      <c r="AA63" s="1">
        <v>1187.4390000000001</v>
      </c>
      <c r="AB63" s="1">
        <v>1371.6020000000001</v>
      </c>
      <c r="AC63" s="1">
        <v>1232.5170000000001</v>
      </c>
      <c r="AE63" s="1">
        <v>1095.105</v>
      </c>
    </row>
    <row r="64" spans="1:31">
      <c r="A64" s="23" t="s">
        <v>78</v>
      </c>
      <c r="B64" s="23"/>
      <c r="C64" s="23"/>
      <c r="D64" s="23"/>
      <c r="E64" s="23"/>
      <c r="F64" s="44">
        <v>323.17200000000003</v>
      </c>
      <c r="G64" s="23"/>
      <c r="H64" s="23"/>
      <c r="I64" s="23">
        <v>110.386</v>
      </c>
      <c r="J64" s="23"/>
      <c r="K64" s="23">
        <v>298.26</v>
      </c>
      <c r="L64" s="23">
        <v>124.985</v>
      </c>
      <c r="M64" s="23">
        <v>155.084</v>
      </c>
      <c r="N64" s="23">
        <v>284.58</v>
      </c>
      <c r="O64" s="23">
        <v>275.50200000000001</v>
      </c>
      <c r="P64" s="23">
        <v>407.91399999999999</v>
      </c>
      <c r="Q64" s="23">
        <v>416.20699999999999</v>
      </c>
      <c r="R64" s="23">
        <v>499.05700000000002</v>
      </c>
      <c r="S64" s="23">
        <v>447.27699999999999</v>
      </c>
      <c r="T64" s="23">
        <v>392.07799999999997</v>
      </c>
      <c r="U64" s="23">
        <v>5681.2129999999997</v>
      </c>
      <c r="V64" s="23">
        <v>479.57799999999997</v>
      </c>
      <c r="W64" s="23">
        <v>1103.741</v>
      </c>
      <c r="X64" s="23">
        <v>1076.5229999999999</v>
      </c>
      <c r="Y64" s="23">
        <v>8359.6080000000002</v>
      </c>
      <c r="Z64" s="23">
        <v>9240.8559999999998</v>
      </c>
      <c r="AA64" s="23">
        <v>8405.91</v>
      </c>
      <c r="AB64" s="23">
        <v>939.34299999999996</v>
      </c>
      <c r="AC64" s="23">
        <v>1031.559</v>
      </c>
      <c r="AD64" s="23"/>
      <c r="AE64" s="23">
        <v>1684.8969999999999</v>
      </c>
    </row>
    <row r="65" spans="1:31">
      <c r="A65" s="45" t="s">
        <v>79</v>
      </c>
      <c r="B65" s="45"/>
      <c r="C65" s="45"/>
      <c r="D65" s="45"/>
      <c r="E65" s="45"/>
      <c r="F65" s="46">
        <v>0</v>
      </c>
      <c r="G65" s="45"/>
      <c r="H65" s="45"/>
      <c r="I65" s="45">
        <v>0</v>
      </c>
      <c r="J65" s="45"/>
      <c r="K65" s="45">
        <v>0</v>
      </c>
      <c r="L65" s="45">
        <v>0</v>
      </c>
      <c r="M65" s="45">
        <v>0</v>
      </c>
      <c r="N65" s="45">
        <v>0</v>
      </c>
      <c r="O65" s="45">
        <v>0</v>
      </c>
      <c r="P65" s="45">
        <v>0</v>
      </c>
      <c r="Q65" s="45">
        <v>0</v>
      </c>
      <c r="R65" s="45">
        <v>0</v>
      </c>
      <c r="S65" s="45">
        <v>0</v>
      </c>
      <c r="T65" s="45">
        <v>0</v>
      </c>
      <c r="U65" s="45"/>
      <c r="V65" s="45">
        <v>0</v>
      </c>
      <c r="W65" s="45">
        <v>0</v>
      </c>
      <c r="X65" s="23"/>
      <c r="Y65" s="23"/>
      <c r="Z65" s="23"/>
      <c r="AA65" s="23"/>
      <c r="AB65" s="23"/>
      <c r="AC65" s="23"/>
      <c r="AD65" s="23"/>
      <c r="AE65" s="23"/>
    </row>
    <row r="66" spans="1:31">
      <c r="F66" s="41"/>
    </row>
    <row r="67" spans="1:31">
      <c r="I67" s="19" t="s">
        <v>99</v>
      </c>
      <c r="J67" s="19" t="s">
        <v>100</v>
      </c>
      <c r="K67" s="19"/>
      <c r="L67" s="19" t="s">
        <v>101</v>
      </c>
      <c r="M67" s="19"/>
      <c r="N67" s="19"/>
      <c r="O67" s="19" t="s">
        <v>99</v>
      </c>
      <c r="P67" s="19" t="s">
        <v>99</v>
      </c>
      <c r="Q67" s="19" t="s">
        <v>99</v>
      </c>
      <c r="R67" s="19" t="s">
        <v>99</v>
      </c>
      <c r="S67" s="19"/>
      <c r="T67" s="19"/>
      <c r="U67" s="19"/>
      <c r="V67" s="19"/>
      <c r="W67" s="19"/>
    </row>
    <row r="68" spans="1:31">
      <c r="I68" s="1" t="s">
        <v>102</v>
      </c>
      <c r="J68" s="1" t="s">
        <v>103</v>
      </c>
      <c r="L68" s="1" t="s">
        <v>104</v>
      </c>
      <c r="O68" s="1" t="s">
        <v>102</v>
      </c>
      <c r="P68" s="1" t="s">
        <v>102</v>
      </c>
      <c r="Q68" s="1" t="s">
        <v>102</v>
      </c>
      <c r="R68" s="1" t="s">
        <v>102</v>
      </c>
    </row>
    <row r="69" spans="1:31">
      <c r="I69" s="1" t="s">
        <v>105</v>
      </c>
      <c r="J69" s="1" t="s">
        <v>106</v>
      </c>
      <c r="O69" s="1" t="s">
        <v>105</v>
      </c>
      <c r="P69" s="1" t="s">
        <v>105</v>
      </c>
      <c r="Q69" s="1" t="s">
        <v>105</v>
      </c>
      <c r="R69" s="1" t="s">
        <v>105</v>
      </c>
    </row>
    <row r="70" spans="1:31">
      <c r="J70" s="1" t="s">
        <v>107</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abColor indexed="58"/>
  </sheetPr>
  <dimension ref="A1:AF69"/>
  <sheetViews>
    <sheetView showZeros="0" zoomScale="80" zoomScaleNormal="80" workbookViewId="0">
      <pane xSplit="1" ySplit="5" topLeftCell="P6" activePane="bottomRight" state="frozen"/>
      <selection pane="topRight" activeCell="B52" sqref="B52"/>
      <selection pane="bottomLeft" activeCell="B52" sqref="B52"/>
      <selection pane="bottomRight" activeCell="AE12" sqref="AE12"/>
    </sheetView>
  </sheetViews>
  <sheetFormatPr defaultColWidth="9.85546875" defaultRowHeight="12.75"/>
  <cols>
    <col min="1" max="1" width="23.42578125" style="43" customWidth="1"/>
    <col min="2" max="22" width="12.42578125" style="1" customWidth="1"/>
    <col min="23" max="25" width="11.5703125" style="1" bestFit="1" customWidth="1"/>
    <col min="26" max="27" width="11.5703125" style="1" customWidth="1"/>
    <col min="28" max="29" width="11" style="1" bestFit="1" customWidth="1"/>
    <col min="30" max="31" width="12.42578125" style="1" customWidth="1"/>
    <col min="32" max="16384" width="9.85546875" style="1"/>
  </cols>
  <sheetData>
    <row r="1" spans="1:32">
      <c r="A1" s="7" t="s">
        <v>94</v>
      </c>
      <c r="B1"/>
      <c r="C1"/>
      <c r="D1"/>
      <c r="E1"/>
      <c r="F1"/>
      <c r="G1"/>
      <c r="H1"/>
      <c r="I1"/>
      <c r="J1"/>
      <c r="K1"/>
      <c r="L1"/>
      <c r="M1"/>
      <c r="N1"/>
      <c r="O1"/>
      <c r="P1"/>
      <c r="Q1"/>
      <c r="R1"/>
      <c r="S1"/>
      <c r="T1"/>
      <c r="U1"/>
      <c r="V1"/>
    </row>
    <row r="2" spans="1:32">
      <c r="A2" s="7" t="s">
        <v>131</v>
      </c>
      <c r="C2" s="9"/>
      <c r="D2" s="9"/>
      <c r="E2" s="9"/>
      <c r="F2" s="9"/>
    </row>
    <row r="3" spans="1:32">
      <c r="A3" s="1" t="s">
        <v>132</v>
      </c>
    </row>
    <row r="4" spans="1:32" s="32" customFormat="1">
      <c r="A4" s="33" t="s">
        <v>133</v>
      </c>
      <c r="B4" s="32">
        <v>1984</v>
      </c>
      <c r="C4" s="32">
        <v>1985</v>
      </c>
      <c r="D4" s="32">
        <v>1986</v>
      </c>
      <c r="E4" s="32">
        <v>1991</v>
      </c>
      <c r="F4" s="32">
        <v>1992</v>
      </c>
      <c r="G4" s="32">
        <v>1993</v>
      </c>
      <c r="H4" s="32">
        <v>1994</v>
      </c>
      <c r="I4" s="32">
        <v>1995</v>
      </c>
      <c r="J4" s="32">
        <v>1996</v>
      </c>
      <c r="K4" s="32">
        <v>1997</v>
      </c>
      <c r="L4" s="32">
        <v>2000</v>
      </c>
      <c r="M4" s="39">
        <v>2001</v>
      </c>
      <c r="N4" s="39">
        <v>2002</v>
      </c>
      <c r="O4" s="39">
        <v>2003</v>
      </c>
      <c r="P4" s="39">
        <v>2004</v>
      </c>
      <c r="Q4" s="39">
        <v>2005</v>
      </c>
      <c r="R4" s="39">
        <v>2006</v>
      </c>
      <c r="S4" s="39">
        <v>2007</v>
      </c>
      <c r="T4" s="39">
        <v>2008</v>
      </c>
      <c r="U4" s="39">
        <v>2009</v>
      </c>
      <c r="V4" s="39">
        <v>2010</v>
      </c>
      <c r="W4" s="39">
        <v>2011</v>
      </c>
      <c r="X4" s="32" t="s">
        <v>111</v>
      </c>
      <c r="Y4" s="32" t="s">
        <v>112</v>
      </c>
      <c r="Z4" s="32" t="s">
        <v>113</v>
      </c>
      <c r="AA4" s="32" t="s">
        <v>114</v>
      </c>
      <c r="AB4" s="95" t="s">
        <v>115</v>
      </c>
      <c r="AC4" s="95" t="s">
        <v>116</v>
      </c>
      <c r="AD4" s="96">
        <v>2018</v>
      </c>
      <c r="AE4" s="96">
        <v>2019</v>
      </c>
    </row>
    <row r="5" spans="1:32">
      <c r="B5" s="8" t="s">
        <v>96</v>
      </c>
      <c r="C5" s="8" t="s">
        <v>96</v>
      </c>
      <c r="D5" s="8" t="s">
        <v>96</v>
      </c>
      <c r="E5" s="8" t="s">
        <v>96</v>
      </c>
      <c r="F5" s="8" t="s">
        <v>96</v>
      </c>
      <c r="G5" s="8" t="s">
        <v>96</v>
      </c>
      <c r="H5" s="8" t="s">
        <v>96</v>
      </c>
      <c r="I5" s="8" t="s">
        <v>96</v>
      </c>
      <c r="J5" s="8" t="s">
        <v>96</v>
      </c>
      <c r="K5" s="8" t="s">
        <v>96</v>
      </c>
      <c r="L5" s="8" t="s">
        <v>96</v>
      </c>
      <c r="M5" s="8" t="s">
        <v>96</v>
      </c>
      <c r="N5" s="8" t="s">
        <v>96</v>
      </c>
      <c r="O5" s="8" t="s">
        <v>96</v>
      </c>
      <c r="P5" s="8" t="s">
        <v>96</v>
      </c>
      <c r="Q5" s="8" t="s">
        <v>96</v>
      </c>
      <c r="R5" s="8" t="s">
        <v>96</v>
      </c>
      <c r="S5" s="8" t="s">
        <v>96</v>
      </c>
      <c r="T5" s="8" t="s">
        <v>96</v>
      </c>
      <c r="U5" s="8" t="s">
        <v>96</v>
      </c>
      <c r="V5" s="8" t="s">
        <v>96</v>
      </c>
      <c r="W5" s="8" t="s">
        <v>96</v>
      </c>
      <c r="X5" s="8" t="s">
        <v>96</v>
      </c>
      <c r="Y5" s="8" t="s">
        <v>96</v>
      </c>
      <c r="Z5" s="8" t="s">
        <v>96</v>
      </c>
      <c r="AA5" s="8" t="s">
        <v>96</v>
      </c>
      <c r="AB5" s="8" t="s">
        <v>96</v>
      </c>
      <c r="AC5" s="8" t="s">
        <v>96</v>
      </c>
      <c r="AD5" s="8" t="s">
        <v>96</v>
      </c>
      <c r="AE5" s="8" t="s">
        <v>96</v>
      </c>
      <c r="AF5" s="8"/>
    </row>
    <row r="6" spans="1:32">
      <c r="A6" s="23" t="s">
        <v>24</v>
      </c>
      <c r="B6" s="51">
        <f>+'ACADEMIC SUPP 4yr'!B6+'STU SERVICES 4yr'!B6+'INST SUPPORT 4yr'!B6</f>
        <v>8162348</v>
      </c>
      <c r="C6" s="51">
        <f>+'ACADEMIC SUPP 4yr'!C6+'STU SERVICES 4yr'!C6+'INST SUPPORT 4yr'!C6</f>
        <v>9090106</v>
      </c>
      <c r="D6" s="51">
        <f>+'ACADEMIC SUPP 4yr'!D6+'STU SERVICES 4yr'!D6+'INST SUPPORT 4yr'!D6</f>
        <v>9943230</v>
      </c>
      <c r="E6" s="51">
        <f>+'ACADEMIC SUPP 4yr'!E6+'STU SERVICES 4yr'!E6+'INST SUPPORT 4yr'!E6</f>
        <v>13822248.978</v>
      </c>
      <c r="F6" s="51">
        <f>+'ACADEMIC SUPP 4yr'!F6+'STU SERVICES 4yr'!F6+'INST SUPPORT 4yr'!F6</f>
        <v>13917456.579</v>
      </c>
      <c r="G6" s="51">
        <f>+'ACADEMIC SUPP 4yr'!G6+'STU SERVICES 4yr'!G6+'INST SUPPORT 4yr'!G6</f>
        <v>15632464.721000001</v>
      </c>
      <c r="H6" s="51">
        <f>+'ACADEMIC SUPP 4yr'!H6+'STU SERVICES 4yr'!H6+'INST SUPPORT 4yr'!H6</f>
        <v>16064880.603</v>
      </c>
      <c r="I6" s="51">
        <f>+'ACADEMIC SUPP 4yr'!I6+'STU SERVICES 4yr'!I6+'INST SUPPORT 4yr'!I6</f>
        <v>16293172.188999999</v>
      </c>
      <c r="J6" s="51">
        <f>+'ACADEMIC SUPP 4yr'!J6+'STU SERVICES 4yr'!J6+'INST SUPPORT 4yr'!J6</f>
        <v>18059148.75</v>
      </c>
      <c r="K6" s="51">
        <f>+'ACADEMIC SUPP 4yr'!K6+'STU SERVICES 4yr'!K6+'INST SUPPORT 4yr'!K6</f>
        <v>19214034.839639999</v>
      </c>
      <c r="L6" s="51">
        <f>+'ACADEMIC SUPP 4yr'!L6+'STU SERVICES 4yr'!L6+'INST SUPPORT 4yr'!L6</f>
        <v>22531727.085000001</v>
      </c>
      <c r="M6" s="51">
        <f>+'ACADEMIC SUPP 4yr'!M6+'STU SERVICES 4yr'!M6+'INST SUPPORT 4yr'!M6</f>
        <v>24077379.785000004</v>
      </c>
      <c r="N6" s="51">
        <f>+'ACADEMIC SUPP 4yr'!N6+'STU SERVICES 4yr'!N6+'INST SUPPORT 4yr'!N6</f>
        <v>23947245.572999999</v>
      </c>
      <c r="O6" s="51">
        <f>+'ACADEMIC SUPP 4yr'!O6+'STU SERVICES 4yr'!O6+'INST SUPPORT 4yr'!O6</f>
        <v>24614874.047000002</v>
      </c>
      <c r="P6" s="51">
        <f>+'ACADEMIC SUPP 4yr'!P6+'STU SERVICES 4yr'!P6+'INST SUPPORT 4yr'!P6</f>
        <v>25712318.671</v>
      </c>
      <c r="Q6" s="51">
        <f>+'ACADEMIC SUPP 4yr'!Q6+'STU SERVICES 4yr'!Q6+'INST SUPPORT 4yr'!Q6</f>
        <v>27707041.592999998</v>
      </c>
      <c r="R6" s="51">
        <f>+'ACADEMIC SUPP 4yr'!R6+'STU SERVICES 4yr'!R6+'INST SUPPORT 4yr'!R6</f>
        <v>28866888.938000001</v>
      </c>
      <c r="S6" s="51">
        <f>+'ACADEMIC SUPP 4yr'!S6+'STU SERVICES 4yr'!S6+'INST SUPPORT 4yr'!S6</f>
        <v>31074429.906999998</v>
      </c>
      <c r="T6" s="51">
        <f>+'ACADEMIC SUPP 4yr'!T6+'STU SERVICES 4yr'!T6+'INST SUPPORT 4yr'!T6</f>
        <v>35519046.8895</v>
      </c>
      <c r="U6" s="51">
        <f>+'ACADEMIC SUPP 4yr'!U6+'STU SERVICES 4yr'!U6+'INST SUPPORT 4yr'!U6</f>
        <v>34763769.917000003</v>
      </c>
      <c r="V6" s="51">
        <f>+'ACADEMIC SUPP 4yr'!V6+'STU SERVICES 4yr'!V6+'INST SUPPORT 4yr'!V6</f>
        <v>41730934.218000002</v>
      </c>
      <c r="W6" s="51">
        <f>+'ACADEMIC SUPP 4yr'!W6+'STU SERVICES 4yr'!W6+'INST SUPPORT 4yr'!W6</f>
        <v>43518532.544</v>
      </c>
      <c r="X6" s="51">
        <f>+'ACADEMIC SUPP 4yr'!X6+'STU SERVICES 4yr'!X6+'INST SUPPORT 4yr'!X6</f>
        <v>45416801.177000001</v>
      </c>
      <c r="Y6" s="51">
        <f>+'ACADEMIC SUPP 4yr'!Y6+'STU SERVICES 4yr'!Y6+'INST SUPPORT 4yr'!Y6</f>
        <v>46506907.855999999</v>
      </c>
      <c r="Z6" s="51">
        <f>+'ACADEMIC SUPP 4yr'!Z6+'STU SERVICES 4yr'!Z6+'INST SUPPORT 4yr'!Z6</f>
        <v>49597558.03199999</v>
      </c>
      <c r="AA6" s="51">
        <f>+'ACADEMIC SUPP 4yr'!AA6+'STU SERVICES 4yr'!AA6+'INST SUPPORT 4yr'!AA6</f>
        <v>51628999.917999998</v>
      </c>
      <c r="AB6" s="51">
        <f>+'ACADEMIC SUPP 4yr'!AB6+'STU SERVICES 4yr'!AB6+'INST SUPPORT 4yr'!AB6</f>
        <v>55400110.101999998</v>
      </c>
      <c r="AC6" s="51">
        <f>+'ACADEMIC SUPP 4yr'!AC6+'STU SERVICES 4yr'!AC6+'INST SUPPORT 4yr'!AC6</f>
        <v>57745217.518000007</v>
      </c>
      <c r="AD6" s="51">
        <f>+'ACADEMIC SUPP 4yr'!AD6+'STU SERVICES 4yr'!AD6+'INST SUPPORT 4yr'!AD6</f>
        <v>0</v>
      </c>
      <c r="AE6" s="51">
        <f>+'ACADEMIC SUPP 4yr'!AE6+'STU SERVICES 4yr'!AE6+'INST SUPPORT 4yr'!AE6</f>
        <v>61366149.375000015</v>
      </c>
    </row>
    <row r="7" spans="1:32">
      <c r="A7" s="1" t="s">
        <v>25</v>
      </c>
      <c r="B7" s="47">
        <f>+'ACADEMIC SUPP 4yr'!B7+'STU SERVICES 4yr'!B7+'INST SUPPORT 4yr'!B7</f>
        <v>2414001</v>
      </c>
      <c r="C7" s="47">
        <f>+'ACADEMIC SUPP 4yr'!C7+'STU SERVICES 4yr'!C7+'INST SUPPORT 4yr'!C7</f>
        <v>2702023</v>
      </c>
      <c r="D7" s="47">
        <f>+'ACADEMIC SUPP 4yr'!D7+'STU SERVICES 4yr'!D7+'INST SUPPORT 4yr'!D7</f>
        <v>2937600</v>
      </c>
      <c r="E7" s="47">
        <f>+'ACADEMIC SUPP 4yr'!E7+'STU SERVICES 4yr'!E7+'INST SUPPORT 4yr'!E7</f>
        <v>4284654.2950000009</v>
      </c>
      <c r="F7" s="47">
        <f>+'ACADEMIC SUPP 4yr'!F7+'STU SERVICES 4yr'!F7+'INST SUPPORT 4yr'!F7</f>
        <v>4313900.0069999993</v>
      </c>
      <c r="G7" s="47">
        <f>+'ACADEMIC SUPP 4yr'!G7+'STU SERVICES 4yr'!G7+'INST SUPPORT 4yr'!G7</f>
        <v>4581483.7659999998</v>
      </c>
      <c r="H7" s="47">
        <f>+'ACADEMIC SUPP 4yr'!H7+'STU SERVICES 4yr'!H7+'INST SUPPORT 4yr'!H7</f>
        <v>4935165.733</v>
      </c>
      <c r="I7" s="47">
        <f>+'ACADEMIC SUPP 4yr'!I7+'STU SERVICES 4yr'!I7+'INST SUPPORT 4yr'!I7</f>
        <v>5228401.7709999997</v>
      </c>
      <c r="J7" s="47">
        <f>+'ACADEMIC SUPP 4yr'!J7+'STU SERVICES 4yr'!J7+'INST SUPPORT 4yr'!J7</f>
        <v>5712710.3729999997</v>
      </c>
      <c r="K7" s="47">
        <f>+'ACADEMIC SUPP 4yr'!K7+'STU SERVICES 4yr'!K7+'INST SUPPORT 4yr'!K7</f>
        <v>6117053.11417</v>
      </c>
      <c r="L7" s="47">
        <f>+'ACADEMIC SUPP 4yr'!L7+'STU SERVICES 4yr'!L7+'INST SUPPORT 4yr'!L7</f>
        <v>7569974.8640000019</v>
      </c>
      <c r="M7" s="47">
        <f>+'ACADEMIC SUPP 4yr'!M7+'STU SERVICES 4yr'!M7+'INST SUPPORT 4yr'!M7</f>
        <v>8167831.4499999993</v>
      </c>
      <c r="N7" s="47">
        <f>+'ACADEMIC SUPP 4yr'!N7+'STU SERVICES 4yr'!N7+'INST SUPPORT 4yr'!N7</f>
        <v>8337910.5</v>
      </c>
      <c r="O7" s="47">
        <f>+'ACADEMIC SUPP 4yr'!O7+'STU SERVICES 4yr'!O7+'INST SUPPORT 4yr'!O7</f>
        <v>8971039.8780000005</v>
      </c>
      <c r="P7" s="47">
        <f>+'ACADEMIC SUPP 4yr'!P7+'STU SERVICES 4yr'!P7+'INST SUPPORT 4yr'!P7</f>
        <v>9362443.0130000003</v>
      </c>
      <c r="Q7" s="47">
        <f>+'ACADEMIC SUPP 4yr'!Q7+'STU SERVICES 4yr'!Q7+'INST SUPPORT 4yr'!Q7</f>
        <v>10134793.869000001</v>
      </c>
      <c r="R7" s="47">
        <f>+'ACADEMIC SUPP 4yr'!R7+'STU SERVICES 4yr'!R7+'INST SUPPORT 4yr'!R7</f>
        <v>10639129.309</v>
      </c>
      <c r="S7" s="47">
        <f>+'ACADEMIC SUPP 4yr'!S7+'STU SERVICES 4yr'!S7+'INST SUPPORT 4yr'!S7</f>
        <v>11382072.734999999</v>
      </c>
      <c r="T7" s="47">
        <f>+'ACADEMIC SUPP 4yr'!T7+'STU SERVICES 4yr'!T7+'INST SUPPORT 4yr'!T7</f>
        <v>12977896.295</v>
      </c>
      <c r="U7" s="47">
        <f>+'ACADEMIC SUPP 4yr'!U7+'STU SERVICES 4yr'!U7+'INST SUPPORT 4yr'!U7</f>
        <v>12191818.654000001</v>
      </c>
      <c r="V7" s="47">
        <f>+'ACADEMIC SUPP 4yr'!V7+'STU SERVICES 4yr'!V7+'INST SUPPORT 4yr'!V7</f>
        <v>15395031.940000001</v>
      </c>
      <c r="W7" s="47">
        <f>+'ACADEMIC SUPP 4yr'!W7+'STU SERVICES 4yr'!W7+'INST SUPPORT 4yr'!W7</f>
        <v>15906893.419</v>
      </c>
      <c r="X7" s="47">
        <f>+'ACADEMIC SUPP 4yr'!X7+'STU SERVICES 4yr'!X7+'INST SUPPORT 4yr'!X7</f>
        <v>16224520.933999997</v>
      </c>
      <c r="Y7" s="47">
        <f>+'ACADEMIC SUPP 4yr'!Y7+'STU SERVICES 4yr'!Y7+'INST SUPPORT 4yr'!Y7</f>
        <v>16146764.405000001</v>
      </c>
      <c r="Z7" s="47">
        <f>+'ACADEMIC SUPP 4yr'!Z7+'STU SERVICES 4yr'!Z7+'INST SUPPORT 4yr'!Z7</f>
        <v>17219796.663000003</v>
      </c>
      <c r="AA7" s="47">
        <f>+'ACADEMIC SUPP 4yr'!AA7+'STU SERVICES 4yr'!AA7+'INST SUPPORT 4yr'!AA7</f>
        <v>18034368.041999999</v>
      </c>
      <c r="AB7" s="47">
        <f>+'ACADEMIC SUPP 4yr'!AB7+'STU SERVICES 4yr'!AB7+'INST SUPPORT 4yr'!AB7</f>
        <v>19453981.797000002</v>
      </c>
      <c r="AC7" s="47">
        <f>+'ACADEMIC SUPP 4yr'!AC7+'STU SERVICES 4yr'!AC7+'INST SUPPORT 4yr'!AC7</f>
        <v>20532308.981999997</v>
      </c>
      <c r="AD7" s="47">
        <f>+'ACADEMIC SUPP 4yr'!AD7+'STU SERVICES 4yr'!AD7+'INST SUPPORT 4yr'!AD7</f>
        <v>0</v>
      </c>
      <c r="AE7" s="47">
        <f>+'ACADEMIC SUPP 4yr'!AE7+'STU SERVICES 4yr'!AE7+'INST SUPPORT 4yr'!AE7</f>
        <v>21906198.501000002</v>
      </c>
    </row>
    <row r="8" spans="1:32">
      <c r="A8" s="7" t="s">
        <v>97</v>
      </c>
      <c r="B8" s="47">
        <f>+'ACADEMIC SUPP 4yr'!B8+'STU SERVICES 4yr'!B8+'INST SUPPORT 4yr'!B8</f>
        <v>0</v>
      </c>
      <c r="C8" s="47">
        <f>+'ACADEMIC SUPP 4yr'!C8+'STU SERVICES 4yr'!C8+'INST SUPPORT 4yr'!C8</f>
        <v>0</v>
      </c>
      <c r="D8" s="47">
        <f>+'ACADEMIC SUPP 4yr'!D8+'STU SERVICES 4yr'!D8+'INST SUPPORT 4yr'!D8</f>
        <v>0</v>
      </c>
      <c r="E8" s="47">
        <f>+'ACADEMIC SUPP 4yr'!E8+'STU SERVICES 4yr'!E8+'INST SUPPORT 4yr'!E8</f>
        <v>0</v>
      </c>
      <c r="F8" s="47">
        <f>+'ACADEMIC SUPP 4yr'!F8+'STU SERVICES 4yr'!F8+'INST SUPPORT 4yr'!F8</f>
        <v>0</v>
      </c>
      <c r="G8" s="47">
        <f>+'ACADEMIC SUPP 4yr'!G8+'STU SERVICES 4yr'!G8+'INST SUPPORT 4yr'!G8</f>
        <v>0</v>
      </c>
      <c r="H8" s="47">
        <f>+'ACADEMIC SUPP 4yr'!H8+'STU SERVICES 4yr'!H8+'INST SUPPORT 4yr'!H8</f>
        <v>0</v>
      </c>
      <c r="I8" s="47">
        <f>+'ACADEMIC SUPP 4yr'!I8+'STU SERVICES 4yr'!I8+'INST SUPPORT 4yr'!I8</f>
        <v>0</v>
      </c>
      <c r="J8" s="47">
        <f>+'ACADEMIC SUPP 4yr'!J8+'STU SERVICES 4yr'!J8+'INST SUPPORT 4yr'!J8</f>
        <v>0</v>
      </c>
      <c r="K8" s="47">
        <f>+'ACADEMIC SUPP 4yr'!K8+'STU SERVICES 4yr'!K8+'INST SUPPORT 4yr'!K8</f>
        <v>0</v>
      </c>
      <c r="L8" s="47">
        <f>+'ACADEMIC SUPP 4yr'!L8+'STU SERVICES 4yr'!L8+'INST SUPPORT 4yr'!L8</f>
        <v>0</v>
      </c>
      <c r="M8" s="47">
        <f>+'ACADEMIC SUPP 4yr'!M8+'STU SERVICES 4yr'!M8+'INST SUPPORT 4yr'!M8</f>
        <v>0</v>
      </c>
      <c r="N8" s="47">
        <f>+'ACADEMIC SUPP 4yr'!N8+'STU SERVICES 4yr'!N8+'INST SUPPORT 4yr'!N8</f>
        <v>0</v>
      </c>
      <c r="O8" s="47">
        <f>+'ACADEMIC SUPP 4yr'!O8+'STU SERVICES 4yr'!O8+'INST SUPPORT 4yr'!O8</f>
        <v>0</v>
      </c>
      <c r="P8" s="47">
        <f>+'ACADEMIC SUPP 4yr'!P8+'STU SERVICES 4yr'!P8+'INST SUPPORT 4yr'!P8</f>
        <v>0</v>
      </c>
      <c r="Q8" s="47">
        <f>+'ACADEMIC SUPP 4yr'!Q8+'STU SERVICES 4yr'!Q8+'INST SUPPORT 4yr'!Q8</f>
        <v>0</v>
      </c>
      <c r="R8" s="47">
        <f>+'ACADEMIC SUPP 4yr'!R8+'STU SERVICES 4yr'!R8+'INST SUPPORT 4yr'!R8</f>
        <v>0</v>
      </c>
      <c r="S8" s="47">
        <f>+'ACADEMIC SUPP 4yr'!S8+'STU SERVICES 4yr'!S8+'INST SUPPORT 4yr'!S8</f>
        <v>0</v>
      </c>
      <c r="T8" s="47">
        <f>+'ACADEMIC SUPP 4yr'!T8+'STU SERVICES 4yr'!T8+'INST SUPPORT 4yr'!T8</f>
        <v>0</v>
      </c>
      <c r="U8" s="47">
        <f>+'ACADEMIC SUPP 4yr'!U8+'STU SERVICES 4yr'!U8+'INST SUPPORT 4yr'!U8</f>
        <v>0</v>
      </c>
      <c r="V8" s="47">
        <f>+'ACADEMIC SUPP 4yr'!V8+'STU SERVICES 4yr'!V8+'INST SUPPORT 4yr'!V8</f>
        <v>0</v>
      </c>
      <c r="W8" s="47">
        <f>+'ACADEMIC SUPP 4yr'!W8+'STU SERVICES 4yr'!W8+'INST SUPPORT 4yr'!W8</f>
        <v>0</v>
      </c>
      <c r="X8" s="47">
        <f>+'ACADEMIC SUPP 4yr'!X8+'STU SERVICES 4yr'!X8+'INST SUPPORT 4yr'!X8</f>
        <v>0</v>
      </c>
      <c r="Y8" s="47">
        <f>+'ACADEMIC SUPP 4yr'!Y8+'STU SERVICES 4yr'!Y8+'INST SUPPORT 4yr'!Y8</f>
        <v>0</v>
      </c>
      <c r="Z8" s="47"/>
      <c r="AA8" s="47"/>
      <c r="AB8" s="47"/>
      <c r="AC8" s="47"/>
      <c r="AD8" s="47"/>
      <c r="AE8" s="47"/>
    </row>
    <row r="9" spans="1:32">
      <c r="A9" s="1" t="s">
        <v>26</v>
      </c>
      <c r="B9" s="47">
        <f>+'ACADEMIC SUPP 4yr'!B9+'STU SERVICES 4yr'!B9+'INST SUPPORT 4yr'!B9</f>
        <v>151266</v>
      </c>
      <c r="C9" s="47">
        <f>+'ACADEMIC SUPP 4yr'!C9+'STU SERVICES 4yr'!C9+'INST SUPPORT 4yr'!C9</f>
        <v>169876</v>
      </c>
      <c r="D9" s="47">
        <f>+'ACADEMIC SUPP 4yr'!D9+'STU SERVICES 4yr'!D9+'INST SUPPORT 4yr'!D9</f>
        <v>187174</v>
      </c>
      <c r="E9" s="47">
        <f>+'ACADEMIC SUPP 4yr'!E9+'STU SERVICES 4yr'!E9+'INST SUPPORT 4yr'!E9</f>
        <v>271866.92</v>
      </c>
      <c r="F9" s="47">
        <f>+'ACADEMIC SUPP 4yr'!F9+'STU SERVICES 4yr'!F9+'INST SUPPORT 4yr'!F9</f>
        <v>272654.5</v>
      </c>
      <c r="G9" s="47">
        <f>+'ACADEMIC SUPP 4yr'!G9+'STU SERVICES 4yr'!G9+'INST SUPPORT 4yr'!G9</f>
        <v>290906.78999999998</v>
      </c>
      <c r="H9" s="47">
        <f>+'ACADEMIC SUPP 4yr'!H9+'STU SERVICES 4yr'!H9+'INST SUPPORT 4yr'!H9</f>
        <v>327211.44199999998</v>
      </c>
      <c r="I9" s="47">
        <f>+'ACADEMIC SUPP 4yr'!I9+'STU SERVICES 4yr'!I9+'INST SUPPORT 4yr'!I9</f>
        <v>344874.56799999997</v>
      </c>
      <c r="J9" s="47">
        <f>+'ACADEMIC SUPP 4yr'!J9+'STU SERVICES 4yr'!J9+'INST SUPPORT 4yr'!J9</f>
        <v>360355.21299999999</v>
      </c>
      <c r="K9" s="47">
        <f>+'ACADEMIC SUPP 4yr'!K9+'STU SERVICES 4yr'!K9+'INST SUPPORT 4yr'!K9</f>
        <v>365060.842</v>
      </c>
      <c r="L9" s="47">
        <f>+'ACADEMIC SUPP 4yr'!L9+'STU SERVICES 4yr'!L9+'INST SUPPORT 4yr'!L9</f>
        <v>435407.22699999996</v>
      </c>
      <c r="M9" s="47">
        <f>+'ACADEMIC SUPP 4yr'!M9+'STU SERVICES 4yr'!M9+'INST SUPPORT 4yr'!M9</f>
        <v>448577.049</v>
      </c>
      <c r="N9" s="47">
        <f>+'ACADEMIC SUPP 4yr'!N9+'STU SERVICES 4yr'!N9+'INST SUPPORT 4yr'!N9</f>
        <v>483578.05100000004</v>
      </c>
      <c r="O9" s="47">
        <f>+'ACADEMIC SUPP 4yr'!O9+'STU SERVICES 4yr'!O9+'INST SUPPORT 4yr'!O9</f>
        <v>530930.13199999998</v>
      </c>
      <c r="P9" s="47">
        <f>+'ACADEMIC SUPP 4yr'!P9+'STU SERVICES 4yr'!P9+'INST SUPPORT 4yr'!P9</f>
        <v>563040.30700000003</v>
      </c>
      <c r="Q9" s="47">
        <f>+'ACADEMIC SUPP 4yr'!Q9+'STU SERVICES 4yr'!Q9+'INST SUPPORT 4yr'!Q9</f>
        <v>617957.86800000002</v>
      </c>
      <c r="R9" s="47">
        <f>+'ACADEMIC SUPP 4yr'!R9+'STU SERVICES 4yr'!R9+'INST SUPPORT 4yr'!R9</f>
        <v>695589.36199999996</v>
      </c>
      <c r="S9" s="47">
        <f>+'ACADEMIC SUPP 4yr'!S9+'STU SERVICES 4yr'!S9+'INST SUPPORT 4yr'!S9</f>
        <v>807820.08899999992</v>
      </c>
      <c r="T9" s="47">
        <f>+'ACADEMIC SUPP 4yr'!T9+'STU SERVICES 4yr'!T9+'INST SUPPORT 4yr'!T9</f>
        <v>1158822.0359999998</v>
      </c>
      <c r="U9" s="47">
        <f>+'ACADEMIC SUPP 4yr'!U9+'STU SERVICES 4yr'!U9+'INST SUPPORT 4yr'!U9</f>
        <v>1254627.169</v>
      </c>
      <c r="V9" s="47">
        <f>+'ACADEMIC SUPP 4yr'!V9+'STU SERVICES 4yr'!V9+'INST SUPPORT 4yr'!V9</f>
        <v>1377885.1629999999</v>
      </c>
      <c r="W9" s="47">
        <f>+'ACADEMIC SUPP 4yr'!W9+'STU SERVICES 4yr'!W9+'INST SUPPORT 4yr'!W9</f>
        <v>1097720.6969999999</v>
      </c>
      <c r="X9" s="47">
        <f>+'ACADEMIC SUPP 4yr'!X9+'STU SERVICES 4yr'!X9+'INST SUPPORT 4yr'!X9</f>
        <v>1129310.159</v>
      </c>
      <c r="Y9" s="47">
        <f>+'ACADEMIC SUPP 4yr'!Y9+'STU SERVICES 4yr'!Y9+'INST SUPPORT 4yr'!Y9</f>
        <v>1198375.098</v>
      </c>
      <c r="Z9" s="47">
        <f>+'ACADEMIC SUPP 4yr'!Z9+'STU SERVICES 4yr'!Z9+'INST SUPPORT 4yr'!Z9</f>
        <v>1266752.06</v>
      </c>
      <c r="AA9" s="47">
        <f>+'ACADEMIC SUPP 4yr'!AA9+'STU SERVICES 4yr'!AA9+'INST SUPPORT 4yr'!AA9</f>
        <v>1315850.7590000001</v>
      </c>
      <c r="AB9" s="47">
        <f>+'ACADEMIC SUPP 4yr'!AB9+'STU SERVICES 4yr'!AB9+'INST SUPPORT 4yr'!AB9</f>
        <v>1322580.7420000001</v>
      </c>
      <c r="AC9" s="47">
        <f>+'ACADEMIC SUPP 4yr'!AC9+'STU SERVICES 4yr'!AC9+'INST SUPPORT 4yr'!AC9</f>
        <v>1448392.8360000001</v>
      </c>
      <c r="AD9" s="47">
        <f>+'ACADEMIC SUPP 4yr'!AD9+'STU SERVICES 4yr'!AD9+'INST SUPPORT 4yr'!AD9</f>
        <v>0</v>
      </c>
      <c r="AE9" s="47">
        <f>+'ACADEMIC SUPP 4yr'!AE9+'STU SERVICES 4yr'!AE9+'INST SUPPORT 4yr'!AE9</f>
        <v>1522862.8089999999</v>
      </c>
    </row>
    <row r="10" spans="1:32">
      <c r="A10" s="1" t="s">
        <v>27</v>
      </c>
      <c r="B10" s="47">
        <f>+'ACADEMIC SUPP 4yr'!B10+'STU SERVICES 4yr'!B10+'INST SUPPORT 4yr'!B10</f>
        <v>70275</v>
      </c>
      <c r="C10" s="47">
        <f>+'ACADEMIC SUPP 4yr'!C10+'STU SERVICES 4yr'!C10+'INST SUPPORT 4yr'!C10</f>
        <v>74259</v>
      </c>
      <c r="D10" s="47">
        <f>+'ACADEMIC SUPP 4yr'!D10+'STU SERVICES 4yr'!D10+'INST SUPPORT 4yr'!D10</f>
        <v>80569</v>
      </c>
      <c r="E10" s="47">
        <f>+'ACADEMIC SUPP 4yr'!E10+'STU SERVICES 4yr'!E10+'INST SUPPORT 4yr'!E10</f>
        <v>117590.69200000001</v>
      </c>
      <c r="F10" s="47">
        <f>+'ACADEMIC SUPP 4yr'!F10+'STU SERVICES 4yr'!F10+'INST SUPPORT 4yr'!F10</f>
        <v>124296.787</v>
      </c>
      <c r="G10" s="47">
        <f>+'ACADEMIC SUPP 4yr'!G10+'STU SERVICES 4yr'!G10+'INST SUPPORT 4yr'!G10</f>
        <v>132916.78399999999</v>
      </c>
      <c r="H10" s="47">
        <f>+'ACADEMIC SUPP 4yr'!H10+'STU SERVICES 4yr'!H10+'INST SUPPORT 4yr'!H10</f>
        <v>142732.99599999998</v>
      </c>
      <c r="I10" s="47">
        <f>+'ACADEMIC SUPP 4yr'!I10+'STU SERVICES 4yr'!I10+'INST SUPPORT 4yr'!I10</f>
        <v>143404.35800000001</v>
      </c>
      <c r="J10" s="47">
        <f>+'ACADEMIC SUPP 4yr'!J10+'STU SERVICES 4yr'!J10+'INST SUPPORT 4yr'!J10</f>
        <v>155120.81099999999</v>
      </c>
      <c r="K10" s="47">
        <f>+'ACADEMIC SUPP 4yr'!K10+'STU SERVICES 4yr'!K10+'INST SUPPORT 4yr'!K10</f>
        <v>176959.84700000001</v>
      </c>
      <c r="L10" s="47">
        <f>+'ACADEMIC SUPP 4yr'!L10+'STU SERVICES 4yr'!L10+'INST SUPPORT 4yr'!L10</f>
        <v>207684.52799999999</v>
      </c>
      <c r="M10" s="47">
        <f>+'ACADEMIC SUPP 4yr'!M10+'STU SERVICES 4yr'!M10+'INST SUPPORT 4yr'!M10</f>
        <v>230001.935</v>
      </c>
      <c r="N10" s="47">
        <f>+'ACADEMIC SUPP 4yr'!N10+'STU SERVICES 4yr'!N10+'INST SUPPORT 4yr'!N10</f>
        <v>240826.86499999999</v>
      </c>
      <c r="O10" s="47">
        <f>+'ACADEMIC SUPP 4yr'!O10+'STU SERVICES 4yr'!O10+'INST SUPPORT 4yr'!O10</f>
        <v>253571.72899999999</v>
      </c>
      <c r="P10" s="47">
        <f>+'ACADEMIC SUPP 4yr'!P10+'STU SERVICES 4yr'!P10+'INST SUPPORT 4yr'!P10</f>
        <v>273204.70900000003</v>
      </c>
      <c r="Q10" s="47">
        <f>+'ACADEMIC SUPP 4yr'!Q10+'STU SERVICES 4yr'!Q10+'INST SUPPORT 4yr'!Q10</f>
        <v>286236.7</v>
      </c>
      <c r="R10" s="47">
        <f>+'ACADEMIC SUPP 4yr'!R10+'STU SERVICES 4yr'!R10+'INST SUPPORT 4yr'!R10</f>
        <v>308664.89899999998</v>
      </c>
      <c r="S10" s="47">
        <f>+'ACADEMIC SUPP 4yr'!S10+'STU SERVICES 4yr'!S10+'INST SUPPORT 4yr'!S10</f>
        <v>311300.44099999999</v>
      </c>
      <c r="T10" s="47">
        <f>+'ACADEMIC SUPP 4yr'!T10+'STU SERVICES 4yr'!T10+'INST SUPPORT 4yr'!T10</f>
        <v>376496.48100000003</v>
      </c>
      <c r="U10" s="47">
        <f>+'ACADEMIC SUPP 4yr'!U10+'STU SERVICES 4yr'!U10+'INST SUPPORT 4yr'!U10</f>
        <v>280204.69700000004</v>
      </c>
      <c r="V10" s="47">
        <f>+'ACADEMIC SUPP 4yr'!V10+'STU SERVICES 4yr'!V10+'INST SUPPORT 4yr'!V10</f>
        <v>488966.41800000006</v>
      </c>
      <c r="W10" s="47">
        <f>+'ACADEMIC SUPP 4yr'!W10+'STU SERVICES 4yr'!W10+'INST SUPPORT 4yr'!W10</f>
        <v>510975.20300000004</v>
      </c>
      <c r="X10" s="47">
        <f>+'ACADEMIC SUPP 4yr'!X10+'STU SERVICES 4yr'!X10+'INST SUPPORT 4yr'!X10</f>
        <v>535107.49</v>
      </c>
      <c r="Y10" s="47">
        <f>+'ACADEMIC SUPP 4yr'!Y10+'STU SERVICES 4yr'!Y10+'INST SUPPORT 4yr'!Y10</f>
        <v>538979.70299999998</v>
      </c>
      <c r="Z10" s="47">
        <f>+'ACADEMIC SUPP 4yr'!Z10+'STU SERVICES 4yr'!Z10+'INST SUPPORT 4yr'!Z10</f>
        <v>552937.91100000008</v>
      </c>
      <c r="AA10" s="47">
        <f>+'ACADEMIC SUPP 4yr'!AA10+'STU SERVICES 4yr'!AA10+'INST SUPPORT 4yr'!AA10</f>
        <v>592126.62300000002</v>
      </c>
      <c r="AB10" s="47">
        <f>+'ACADEMIC SUPP 4yr'!AB10+'STU SERVICES 4yr'!AB10+'INST SUPPORT 4yr'!AB10</f>
        <v>588457.62100000004</v>
      </c>
      <c r="AC10" s="47">
        <f>+'ACADEMIC SUPP 4yr'!AC10+'STU SERVICES 4yr'!AC10+'INST SUPPORT 4yr'!AC10</f>
        <v>628729.49600000004</v>
      </c>
      <c r="AD10" s="47">
        <f>+'ACADEMIC SUPP 4yr'!AD10+'STU SERVICES 4yr'!AD10+'INST SUPPORT 4yr'!AD10</f>
        <v>0</v>
      </c>
      <c r="AE10" s="47">
        <f>+'ACADEMIC SUPP 4yr'!AE10+'STU SERVICES 4yr'!AE10+'INST SUPPORT 4yr'!AE10</f>
        <v>665881.65399999998</v>
      </c>
    </row>
    <row r="11" spans="1:32">
      <c r="A11" s="1" t="s">
        <v>28</v>
      </c>
      <c r="B11" s="47">
        <f>+'ACADEMIC SUPP 4yr'!B11+'STU SERVICES 4yr'!B11+'INST SUPPORT 4yr'!B11</f>
        <v>0</v>
      </c>
      <c r="C11" s="47">
        <f>+'ACADEMIC SUPP 4yr'!C11+'STU SERVICES 4yr'!C11+'INST SUPPORT 4yr'!C11</f>
        <v>0</v>
      </c>
      <c r="D11" s="47">
        <f>+'ACADEMIC SUPP 4yr'!D11+'STU SERVICES 4yr'!D11+'INST SUPPORT 4yr'!D11</f>
        <v>37598</v>
      </c>
      <c r="E11" s="47">
        <f>+'ACADEMIC SUPP 4yr'!E11+'STU SERVICES 4yr'!E11+'INST SUPPORT 4yr'!E11</f>
        <v>64512.721000000005</v>
      </c>
      <c r="F11" s="47">
        <f>+'ACADEMIC SUPP 4yr'!F11+'STU SERVICES 4yr'!F11+'INST SUPPORT 4yr'!F11</f>
        <v>66371.641999999993</v>
      </c>
      <c r="G11" s="47">
        <f>+'ACADEMIC SUPP 4yr'!G11+'STU SERVICES 4yr'!G11+'INST SUPPORT 4yr'!G11</f>
        <v>0</v>
      </c>
      <c r="H11" s="47">
        <f>+'ACADEMIC SUPP 4yr'!H11+'STU SERVICES 4yr'!H11+'INST SUPPORT 4yr'!H11</f>
        <v>0</v>
      </c>
      <c r="I11" s="47">
        <f>+'ACADEMIC SUPP 4yr'!I11+'STU SERVICES 4yr'!I11+'INST SUPPORT 4yr'!I11</f>
        <v>75701.828999999998</v>
      </c>
      <c r="J11" s="47">
        <f>+'ACADEMIC SUPP 4yr'!J11+'STU SERVICES 4yr'!J11+'INST SUPPORT 4yr'!J11</f>
        <v>76145.31</v>
      </c>
      <c r="K11" s="47">
        <f>+'ACADEMIC SUPP 4yr'!K11+'STU SERVICES 4yr'!K11+'INST SUPPORT 4yr'!K11</f>
        <v>80935.581000000006</v>
      </c>
      <c r="L11" s="47">
        <f>+'ACADEMIC SUPP 4yr'!L11+'STU SERVICES 4yr'!L11+'INST SUPPORT 4yr'!L11</f>
        <v>101977.94099999999</v>
      </c>
      <c r="M11" s="47">
        <f>+'ACADEMIC SUPP 4yr'!M11+'STU SERVICES 4yr'!M11+'INST SUPPORT 4yr'!M11</f>
        <v>112251.061</v>
      </c>
      <c r="N11" s="47">
        <f>+'ACADEMIC SUPP 4yr'!N11+'STU SERVICES 4yr'!N11+'INST SUPPORT 4yr'!N11</f>
        <v>114559.37899999999</v>
      </c>
      <c r="O11" s="47">
        <f>+'ACADEMIC SUPP 4yr'!O11+'STU SERVICES 4yr'!O11+'INST SUPPORT 4yr'!O11</f>
        <v>121908.864</v>
      </c>
      <c r="P11" s="47">
        <f>+'ACADEMIC SUPP 4yr'!P11+'STU SERVICES 4yr'!P11+'INST SUPPORT 4yr'!P11</f>
        <v>130021.113</v>
      </c>
      <c r="Q11" s="47">
        <f>+'ACADEMIC SUPP 4yr'!Q11+'STU SERVICES 4yr'!Q11+'INST SUPPORT 4yr'!Q11</f>
        <v>143987.72499999998</v>
      </c>
      <c r="R11" s="47">
        <f>+'ACADEMIC SUPP 4yr'!R11+'STU SERVICES 4yr'!R11+'INST SUPPORT 4yr'!R11</f>
        <v>146979.92500000002</v>
      </c>
      <c r="S11" s="47">
        <f>+'ACADEMIC SUPP 4yr'!S11+'STU SERVICES 4yr'!S11+'INST SUPPORT 4yr'!S11</f>
        <v>142036.198</v>
      </c>
      <c r="T11" s="47">
        <f>+'ACADEMIC SUPP 4yr'!T11+'STU SERVICES 4yr'!T11+'INST SUPPORT 4yr'!T11</f>
        <v>174657.967</v>
      </c>
      <c r="U11" s="47">
        <f>+'ACADEMIC SUPP 4yr'!U11+'STU SERVICES 4yr'!U11+'INST SUPPORT 4yr'!U11</f>
        <v>180232.20799999998</v>
      </c>
      <c r="V11" s="47">
        <f>+'ACADEMIC SUPP 4yr'!V11+'STU SERVICES 4yr'!V11+'INST SUPPORT 4yr'!V11</f>
        <v>189801.171</v>
      </c>
      <c r="W11" s="47">
        <f>+'ACADEMIC SUPP 4yr'!W11+'STU SERVICES 4yr'!W11+'INST SUPPORT 4yr'!W11</f>
        <v>199562.40000000002</v>
      </c>
      <c r="X11" s="47">
        <f>+'ACADEMIC SUPP 4yr'!X11+'STU SERVICES 4yr'!X11+'INST SUPPORT 4yr'!X11</f>
        <v>210857.84</v>
      </c>
      <c r="Y11" s="47">
        <f>+'ACADEMIC SUPP 4yr'!Y11+'STU SERVICES 4yr'!Y11+'INST SUPPORT 4yr'!Y11</f>
        <v>43136.087</v>
      </c>
      <c r="Z11" s="47">
        <f>+'ACADEMIC SUPP 4yr'!Z11+'STU SERVICES 4yr'!Z11+'INST SUPPORT 4yr'!Z11</f>
        <v>236282.33199999999</v>
      </c>
      <c r="AA11" s="47">
        <f>+'ACADEMIC SUPP 4yr'!AA11+'STU SERVICES 4yr'!AA11+'INST SUPPORT 4yr'!AA11</f>
        <v>246749.78700000001</v>
      </c>
      <c r="AB11" s="47">
        <f>+'ACADEMIC SUPP 4yr'!AB11+'STU SERVICES 4yr'!AB11+'INST SUPPORT 4yr'!AB11</f>
        <v>264000.46400000004</v>
      </c>
      <c r="AC11" s="47">
        <f>+'ACADEMIC SUPP 4yr'!AC11+'STU SERVICES 4yr'!AC11+'INST SUPPORT 4yr'!AC11</f>
        <v>41626.101999999999</v>
      </c>
      <c r="AD11" s="47">
        <f>+'ACADEMIC SUPP 4yr'!AD11+'STU SERVICES 4yr'!AD11+'INST SUPPORT 4yr'!AD11</f>
        <v>0</v>
      </c>
      <c r="AE11" s="47">
        <f>+'ACADEMIC SUPP 4yr'!AE11+'STU SERVICES 4yr'!AE11+'INST SUPPORT 4yr'!AE11</f>
        <v>293020.43300000002</v>
      </c>
    </row>
    <row r="12" spans="1:32">
      <c r="A12" s="1" t="s">
        <v>29</v>
      </c>
      <c r="B12" s="47">
        <f>+'ACADEMIC SUPP 4yr'!B12+'STU SERVICES 4yr'!B12+'INST SUPPORT 4yr'!B12</f>
        <v>219283</v>
      </c>
      <c r="C12" s="47">
        <f>+'ACADEMIC SUPP 4yr'!C12+'STU SERVICES 4yr'!C12+'INST SUPPORT 4yr'!C12</f>
        <v>250353</v>
      </c>
      <c r="D12" s="47">
        <f>+'ACADEMIC SUPP 4yr'!D12+'STU SERVICES 4yr'!D12+'INST SUPPORT 4yr'!D12</f>
        <v>272570</v>
      </c>
      <c r="E12" s="47">
        <f>+'ACADEMIC SUPP 4yr'!E12+'STU SERVICES 4yr'!E12+'INST SUPPORT 4yr'!E12</f>
        <v>437377.66599999997</v>
      </c>
      <c r="F12" s="47">
        <f>+'ACADEMIC SUPP 4yr'!F12+'STU SERVICES 4yr'!F12+'INST SUPPORT 4yr'!F12</f>
        <v>436939.01599999995</v>
      </c>
      <c r="G12" s="47">
        <f>+'ACADEMIC SUPP 4yr'!G12+'STU SERVICES 4yr'!G12+'INST SUPPORT 4yr'!G12</f>
        <v>475232.28700000001</v>
      </c>
      <c r="H12" s="47">
        <f>+'ACADEMIC SUPP 4yr'!H12+'STU SERVICES 4yr'!H12+'INST SUPPORT 4yr'!H12</f>
        <v>516663.77</v>
      </c>
      <c r="I12" s="47">
        <f>+'ACADEMIC SUPP 4yr'!I12+'STU SERVICES 4yr'!I12+'INST SUPPORT 4yr'!I12</f>
        <v>503024.038</v>
      </c>
      <c r="J12" s="47">
        <f>+'ACADEMIC SUPP 4yr'!J12+'STU SERVICES 4yr'!J12+'INST SUPPORT 4yr'!J12</f>
        <v>580588.29700000002</v>
      </c>
      <c r="K12" s="47">
        <f>+'ACADEMIC SUPP 4yr'!K12+'STU SERVICES 4yr'!K12+'INST SUPPORT 4yr'!K12</f>
        <v>620617.52399999998</v>
      </c>
      <c r="L12" s="47">
        <f>+'ACADEMIC SUPP 4yr'!L12+'STU SERVICES 4yr'!L12+'INST SUPPORT 4yr'!L12</f>
        <v>810367.41500000004</v>
      </c>
      <c r="M12" s="47">
        <f>+'ACADEMIC SUPP 4yr'!M12+'STU SERVICES 4yr'!M12+'INST SUPPORT 4yr'!M12</f>
        <v>863528.09100000001</v>
      </c>
      <c r="N12" s="47">
        <f>+'ACADEMIC SUPP 4yr'!N12+'STU SERVICES 4yr'!N12+'INST SUPPORT 4yr'!N12</f>
        <v>834571.36599999992</v>
      </c>
      <c r="O12" s="47">
        <f>+'ACADEMIC SUPP 4yr'!O12+'STU SERVICES 4yr'!O12+'INST SUPPORT 4yr'!O12</f>
        <v>1054185.409</v>
      </c>
      <c r="P12" s="47">
        <f>+'ACADEMIC SUPP 4yr'!P12+'STU SERVICES 4yr'!P12+'INST SUPPORT 4yr'!P12</f>
        <v>1106998.176</v>
      </c>
      <c r="Q12" s="47">
        <f>+'ACADEMIC SUPP 4yr'!Q12+'STU SERVICES 4yr'!Q12+'INST SUPPORT 4yr'!Q12</f>
        <v>1234435.1310000001</v>
      </c>
      <c r="R12" s="47">
        <f>+'ACADEMIC SUPP 4yr'!R12+'STU SERVICES 4yr'!R12+'INST SUPPORT 4yr'!R12</f>
        <v>1269568.1340000001</v>
      </c>
      <c r="S12" s="47">
        <f>+'ACADEMIC SUPP 4yr'!S12+'STU SERVICES 4yr'!S12+'INST SUPPORT 4yr'!S12</f>
        <v>1270953.7920000001</v>
      </c>
      <c r="T12" s="47">
        <f>+'ACADEMIC SUPP 4yr'!T12+'STU SERVICES 4yr'!T12+'INST SUPPORT 4yr'!T12</f>
        <v>1340728.827</v>
      </c>
      <c r="U12" s="47">
        <f>+'ACADEMIC SUPP 4yr'!U12+'STU SERVICES 4yr'!U12+'INST SUPPORT 4yr'!U12</f>
        <v>1288127.7309999999</v>
      </c>
      <c r="V12" s="47">
        <f>+'ACADEMIC SUPP 4yr'!V12+'STU SERVICES 4yr'!V12+'INST SUPPORT 4yr'!V12</f>
        <v>1437862.1780000001</v>
      </c>
      <c r="W12" s="47">
        <f>+'ACADEMIC SUPP 4yr'!W12+'STU SERVICES 4yr'!W12+'INST SUPPORT 4yr'!W12</f>
        <v>1569890.6349999998</v>
      </c>
      <c r="X12" s="47">
        <f>+'ACADEMIC SUPP 4yr'!X12+'STU SERVICES 4yr'!X12+'INST SUPPORT 4yr'!X12</f>
        <v>1543648.5079999999</v>
      </c>
      <c r="Y12" s="47">
        <f>+'ACADEMIC SUPP 4yr'!Y12+'STU SERVICES 4yr'!Y12+'INST SUPPORT 4yr'!Y12</f>
        <v>1623851.5929999999</v>
      </c>
      <c r="Z12" s="47">
        <f>+'ACADEMIC SUPP 4yr'!Z12+'STU SERVICES 4yr'!Z12+'INST SUPPORT 4yr'!Z12</f>
        <v>1800929.0870000001</v>
      </c>
      <c r="AA12" s="47">
        <f>+'ACADEMIC SUPP 4yr'!AA12+'STU SERVICES 4yr'!AA12+'INST SUPPORT 4yr'!AA12</f>
        <v>1875373.9780000001</v>
      </c>
      <c r="AB12" s="47">
        <f>+'ACADEMIC SUPP 4yr'!AB12+'STU SERVICES 4yr'!AB12+'INST SUPPORT 4yr'!AB12</f>
        <v>1933321.0319999999</v>
      </c>
      <c r="AC12" s="47">
        <f>+'ACADEMIC SUPP 4yr'!AC12+'STU SERVICES 4yr'!AC12+'INST SUPPORT 4yr'!AC12</f>
        <v>2069035.9879999999</v>
      </c>
      <c r="AD12" s="47">
        <f>+'ACADEMIC SUPP 4yr'!AD12+'STU SERVICES 4yr'!AD12+'INST SUPPORT 4yr'!AD12</f>
        <v>0</v>
      </c>
      <c r="AE12" s="47">
        <f>+'ACADEMIC SUPP 4yr'!AE12+'STU SERVICES 4yr'!AE12+'INST SUPPORT 4yr'!AE12</f>
        <v>2291008.6869999999</v>
      </c>
    </row>
    <row r="13" spans="1:32">
      <c r="A13" s="1" t="s">
        <v>30</v>
      </c>
      <c r="B13" s="47">
        <f>+'ACADEMIC SUPP 4yr'!B13+'STU SERVICES 4yr'!B13+'INST SUPPORT 4yr'!B13</f>
        <v>196673</v>
      </c>
      <c r="C13" s="47">
        <f>+'ACADEMIC SUPP 4yr'!C13+'STU SERVICES 4yr'!C13+'INST SUPPORT 4yr'!C13</f>
        <v>217191</v>
      </c>
      <c r="D13" s="47">
        <f>+'ACADEMIC SUPP 4yr'!D13+'STU SERVICES 4yr'!D13+'INST SUPPORT 4yr'!D13</f>
        <v>206524</v>
      </c>
      <c r="E13" s="47">
        <f>+'ACADEMIC SUPP 4yr'!E13+'STU SERVICES 4yr'!E13+'INST SUPPORT 4yr'!E13</f>
        <v>301701.57699999999</v>
      </c>
      <c r="F13" s="47">
        <f>+'ACADEMIC SUPP 4yr'!F13+'STU SERVICES 4yr'!F13+'INST SUPPORT 4yr'!F13</f>
        <v>301504.86499999999</v>
      </c>
      <c r="G13" s="47">
        <f>+'ACADEMIC SUPP 4yr'!G13+'STU SERVICES 4yr'!G13+'INST SUPPORT 4yr'!G13</f>
        <v>339850.89899999998</v>
      </c>
      <c r="H13" s="47">
        <f>+'ACADEMIC SUPP 4yr'!H13+'STU SERVICES 4yr'!H13+'INST SUPPORT 4yr'!H13</f>
        <v>371894.61300000001</v>
      </c>
      <c r="I13" s="47">
        <f>+'ACADEMIC SUPP 4yr'!I13+'STU SERVICES 4yr'!I13+'INST SUPPORT 4yr'!I13</f>
        <v>416203.95999999996</v>
      </c>
      <c r="J13" s="47">
        <f>+'ACADEMIC SUPP 4yr'!J13+'STU SERVICES 4yr'!J13+'INST SUPPORT 4yr'!J13</f>
        <v>454314.478</v>
      </c>
      <c r="K13" s="47">
        <f>+'ACADEMIC SUPP 4yr'!K13+'STU SERVICES 4yr'!K13+'INST SUPPORT 4yr'!K13</f>
        <v>502271.60900000005</v>
      </c>
      <c r="L13" s="47">
        <f>+'ACADEMIC SUPP 4yr'!L13+'STU SERVICES 4yr'!L13+'INST SUPPORT 4yr'!L13</f>
        <v>624679.38100000005</v>
      </c>
      <c r="M13" s="47">
        <f>+'ACADEMIC SUPP 4yr'!M13+'STU SERVICES 4yr'!M13+'INST SUPPORT 4yr'!M13</f>
        <v>650760.43599999999</v>
      </c>
      <c r="N13" s="47">
        <f>+'ACADEMIC SUPP 4yr'!N13+'STU SERVICES 4yr'!N13+'INST SUPPORT 4yr'!N13</f>
        <v>653660.04700000002</v>
      </c>
      <c r="O13" s="47">
        <f>+'ACADEMIC SUPP 4yr'!O13+'STU SERVICES 4yr'!O13+'INST SUPPORT 4yr'!O13</f>
        <v>733831.55599999998</v>
      </c>
      <c r="P13" s="47">
        <f>+'ACADEMIC SUPP 4yr'!P13+'STU SERVICES 4yr'!P13+'INST SUPPORT 4yr'!P13</f>
        <v>721475.09100000001</v>
      </c>
      <c r="Q13" s="47">
        <f>+'ACADEMIC SUPP 4yr'!Q13+'STU SERVICES 4yr'!Q13+'INST SUPPORT 4yr'!Q13</f>
        <v>720529.18800000008</v>
      </c>
      <c r="R13" s="47">
        <f>+'ACADEMIC SUPP 4yr'!R13+'STU SERVICES 4yr'!R13+'INST SUPPORT 4yr'!R13</f>
        <v>803863.88699999999</v>
      </c>
      <c r="S13" s="47">
        <f>+'ACADEMIC SUPP 4yr'!S13+'STU SERVICES 4yr'!S13+'INST SUPPORT 4yr'!S13</f>
        <v>875699.08600000001</v>
      </c>
      <c r="T13" s="47">
        <f>+'ACADEMIC SUPP 4yr'!T13+'STU SERVICES 4yr'!T13+'INST SUPPORT 4yr'!T13</f>
        <v>949848.29200000013</v>
      </c>
      <c r="U13" s="47">
        <f>+'ACADEMIC SUPP 4yr'!U13+'STU SERVICES 4yr'!U13+'INST SUPPORT 4yr'!U13</f>
        <v>856142.47399999993</v>
      </c>
      <c r="V13" s="47">
        <f>+'ACADEMIC SUPP 4yr'!V13+'STU SERVICES 4yr'!V13+'INST SUPPORT 4yr'!V13</f>
        <v>1064920.423</v>
      </c>
      <c r="W13" s="47">
        <f>+'ACADEMIC SUPP 4yr'!W13+'STU SERVICES 4yr'!W13+'INST SUPPORT 4yr'!W13</f>
        <v>1165821.6810000001</v>
      </c>
      <c r="X13" s="47">
        <f>+'ACADEMIC SUPP 4yr'!X13+'STU SERVICES 4yr'!X13+'INST SUPPORT 4yr'!X13</f>
        <v>1243992.6100000001</v>
      </c>
      <c r="Y13" s="47">
        <f>+'ACADEMIC SUPP 4yr'!Y13+'STU SERVICES 4yr'!Y13+'INST SUPPORT 4yr'!Y13</f>
        <v>1336533.5060000001</v>
      </c>
      <c r="Z13" s="47">
        <f>+'ACADEMIC SUPP 4yr'!Z13+'STU SERVICES 4yr'!Z13+'INST SUPPORT 4yr'!Z13</f>
        <v>1394928.0150000001</v>
      </c>
      <c r="AA13" s="47">
        <f>+'ACADEMIC SUPP 4yr'!AA13+'STU SERVICES 4yr'!AA13+'INST SUPPORT 4yr'!AA13</f>
        <v>1482107.8019999999</v>
      </c>
      <c r="AB13" s="47">
        <f>+'ACADEMIC SUPP 4yr'!AB13+'STU SERVICES 4yr'!AB13+'INST SUPPORT 4yr'!AB13</f>
        <v>1544598.2710000002</v>
      </c>
      <c r="AC13" s="47">
        <f>+'ACADEMIC SUPP 4yr'!AC13+'STU SERVICES 4yr'!AC13+'INST SUPPORT 4yr'!AC13</f>
        <v>1671596.7140000002</v>
      </c>
      <c r="AD13" s="47">
        <f>+'ACADEMIC SUPP 4yr'!AD13+'STU SERVICES 4yr'!AD13+'INST SUPPORT 4yr'!AD13</f>
        <v>0</v>
      </c>
      <c r="AE13" s="47">
        <f>+'ACADEMIC SUPP 4yr'!AE13+'STU SERVICES 4yr'!AE13+'INST SUPPORT 4yr'!AE13</f>
        <v>1832939.7620000001</v>
      </c>
    </row>
    <row r="14" spans="1:32">
      <c r="A14" s="1" t="s">
        <v>31</v>
      </c>
      <c r="B14" s="47">
        <f>+'ACADEMIC SUPP 4yr'!B14+'STU SERVICES 4yr'!B14+'INST SUPPORT 4yr'!B14</f>
        <v>156969</v>
      </c>
      <c r="C14" s="47">
        <f>+'ACADEMIC SUPP 4yr'!C14+'STU SERVICES 4yr'!C14+'INST SUPPORT 4yr'!C14</f>
        <v>164210</v>
      </c>
      <c r="D14" s="47">
        <f>+'ACADEMIC SUPP 4yr'!D14+'STU SERVICES 4yr'!D14+'INST SUPPORT 4yr'!D14</f>
        <v>177103</v>
      </c>
      <c r="E14" s="47">
        <f>+'ACADEMIC SUPP 4yr'!E14+'STU SERVICES 4yr'!E14+'INST SUPPORT 4yr'!E14</f>
        <v>247364.84</v>
      </c>
      <c r="F14" s="47">
        <f>+'ACADEMIC SUPP 4yr'!F14+'STU SERVICES 4yr'!F14+'INST SUPPORT 4yr'!F14</f>
        <v>253753.997</v>
      </c>
      <c r="G14" s="47">
        <f>+'ACADEMIC SUPP 4yr'!G14+'STU SERVICES 4yr'!G14+'INST SUPPORT 4yr'!G14</f>
        <v>248464.02100000001</v>
      </c>
      <c r="H14" s="47">
        <f>+'ACADEMIC SUPP 4yr'!H14+'STU SERVICES 4yr'!H14+'INST SUPPORT 4yr'!H14</f>
        <v>258720.66200000001</v>
      </c>
      <c r="I14" s="47">
        <f>+'ACADEMIC SUPP 4yr'!I14+'STU SERVICES 4yr'!I14+'INST SUPPORT 4yr'!I14</f>
        <v>279530.18400000001</v>
      </c>
      <c r="J14" s="47">
        <f>+'ACADEMIC SUPP 4yr'!J14+'STU SERVICES 4yr'!J14+'INST SUPPORT 4yr'!J14</f>
        <v>306477.00599999999</v>
      </c>
      <c r="K14" s="47">
        <f>+'ACADEMIC SUPP 4yr'!K14+'STU SERVICES 4yr'!K14+'INST SUPPORT 4yr'!K14</f>
        <v>321940.55</v>
      </c>
      <c r="L14" s="47">
        <f>+'ACADEMIC SUPP 4yr'!L14+'STU SERVICES 4yr'!L14+'INST SUPPORT 4yr'!L14</f>
        <v>392310.90500000003</v>
      </c>
      <c r="M14" s="47">
        <f>+'ACADEMIC SUPP 4yr'!M14+'STU SERVICES 4yr'!M14+'INST SUPPORT 4yr'!M14</f>
        <v>412999.51399999997</v>
      </c>
      <c r="N14" s="47">
        <f>+'ACADEMIC SUPP 4yr'!N14+'STU SERVICES 4yr'!N14+'INST SUPPORT 4yr'!N14</f>
        <v>387926.87199999997</v>
      </c>
      <c r="O14" s="47">
        <f>+'ACADEMIC SUPP 4yr'!O14+'STU SERVICES 4yr'!O14+'INST SUPPORT 4yr'!O14</f>
        <v>409040.87599999999</v>
      </c>
      <c r="P14" s="47">
        <f>+'ACADEMIC SUPP 4yr'!P14+'STU SERVICES 4yr'!P14+'INST SUPPORT 4yr'!P14</f>
        <v>423010.20199999999</v>
      </c>
      <c r="Q14" s="47">
        <f>+'ACADEMIC SUPP 4yr'!Q14+'STU SERVICES 4yr'!Q14+'INST SUPPORT 4yr'!Q14</f>
        <v>441965.092</v>
      </c>
      <c r="R14" s="47">
        <f>+'ACADEMIC SUPP 4yr'!R14+'STU SERVICES 4yr'!R14+'INST SUPPORT 4yr'!R14</f>
        <v>488253.75100000005</v>
      </c>
      <c r="S14" s="47">
        <f>+'ACADEMIC SUPP 4yr'!S14+'STU SERVICES 4yr'!S14+'INST SUPPORT 4yr'!S14</f>
        <v>531424.66399999999</v>
      </c>
      <c r="T14" s="47">
        <f>+'ACADEMIC SUPP 4yr'!T14+'STU SERVICES 4yr'!T14+'INST SUPPORT 4yr'!T14</f>
        <v>593743.11600000004</v>
      </c>
      <c r="U14" s="47">
        <f>+'ACADEMIC SUPP 4yr'!U14+'STU SERVICES 4yr'!U14+'INST SUPPORT 4yr'!U14</f>
        <v>635283.54799999995</v>
      </c>
      <c r="V14" s="47">
        <f>+'ACADEMIC SUPP 4yr'!V14+'STU SERVICES 4yr'!V14+'INST SUPPORT 4yr'!V14</f>
        <v>783830.65599999996</v>
      </c>
      <c r="W14" s="47">
        <f>+'ACADEMIC SUPP 4yr'!W14+'STU SERVICES 4yr'!W14+'INST SUPPORT 4yr'!W14</f>
        <v>781517.40899999999</v>
      </c>
      <c r="X14" s="47">
        <f>+'ACADEMIC SUPP 4yr'!X14+'STU SERVICES 4yr'!X14+'INST SUPPORT 4yr'!X14</f>
        <v>816212.41899999999</v>
      </c>
      <c r="Y14" s="47">
        <f>+'ACADEMIC SUPP 4yr'!Y14+'STU SERVICES 4yr'!Y14+'INST SUPPORT 4yr'!Y14</f>
        <v>834836.84100000001</v>
      </c>
      <c r="Z14" s="47">
        <f>+'ACADEMIC SUPP 4yr'!Z14+'STU SERVICES 4yr'!Z14+'INST SUPPORT 4yr'!Z14</f>
        <v>834051.70500000007</v>
      </c>
      <c r="AA14" s="47">
        <f>+'ACADEMIC SUPP 4yr'!AA14+'STU SERVICES 4yr'!AA14+'INST SUPPORT 4yr'!AA14</f>
        <v>905827.82500000007</v>
      </c>
      <c r="AB14" s="47">
        <f>+'ACADEMIC SUPP 4yr'!AB14+'STU SERVICES 4yr'!AB14+'INST SUPPORT 4yr'!AB14</f>
        <v>958375.74799999991</v>
      </c>
      <c r="AC14" s="47">
        <f>+'ACADEMIC SUPP 4yr'!AC14+'STU SERVICES 4yr'!AC14+'INST SUPPORT 4yr'!AC14</f>
        <v>1039120.682</v>
      </c>
      <c r="AD14" s="47">
        <f>+'ACADEMIC SUPP 4yr'!AD14+'STU SERVICES 4yr'!AD14+'INST SUPPORT 4yr'!AD14</f>
        <v>0</v>
      </c>
      <c r="AE14" s="47">
        <f>+'ACADEMIC SUPP 4yr'!AE14+'STU SERVICES 4yr'!AE14+'INST SUPPORT 4yr'!AE14</f>
        <v>922428.7790000001</v>
      </c>
    </row>
    <row r="15" spans="1:32">
      <c r="A15" s="1" t="s">
        <v>32</v>
      </c>
      <c r="B15" s="47">
        <f>+'ACADEMIC SUPP 4yr'!B15+'STU SERVICES 4yr'!B15+'INST SUPPORT 4yr'!B15</f>
        <v>167691</v>
      </c>
      <c r="C15" s="47">
        <f>+'ACADEMIC SUPP 4yr'!C15+'STU SERVICES 4yr'!C15+'INST SUPPORT 4yr'!C15</f>
        <v>178870</v>
      </c>
      <c r="D15" s="47">
        <f>+'ACADEMIC SUPP 4yr'!D15+'STU SERVICES 4yr'!D15+'INST SUPPORT 4yr'!D15</f>
        <v>182231</v>
      </c>
      <c r="E15" s="47">
        <f>+'ACADEMIC SUPP 4yr'!E15+'STU SERVICES 4yr'!E15+'INST SUPPORT 4yr'!E15</f>
        <v>258715.86300000001</v>
      </c>
      <c r="F15" s="47">
        <f>+'ACADEMIC SUPP 4yr'!F15+'STU SERVICES 4yr'!F15+'INST SUPPORT 4yr'!F15</f>
        <v>261587.74599999998</v>
      </c>
      <c r="G15" s="47">
        <f>+'ACADEMIC SUPP 4yr'!G15+'STU SERVICES 4yr'!G15+'INST SUPPORT 4yr'!G15</f>
        <v>267442.41899999999</v>
      </c>
      <c r="H15" s="47">
        <f>+'ACADEMIC SUPP 4yr'!H15+'STU SERVICES 4yr'!H15+'INST SUPPORT 4yr'!H15</f>
        <v>285984.39899999998</v>
      </c>
      <c r="I15" s="47">
        <f>+'ACADEMIC SUPP 4yr'!I15+'STU SERVICES 4yr'!I15+'INST SUPPORT 4yr'!I15</f>
        <v>306346.36899999995</v>
      </c>
      <c r="J15" s="47">
        <f>+'ACADEMIC SUPP 4yr'!J15+'STU SERVICES 4yr'!J15+'INST SUPPORT 4yr'!J15</f>
        <v>333005.49400000001</v>
      </c>
      <c r="K15" s="47">
        <f>+'ACADEMIC SUPP 4yr'!K15+'STU SERVICES 4yr'!K15+'INST SUPPORT 4yr'!K15</f>
        <v>345843.08900000004</v>
      </c>
      <c r="L15" s="47">
        <f>+'ACADEMIC SUPP 4yr'!L15+'STU SERVICES 4yr'!L15+'INST SUPPORT 4yr'!L15</f>
        <v>429692.13</v>
      </c>
      <c r="M15" s="47">
        <f>+'ACADEMIC SUPP 4yr'!M15+'STU SERVICES 4yr'!M15+'INST SUPPORT 4yr'!M15</f>
        <v>442261.33900000004</v>
      </c>
      <c r="N15" s="47">
        <f>+'ACADEMIC SUPP 4yr'!N15+'STU SERVICES 4yr'!N15+'INST SUPPORT 4yr'!N15</f>
        <v>446614.505</v>
      </c>
      <c r="O15" s="47">
        <f>+'ACADEMIC SUPP 4yr'!O15+'STU SERVICES 4yr'!O15+'INST SUPPORT 4yr'!O15</f>
        <v>474897.46199999994</v>
      </c>
      <c r="P15" s="47">
        <f>+'ACADEMIC SUPP 4yr'!P15+'STU SERVICES 4yr'!P15+'INST SUPPORT 4yr'!P15</f>
        <v>494494.05300000001</v>
      </c>
      <c r="Q15" s="47">
        <f>+'ACADEMIC SUPP 4yr'!Q15+'STU SERVICES 4yr'!Q15+'INST SUPPORT 4yr'!Q15</f>
        <v>513974.40900000004</v>
      </c>
      <c r="R15" s="47">
        <f>+'ACADEMIC SUPP 4yr'!R15+'STU SERVICES 4yr'!R15+'INST SUPPORT 4yr'!R15</f>
        <v>516432.16399999999</v>
      </c>
      <c r="S15" s="47">
        <f>+'ACADEMIC SUPP 4yr'!S15+'STU SERVICES 4yr'!S15+'INST SUPPORT 4yr'!S15</f>
        <v>537646.87300000002</v>
      </c>
      <c r="T15" s="47">
        <f>+'ACADEMIC SUPP 4yr'!T15+'STU SERVICES 4yr'!T15+'INST SUPPORT 4yr'!T15</f>
        <v>695106.98200000008</v>
      </c>
      <c r="U15" s="47">
        <f>+'ACADEMIC SUPP 4yr'!U15+'STU SERVICES 4yr'!U15+'INST SUPPORT 4yr'!U15</f>
        <v>637778.84100000001</v>
      </c>
      <c r="V15" s="47">
        <f>+'ACADEMIC SUPP 4yr'!V15+'STU SERVICES 4yr'!V15+'INST SUPPORT 4yr'!V15</f>
        <v>703238.36599999992</v>
      </c>
      <c r="W15" s="47">
        <f>+'ACADEMIC SUPP 4yr'!W15+'STU SERVICES 4yr'!W15+'INST SUPPORT 4yr'!W15</f>
        <v>706701.40899999999</v>
      </c>
      <c r="X15" s="47">
        <f>+'ACADEMIC SUPP 4yr'!X15+'STU SERVICES 4yr'!X15+'INST SUPPORT 4yr'!X15</f>
        <v>711867.68699999992</v>
      </c>
      <c r="Y15" s="47">
        <f>+'ACADEMIC SUPP 4yr'!Y15+'STU SERVICES 4yr'!Y15+'INST SUPPORT 4yr'!Y15</f>
        <v>700126.97799999989</v>
      </c>
      <c r="Z15" s="47">
        <f>+'ACADEMIC SUPP 4yr'!Z15+'STU SERVICES 4yr'!Z15+'INST SUPPORT 4yr'!Z15</f>
        <v>726429.63600000006</v>
      </c>
      <c r="AA15" s="47">
        <f>+'ACADEMIC SUPP 4yr'!AA15+'STU SERVICES 4yr'!AA15+'INST SUPPORT 4yr'!AA15</f>
        <v>773711.92100000009</v>
      </c>
      <c r="AB15" s="47">
        <f>+'ACADEMIC SUPP 4yr'!AB15+'STU SERVICES 4yr'!AB15+'INST SUPPORT 4yr'!AB15</f>
        <v>717170.978</v>
      </c>
      <c r="AC15" s="47">
        <f>+'ACADEMIC SUPP 4yr'!AC15+'STU SERVICES 4yr'!AC15+'INST SUPPORT 4yr'!AC15</f>
        <v>847010.38899999997</v>
      </c>
      <c r="AD15" s="47">
        <f>+'ACADEMIC SUPP 4yr'!AD15+'STU SERVICES 4yr'!AD15+'INST SUPPORT 4yr'!AD15</f>
        <v>0</v>
      </c>
      <c r="AE15" s="47">
        <f>+'ACADEMIC SUPP 4yr'!AE15+'STU SERVICES 4yr'!AE15+'INST SUPPORT 4yr'!AE15</f>
        <v>769156.071</v>
      </c>
    </row>
    <row r="16" spans="1:32">
      <c r="A16" s="1" t="s">
        <v>33</v>
      </c>
      <c r="B16" s="47">
        <f>+'ACADEMIC SUPP 4yr'!B16+'STU SERVICES 4yr'!B16+'INST SUPPORT 4yr'!B16</f>
        <v>131740</v>
      </c>
      <c r="C16" s="47">
        <f>+'ACADEMIC SUPP 4yr'!C16+'STU SERVICES 4yr'!C16+'INST SUPPORT 4yr'!C16</f>
        <v>161445</v>
      </c>
      <c r="D16" s="47">
        <f>+'ACADEMIC SUPP 4yr'!D16+'STU SERVICES 4yr'!D16+'INST SUPPORT 4yr'!D16</f>
        <v>163325</v>
      </c>
      <c r="E16" s="47">
        <f>+'ACADEMIC SUPP 4yr'!E16+'STU SERVICES 4yr'!E16+'INST SUPPORT 4yr'!E16</f>
        <v>260314.41200000001</v>
      </c>
      <c r="F16" s="47">
        <f>+'ACADEMIC SUPP 4yr'!F16+'STU SERVICES 4yr'!F16+'INST SUPPORT 4yr'!F16</f>
        <v>260350.929</v>
      </c>
      <c r="G16" s="47">
        <f>+'ACADEMIC SUPP 4yr'!G16+'STU SERVICES 4yr'!G16+'INST SUPPORT 4yr'!G16</f>
        <v>274814.16599999997</v>
      </c>
      <c r="H16" s="47">
        <f>+'ACADEMIC SUPP 4yr'!H16+'STU SERVICES 4yr'!H16+'INST SUPPORT 4yr'!H16</f>
        <v>286715.45199999999</v>
      </c>
      <c r="I16" s="47">
        <f>+'ACADEMIC SUPP 4yr'!I16+'STU SERVICES 4yr'!I16+'INST SUPPORT 4yr'!I16</f>
        <v>302259.049</v>
      </c>
      <c r="J16" s="47">
        <f>+'ACADEMIC SUPP 4yr'!J16+'STU SERVICES 4yr'!J16+'INST SUPPORT 4yr'!J16</f>
        <v>329237.777</v>
      </c>
      <c r="K16" s="47">
        <f>+'ACADEMIC SUPP 4yr'!K16+'STU SERVICES 4yr'!K16+'INST SUPPORT 4yr'!K16</f>
        <v>374218.62577000004</v>
      </c>
      <c r="L16" s="47">
        <f>+'ACADEMIC SUPP 4yr'!L16+'STU SERVICES 4yr'!L16+'INST SUPPORT 4yr'!L16</f>
        <v>463584.62699999998</v>
      </c>
      <c r="M16" s="47">
        <f>+'ACADEMIC SUPP 4yr'!M16+'STU SERVICES 4yr'!M16+'INST SUPPORT 4yr'!M16</f>
        <v>544385.97699999996</v>
      </c>
      <c r="N16" s="47">
        <f>+'ACADEMIC SUPP 4yr'!N16+'STU SERVICES 4yr'!N16+'INST SUPPORT 4yr'!N16</f>
        <v>605124.69700000004</v>
      </c>
      <c r="O16" s="47">
        <f>+'ACADEMIC SUPP 4yr'!O16+'STU SERVICES 4yr'!O16+'INST SUPPORT 4yr'!O16</f>
        <v>632957.00900000008</v>
      </c>
      <c r="P16" s="47">
        <f>+'ACADEMIC SUPP 4yr'!P16+'STU SERVICES 4yr'!P16+'INST SUPPORT 4yr'!P16</f>
        <v>656223.04700000002</v>
      </c>
      <c r="Q16" s="47">
        <f>+'ACADEMIC SUPP 4yr'!Q16+'STU SERVICES 4yr'!Q16+'INST SUPPORT 4yr'!Q16</f>
        <v>831941.82499999995</v>
      </c>
      <c r="R16" s="47">
        <f>+'ACADEMIC SUPP 4yr'!R16+'STU SERVICES 4yr'!R16+'INST SUPPORT 4yr'!R16</f>
        <v>740481.69800000009</v>
      </c>
      <c r="S16" s="47">
        <f>+'ACADEMIC SUPP 4yr'!S16+'STU SERVICES 4yr'!S16+'INST SUPPORT 4yr'!S16</f>
        <v>794057.90500000003</v>
      </c>
      <c r="T16" s="47">
        <f>+'ACADEMIC SUPP 4yr'!T16+'STU SERVICES 4yr'!T16+'INST SUPPORT 4yr'!T16</f>
        <v>888471.31799999997</v>
      </c>
      <c r="U16" s="47">
        <f>+'ACADEMIC SUPP 4yr'!U16+'STU SERVICES 4yr'!U16+'INST SUPPORT 4yr'!U16</f>
        <v>826960.94500000007</v>
      </c>
      <c r="V16" s="47">
        <f>+'ACADEMIC SUPP 4yr'!V16+'STU SERVICES 4yr'!V16+'INST SUPPORT 4yr'!V16</f>
        <v>1003753.99</v>
      </c>
      <c r="W16" s="47">
        <f>+'ACADEMIC SUPP 4yr'!W16+'STU SERVICES 4yr'!W16+'INST SUPPORT 4yr'!W16</f>
        <v>1031425.4979999999</v>
      </c>
      <c r="X16" s="47">
        <f>+'ACADEMIC SUPP 4yr'!X16+'STU SERVICES 4yr'!X16+'INST SUPPORT 4yr'!X16</f>
        <v>1091255.581</v>
      </c>
      <c r="Y16" s="47">
        <f>+'ACADEMIC SUPP 4yr'!Y16+'STU SERVICES 4yr'!Y16+'INST SUPPORT 4yr'!Y16</f>
        <v>1158555.125</v>
      </c>
      <c r="Z16" s="47">
        <f>+'ACADEMIC SUPP 4yr'!Z16+'STU SERVICES 4yr'!Z16+'INST SUPPORT 4yr'!Z16</f>
        <v>1225523.331</v>
      </c>
      <c r="AA16" s="47">
        <f>+'ACADEMIC SUPP 4yr'!AA16+'STU SERVICES 4yr'!AA16+'INST SUPPORT 4yr'!AA16</f>
        <v>1250386.2849999999</v>
      </c>
      <c r="AB16" s="47">
        <f>+'ACADEMIC SUPP 4yr'!AB16+'STU SERVICES 4yr'!AB16+'INST SUPPORT 4yr'!AB16</f>
        <v>1273190.946</v>
      </c>
      <c r="AC16" s="47">
        <f>+'ACADEMIC SUPP 4yr'!AC16+'STU SERVICES 4yr'!AC16+'INST SUPPORT 4yr'!AC16</f>
        <v>1362112.176</v>
      </c>
      <c r="AD16" s="47">
        <f>+'ACADEMIC SUPP 4yr'!AD16+'STU SERVICES 4yr'!AD16+'INST SUPPORT 4yr'!AD16</f>
        <v>0</v>
      </c>
      <c r="AE16" s="47">
        <f>+'ACADEMIC SUPP 4yr'!AE16+'STU SERVICES 4yr'!AE16+'INST SUPPORT 4yr'!AE16</f>
        <v>1418607.1029999999</v>
      </c>
    </row>
    <row r="17" spans="1:31">
      <c r="A17" s="1" t="s">
        <v>34</v>
      </c>
      <c r="B17" s="47">
        <f>+'ACADEMIC SUPP 4yr'!B17+'STU SERVICES 4yr'!B17+'INST SUPPORT 4yr'!B17</f>
        <v>76206</v>
      </c>
      <c r="C17" s="47">
        <f>+'ACADEMIC SUPP 4yr'!C17+'STU SERVICES 4yr'!C17+'INST SUPPORT 4yr'!C17</f>
        <v>80751</v>
      </c>
      <c r="D17" s="47">
        <f>+'ACADEMIC SUPP 4yr'!D17+'STU SERVICES 4yr'!D17+'INST SUPPORT 4yr'!D17</f>
        <v>89490</v>
      </c>
      <c r="E17" s="47">
        <f>+'ACADEMIC SUPP 4yr'!E17+'STU SERVICES 4yr'!E17+'INST SUPPORT 4yr'!E17</f>
        <v>128938.482</v>
      </c>
      <c r="F17" s="47">
        <f>+'ACADEMIC SUPP 4yr'!F17+'STU SERVICES 4yr'!F17+'INST SUPPORT 4yr'!F17</f>
        <v>133300.17000000001</v>
      </c>
      <c r="G17" s="47">
        <f>+'ACADEMIC SUPP 4yr'!G17+'STU SERVICES 4yr'!G17+'INST SUPPORT 4yr'!G17</f>
        <v>147569.96600000001</v>
      </c>
      <c r="H17" s="47">
        <f>+'ACADEMIC SUPP 4yr'!H17+'STU SERVICES 4yr'!H17+'INST SUPPORT 4yr'!H17</f>
        <v>161588.603</v>
      </c>
      <c r="I17" s="47">
        <f>+'ACADEMIC SUPP 4yr'!I17+'STU SERVICES 4yr'!I17+'INST SUPPORT 4yr'!I17</f>
        <v>179331.90299999999</v>
      </c>
      <c r="J17" s="47">
        <f>+'ACADEMIC SUPP 4yr'!J17+'STU SERVICES 4yr'!J17+'INST SUPPORT 4yr'!J17</f>
        <v>196906.389</v>
      </c>
      <c r="K17" s="47">
        <f>+'ACADEMIC SUPP 4yr'!K17+'STU SERVICES 4yr'!K17+'INST SUPPORT 4yr'!K17</f>
        <v>199272.93599999999</v>
      </c>
      <c r="L17" s="47">
        <f>+'ACADEMIC SUPP 4yr'!L17+'STU SERVICES 4yr'!L17+'INST SUPPORT 4yr'!L17</f>
        <v>264687.02</v>
      </c>
      <c r="M17" s="47">
        <f>+'ACADEMIC SUPP 4yr'!M17+'STU SERVICES 4yr'!M17+'INST SUPPORT 4yr'!M17</f>
        <v>247604.399</v>
      </c>
      <c r="N17" s="47">
        <f>+'ACADEMIC SUPP 4yr'!N17+'STU SERVICES 4yr'!N17+'INST SUPPORT 4yr'!N17</f>
        <v>254070.27799999999</v>
      </c>
      <c r="O17" s="47">
        <f>+'ACADEMIC SUPP 4yr'!O17+'STU SERVICES 4yr'!O17+'INST SUPPORT 4yr'!O17</f>
        <v>283234.08199999999</v>
      </c>
      <c r="P17" s="47">
        <f>+'ACADEMIC SUPP 4yr'!P17+'STU SERVICES 4yr'!P17+'INST SUPPORT 4yr'!P17</f>
        <v>299858.92800000001</v>
      </c>
      <c r="Q17" s="47">
        <f>+'ACADEMIC SUPP 4yr'!Q17+'STU SERVICES 4yr'!Q17+'INST SUPPORT 4yr'!Q17</f>
        <v>322166.43299999996</v>
      </c>
      <c r="R17" s="47">
        <f>+'ACADEMIC SUPP 4yr'!R17+'STU SERVICES 4yr'!R17+'INST SUPPORT 4yr'!R17</f>
        <v>352567.783</v>
      </c>
      <c r="S17" s="47">
        <f>+'ACADEMIC SUPP 4yr'!S17+'STU SERVICES 4yr'!S17+'INST SUPPORT 4yr'!S17</f>
        <v>379918.16700000002</v>
      </c>
      <c r="T17" s="47">
        <f>+'ACADEMIC SUPP 4yr'!T17+'STU SERVICES 4yr'!T17+'INST SUPPORT 4yr'!T17</f>
        <v>407338.62400000001</v>
      </c>
      <c r="U17" s="47">
        <f>+'ACADEMIC SUPP 4yr'!U17+'STU SERVICES 4yr'!U17+'INST SUPPORT 4yr'!U17</f>
        <v>336631.08600000001</v>
      </c>
      <c r="V17" s="47">
        <f>+'ACADEMIC SUPP 4yr'!V17+'STU SERVICES 4yr'!V17+'INST SUPPORT 4yr'!V17</f>
        <v>455802.462</v>
      </c>
      <c r="W17" s="47">
        <f>+'ACADEMIC SUPP 4yr'!W17+'STU SERVICES 4yr'!W17+'INST SUPPORT 4yr'!W17</f>
        <v>469286.42300000001</v>
      </c>
      <c r="X17" s="47">
        <f>+'ACADEMIC SUPP 4yr'!X17+'STU SERVICES 4yr'!X17+'INST SUPPORT 4yr'!X17</f>
        <v>521202.62899999996</v>
      </c>
      <c r="Y17" s="47">
        <f>+'ACADEMIC SUPP 4yr'!Y17+'STU SERVICES 4yr'!Y17+'INST SUPPORT 4yr'!Y17</f>
        <v>521848.55599999998</v>
      </c>
      <c r="Z17" s="47">
        <f>+'ACADEMIC SUPP 4yr'!Z17+'STU SERVICES 4yr'!Z17+'INST SUPPORT 4yr'!Z17</f>
        <v>577258.28099999996</v>
      </c>
      <c r="AA17" s="47">
        <f>+'ACADEMIC SUPP 4yr'!AA17+'STU SERVICES 4yr'!AA17+'INST SUPPORT 4yr'!AA17</f>
        <v>573133.77399999998</v>
      </c>
      <c r="AB17" s="47">
        <f>+'ACADEMIC SUPP 4yr'!AB17+'STU SERVICES 4yr'!AB17+'INST SUPPORT 4yr'!AB17</f>
        <v>601361.84499999997</v>
      </c>
      <c r="AC17" s="47">
        <f>+'ACADEMIC SUPP 4yr'!AC17+'STU SERVICES 4yr'!AC17+'INST SUPPORT 4yr'!AC17</f>
        <v>602819.44500000007</v>
      </c>
      <c r="AD17" s="47">
        <f>+'ACADEMIC SUPP 4yr'!AD17+'STU SERVICES 4yr'!AD17+'INST SUPPORT 4yr'!AD17</f>
        <v>0</v>
      </c>
      <c r="AE17" s="47">
        <f>+'ACADEMIC SUPP 4yr'!AE17+'STU SERVICES 4yr'!AE17+'INST SUPPORT 4yr'!AE17</f>
        <v>593426.41399999999</v>
      </c>
    </row>
    <row r="18" spans="1:31">
      <c r="A18" s="1" t="s">
        <v>35</v>
      </c>
      <c r="B18" s="47">
        <f>+'ACADEMIC SUPP 4yr'!B18+'STU SERVICES 4yr'!B18+'INST SUPPORT 4yr'!B18</f>
        <v>167582</v>
      </c>
      <c r="C18" s="47">
        <f>+'ACADEMIC SUPP 4yr'!C18+'STU SERVICES 4yr'!C18+'INST SUPPORT 4yr'!C18</f>
        <v>191588</v>
      </c>
      <c r="D18" s="47">
        <f>+'ACADEMIC SUPP 4yr'!D18+'STU SERVICES 4yr'!D18+'INST SUPPORT 4yr'!D18</f>
        <v>215209</v>
      </c>
      <c r="E18" s="47">
        <f>+'ACADEMIC SUPP 4yr'!E18+'STU SERVICES 4yr'!E18+'INST SUPPORT 4yr'!E18</f>
        <v>308754.09100000001</v>
      </c>
      <c r="F18" s="47">
        <f>+'ACADEMIC SUPP 4yr'!F18+'STU SERVICES 4yr'!F18+'INST SUPPORT 4yr'!F18</f>
        <v>322964.11200000002</v>
      </c>
      <c r="G18" s="47">
        <f>+'ACADEMIC SUPP 4yr'!G18+'STU SERVICES 4yr'!G18+'INST SUPPORT 4yr'!G18</f>
        <v>365804.91899999999</v>
      </c>
      <c r="H18" s="47">
        <f>+'ACADEMIC SUPP 4yr'!H18+'STU SERVICES 4yr'!H18+'INST SUPPORT 4yr'!H18</f>
        <v>402649.74</v>
      </c>
      <c r="I18" s="47">
        <f>+'ACADEMIC SUPP 4yr'!I18+'STU SERVICES 4yr'!I18+'INST SUPPORT 4yr'!I18</f>
        <v>414870.185</v>
      </c>
      <c r="J18" s="47">
        <f>+'ACADEMIC SUPP 4yr'!J18+'STU SERVICES 4yr'!J18+'INST SUPPORT 4yr'!J18</f>
        <v>451685.13199999998</v>
      </c>
      <c r="K18" s="47">
        <f>+'ACADEMIC SUPP 4yr'!K18+'STU SERVICES 4yr'!K18+'INST SUPPORT 4yr'!K18</f>
        <v>488256.20699999994</v>
      </c>
      <c r="L18" s="47">
        <f>+'ACADEMIC SUPP 4yr'!L18+'STU SERVICES 4yr'!L18+'INST SUPPORT 4yr'!L18</f>
        <v>564086.50800000003</v>
      </c>
      <c r="M18" s="47">
        <f>+'ACADEMIC SUPP 4yr'!M18+'STU SERVICES 4yr'!M18+'INST SUPPORT 4yr'!M18</f>
        <v>615747.74199999997</v>
      </c>
      <c r="N18" s="47">
        <f>+'ACADEMIC SUPP 4yr'!N18+'STU SERVICES 4yr'!N18+'INST SUPPORT 4yr'!N18</f>
        <v>595761.45799999998</v>
      </c>
      <c r="O18" s="47">
        <f>+'ACADEMIC SUPP 4yr'!O18+'STU SERVICES 4yr'!O18+'INST SUPPORT 4yr'!O18</f>
        <v>656935.69900000002</v>
      </c>
      <c r="P18" s="47">
        <f>+'ACADEMIC SUPP 4yr'!P18+'STU SERVICES 4yr'!P18+'INST SUPPORT 4yr'!P18</f>
        <v>704379.70500000007</v>
      </c>
      <c r="Q18" s="47">
        <f>+'ACADEMIC SUPP 4yr'!Q18+'STU SERVICES 4yr'!Q18+'INST SUPPORT 4yr'!Q18</f>
        <v>754118.17200000002</v>
      </c>
      <c r="R18" s="47">
        <f>+'ACADEMIC SUPP 4yr'!R18+'STU SERVICES 4yr'!R18+'INST SUPPORT 4yr'!R18</f>
        <v>812737.53500000003</v>
      </c>
      <c r="S18" s="47">
        <f>+'ACADEMIC SUPP 4yr'!S18+'STU SERVICES 4yr'!S18+'INST SUPPORT 4yr'!S18</f>
        <v>905547.84200000006</v>
      </c>
      <c r="T18" s="47">
        <f>+'ACADEMIC SUPP 4yr'!T18+'STU SERVICES 4yr'!T18+'INST SUPPORT 4yr'!T18</f>
        <v>974293.82000000007</v>
      </c>
      <c r="U18" s="47">
        <f>+'ACADEMIC SUPP 4yr'!U18+'STU SERVICES 4yr'!U18+'INST SUPPORT 4yr'!U18</f>
        <v>973809.09100000001</v>
      </c>
      <c r="V18" s="47">
        <f>+'ACADEMIC SUPP 4yr'!V18+'STU SERVICES 4yr'!V18+'INST SUPPORT 4yr'!V18</f>
        <v>1170696.23</v>
      </c>
      <c r="W18" s="47">
        <f>+'ACADEMIC SUPP 4yr'!W18+'STU SERVICES 4yr'!W18+'INST SUPPORT 4yr'!W18</f>
        <v>1214113.216</v>
      </c>
      <c r="X18" s="47">
        <f>+'ACADEMIC SUPP 4yr'!X18+'STU SERVICES 4yr'!X18+'INST SUPPORT 4yr'!X18</f>
        <v>1208880.024</v>
      </c>
      <c r="Y18" s="47">
        <f>+'ACADEMIC SUPP 4yr'!Y18+'STU SERVICES 4yr'!Y18+'INST SUPPORT 4yr'!Y18</f>
        <v>1303762.1499999999</v>
      </c>
      <c r="Z18" s="47">
        <f>+'ACADEMIC SUPP 4yr'!Z18+'STU SERVICES 4yr'!Z18+'INST SUPPORT 4yr'!Z18</f>
        <v>1335516.5890000002</v>
      </c>
      <c r="AA18" s="47">
        <f>+'ACADEMIC SUPP 4yr'!AA18+'STU SERVICES 4yr'!AA18+'INST SUPPORT 4yr'!AA18</f>
        <v>1376917.4309999999</v>
      </c>
      <c r="AB18" s="47">
        <f>+'ACADEMIC SUPP 4yr'!AB18+'STU SERVICES 4yr'!AB18+'INST SUPPORT 4yr'!AB18</f>
        <v>1445443.7690000001</v>
      </c>
      <c r="AC18" s="47">
        <f>+'ACADEMIC SUPP 4yr'!AC18+'STU SERVICES 4yr'!AC18+'INST SUPPORT 4yr'!AC18</f>
        <v>1623916.3649999998</v>
      </c>
      <c r="AD18" s="47">
        <f>+'ACADEMIC SUPP 4yr'!AD18+'STU SERVICES 4yr'!AD18+'INST SUPPORT 4yr'!AD18</f>
        <v>0</v>
      </c>
      <c r="AE18" s="47">
        <f>+'ACADEMIC SUPP 4yr'!AE18+'STU SERVICES 4yr'!AE18+'INST SUPPORT 4yr'!AE18</f>
        <v>1646130.4470000002</v>
      </c>
    </row>
    <row r="19" spans="1:31">
      <c r="A19" s="1" t="s">
        <v>36</v>
      </c>
      <c r="B19" s="47">
        <f>+'ACADEMIC SUPP 4yr'!B19+'STU SERVICES 4yr'!B19+'INST SUPPORT 4yr'!B19</f>
        <v>61693</v>
      </c>
      <c r="C19" s="47">
        <f>+'ACADEMIC SUPP 4yr'!C19+'STU SERVICES 4yr'!C19+'INST SUPPORT 4yr'!C19</f>
        <v>65659</v>
      </c>
      <c r="D19" s="47">
        <f>+'ACADEMIC SUPP 4yr'!D19+'STU SERVICES 4yr'!D19+'INST SUPPORT 4yr'!D19</f>
        <v>78754</v>
      </c>
      <c r="E19" s="47">
        <f>+'ACADEMIC SUPP 4yr'!E19+'STU SERVICES 4yr'!E19+'INST SUPPORT 4yr'!E19</f>
        <v>125736.864</v>
      </c>
      <c r="F19" s="47">
        <f>+'ACADEMIC SUPP 4yr'!F19+'STU SERVICES 4yr'!F19+'INST SUPPORT 4yr'!F19</f>
        <v>150481.98700000002</v>
      </c>
      <c r="G19" s="47">
        <f>+'ACADEMIC SUPP 4yr'!G19+'STU SERVICES 4yr'!G19+'INST SUPPORT 4yr'!G19</f>
        <v>164171.02499999999</v>
      </c>
      <c r="H19" s="47">
        <f>+'ACADEMIC SUPP 4yr'!H19+'STU SERVICES 4yr'!H19+'INST SUPPORT 4yr'!H19</f>
        <v>162836.39600000001</v>
      </c>
      <c r="I19" s="47">
        <f>+'ACADEMIC SUPP 4yr'!I19+'STU SERVICES 4yr'!I19+'INST SUPPORT 4yr'!I19</f>
        <v>167622.51999999999</v>
      </c>
      <c r="J19" s="47">
        <f>+'ACADEMIC SUPP 4yr'!J19+'STU SERVICES 4yr'!J19+'INST SUPPORT 4yr'!J19</f>
        <v>174249.41399999999</v>
      </c>
      <c r="K19" s="47">
        <f>+'ACADEMIC SUPP 4yr'!K19+'STU SERVICES 4yr'!K19+'INST SUPPORT 4yr'!K19</f>
        <v>192944.67945</v>
      </c>
      <c r="L19" s="47">
        <f>+'ACADEMIC SUPP 4yr'!L19+'STU SERVICES 4yr'!L19+'INST SUPPORT 4yr'!L19</f>
        <v>271963.53499999997</v>
      </c>
      <c r="M19" s="47">
        <f>+'ACADEMIC SUPP 4yr'!M19+'STU SERVICES 4yr'!M19+'INST SUPPORT 4yr'!M19</f>
        <v>284564.04499999998</v>
      </c>
      <c r="N19" s="47">
        <f>+'ACADEMIC SUPP 4yr'!N19+'STU SERVICES 4yr'!N19+'INST SUPPORT 4yr'!N19</f>
        <v>265069.64899999998</v>
      </c>
      <c r="O19" s="47">
        <f>+'ACADEMIC SUPP 4yr'!O19+'STU SERVICES 4yr'!O19+'INST SUPPORT 4yr'!O19</f>
        <v>277366.56900000002</v>
      </c>
      <c r="P19" s="47">
        <f>+'ACADEMIC SUPP 4yr'!P19+'STU SERVICES 4yr'!P19+'INST SUPPORT 4yr'!P19</f>
        <v>298980.12</v>
      </c>
      <c r="Q19" s="47">
        <f>+'ACADEMIC SUPP 4yr'!Q19+'STU SERVICES 4yr'!Q19+'INST SUPPORT 4yr'!Q19</f>
        <v>301156.77999999997</v>
      </c>
      <c r="R19" s="47">
        <f>+'ACADEMIC SUPP 4yr'!R19+'STU SERVICES 4yr'!R19+'INST SUPPORT 4yr'!R19</f>
        <v>335022.51700000005</v>
      </c>
      <c r="S19" s="47">
        <f>+'ACADEMIC SUPP 4yr'!S19+'STU SERVICES 4yr'!S19+'INST SUPPORT 4yr'!S19</f>
        <v>373968.571</v>
      </c>
      <c r="T19" s="47">
        <f>+'ACADEMIC SUPP 4yr'!T19+'STU SERVICES 4yr'!T19+'INST SUPPORT 4yr'!T19</f>
        <v>457057.50199999998</v>
      </c>
      <c r="U19" s="47">
        <f>+'ACADEMIC SUPP 4yr'!U19+'STU SERVICES 4yr'!U19+'INST SUPPORT 4yr'!U19</f>
        <v>397109.66500000004</v>
      </c>
      <c r="V19" s="47">
        <f>+'ACADEMIC SUPP 4yr'!V19+'STU SERVICES 4yr'!V19+'INST SUPPORT 4yr'!V19</f>
        <v>542229.48300000001</v>
      </c>
      <c r="W19" s="47">
        <f>+'ACADEMIC SUPP 4yr'!W19+'STU SERVICES 4yr'!W19+'INST SUPPORT 4yr'!W19</f>
        <v>533650.59899999993</v>
      </c>
      <c r="X19" s="47">
        <f>+'ACADEMIC SUPP 4yr'!X19+'STU SERVICES 4yr'!X19+'INST SUPPORT 4yr'!X19</f>
        <v>558713.09899999993</v>
      </c>
      <c r="Y19" s="47">
        <f>+'ACADEMIC SUPP 4yr'!Y19+'STU SERVICES 4yr'!Y19+'INST SUPPORT 4yr'!Y19</f>
        <v>555321.31599999999</v>
      </c>
      <c r="Z19" s="47">
        <f>+'ACADEMIC SUPP 4yr'!Z19+'STU SERVICES 4yr'!Z19+'INST SUPPORT 4yr'!Z19</f>
        <v>578391.076</v>
      </c>
      <c r="AA19" s="47">
        <f>+'ACADEMIC SUPP 4yr'!AA19+'STU SERVICES 4yr'!AA19+'INST SUPPORT 4yr'!AA19</f>
        <v>600145.54300000006</v>
      </c>
      <c r="AB19" s="47">
        <f>+'ACADEMIC SUPP 4yr'!AB19+'STU SERVICES 4yr'!AB19+'INST SUPPORT 4yr'!AB19</f>
        <v>614506.723</v>
      </c>
      <c r="AC19" s="47">
        <f>+'ACADEMIC SUPP 4yr'!AC19+'STU SERVICES 4yr'!AC19+'INST SUPPORT 4yr'!AC19</f>
        <v>607962.23600000003</v>
      </c>
      <c r="AD19" s="47">
        <f>+'ACADEMIC SUPP 4yr'!AD19+'STU SERVICES 4yr'!AD19+'INST SUPPORT 4yr'!AD19</f>
        <v>0</v>
      </c>
      <c r="AE19" s="47">
        <f>+'ACADEMIC SUPP 4yr'!AE19+'STU SERVICES 4yr'!AE19+'INST SUPPORT 4yr'!AE19</f>
        <v>586642.74600000004</v>
      </c>
    </row>
    <row r="20" spans="1:31">
      <c r="A20" s="1" t="s">
        <v>37</v>
      </c>
      <c r="B20" s="47">
        <f>+'ACADEMIC SUPP 4yr'!B20+'STU SERVICES 4yr'!B20+'INST SUPPORT 4yr'!B20</f>
        <v>110763</v>
      </c>
      <c r="C20" s="47">
        <f>+'ACADEMIC SUPP 4yr'!C20+'STU SERVICES 4yr'!C20+'INST SUPPORT 4yr'!C20</f>
        <v>131455</v>
      </c>
      <c r="D20" s="47">
        <f>+'ACADEMIC SUPP 4yr'!D20+'STU SERVICES 4yr'!D20+'INST SUPPORT 4yr'!D20</f>
        <v>141724</v>
      </c>
      <c r="E20" s="47">
        <f>+'ACADEMIC SUPP 4yr'!E20+'STU SERVICES 4yr'!E20+'INST SUPPORT 4yr'!E20</f>
        <v>199270.467</v>
      </c>
      <c r="F20" s="47">
        <f>+'ACADEMIC SUPP 4yr'!F20+'STU SERVICES 4yr'!F20+'INST SUPPORT 4yr'!F20</f>
        <v>196248.86</v>
      </c>
      <c r="G20" s="47">
        <f>+'ACADEMIC SUPP 4yr'!G20+'STU SERVICES 4yr'!G20+'INST SUPPORT 4yr'!G20</f>
        <v>205056.67599999998</v>
      </c>
      <c r="H20" s="47">
        <f>+'ACADEMIC SUPP 4yr'!H20+'STU SERVICES 4yr'!H20+'INST SUPPORT 4yr'!H20</f>
        <v>222887.71299999999</v>
      </c>
      <c r="I20" s="47">
        <f>+'ACADEMIC SUPP 4yr'!I20+'STU SERVICES 4yr'!I20+'INST SUPPORT 4yr'!I20</f>
        <v>227037.44500000001</v>
      </c>
      <c r="J20" s="47">
        <f>+'ACADEMIC SUPP 4yr'!J20+'STU SERVICES 4yr'!J20+'INST SUPPORT 4yr'!J20</f>
        <v>247784.78399999999</v>
      </c>
      <c r="K20" s="47">
        <f>+'ACADEMIC SUPP 4yr'!K20+'STU SERVICES 4yr'!K20+'INST SUPPORT 4yr'!K20</f>
        <v>259157.147</v>
      </c>
      <c r="L20" s="47">
        <f>+'ACADEMIC SUPP 4yr'!L20+'STU SERVICES 4yr'!L20+'INST SUPPORT 4yr'!L20</f>
        <v>319436.22600000002</v>
      </c>
      <c r="M20" s="47">
        <f>+'ACADEMIC SUPP 4yr'!M20+'STU SERVICES 4yr'!M20+'INST SUPPORT 4yr'!M20</f>
        <v>334257.70599999995</v>
      </c>
      <c r="N20" s="47">
        <f>+'ACADEMIC SUPP 4yr'!N20+'STU SERVICES 4yr'!N20+'INST SUPPORT 4yr'!N20</f>
        <v>336857.74700000003</v>
      </c>
      <c r="O20" s="47">
        <f>+'ACADEMIC SUPP 4yr'!O20+'STU SERVICES 4yr'!O20+'INST SUPPORT 4yr'!O20</f>
        <v>354420.90299999999</v>
      </c>
      <c r="P20" s="47">
        <f>+'ACADEMIC SUPP 4yr'!P20+'STU SERVICES 4yr'!P20+'INST SUPPORT 4yr'!P20</f>
        <v>366742.41099999996</v>
      </c>
      <c r="Q20" s="47">
        <f>+'ACADEMIC SUPP 4yr'!Q20+'STU SERVICES 4yr'!Q20+'INST SUPPORT 4yr'!Q20</f>
        <v>407196.71100000001</v>
      </c>
      <c r="R20" s="47">
        <f>+'ACADEMIC SUPP 4yr'!R20+'STU SERVICES 4yr'!R20+'INST SUPPORT 4yr'!R20</f>
        <v>451921.51</v>
      </c>
      <c r="S20" s="47">
        <f>+'ACADEMIC SUPP 4yr'!S20+'STU SERVICES 4yr'!S20+'INST SUPPORT 4yr'!S20</f>
        <v>482522.64399999997</v>
      </c>
      <c r="T20" s="47">
        <f>+'ACADEMIC SUPP 4yr'!T20+'STU SERVICES 4yr'!T20+'INST SUPPORT 4yr'!T20</f>
        <v>537404.47699999996</v>
      </c>
      <c r="U20" s="47">
        <f>+'ACADEMIC SUPP 4yr'!U20+'STU SERVICES 4yr'!U20+'INST SUPPORT 4yr'!U20</f>
        <v>439403.02899999998</v>
      </c>
      <c r="V20" s="47">
        <f>+'ACADEMIC SUPP 4yr'!V20+'STU SERVICES 4yr'!V20+'INST SUPPORT 4yr'!V20</f>
        <v>616016.34300000011</v>
      </c>
      <c r="W20" s="47">
        <f>+'ACADEMIC SUPP 4yr'!W20+'STU SERVICES 4yr'!W20+'INST SUPPORT 4yr'!W20</f>
        <v>645365.60100000002</v>
      </c>
      <c r="X20" s="47">
        <f>+'ACADEMIC SUPP 4yr'!X20+'STU SERVICES 4yr'!X20+'INST SUPPORT 4yr'!X20</f>
        <v>686987.24699999997</v>
      </c>
      <c r="Y20" s="47">
        <f>+'ACADEMIC SUPP 4yr'!Y20+'STU SERVICES 4yr'!Y20+'INST SUPPORT 4yr'!Y20</f>
        <v>747112.06799999997</v>
      </c>
      <c r="Z20" s="47">
        <f>+'ACADEMIC SUPP 4yr'!Z20+'STU SERVICES 4yr'!Z20+'INST SUPPORT 4yr'!Z20</f>
        <v>792717.321</v>
      </c>
      <c r="AA20" s="47">
        <f>+'ACADEMIC SUPP 4yr'!AA20+'STU SERVICES 4yr'!AA20+'INST SUPPORT 4yr'!AA20</f>
        <v>852154.0290000001</v>
      </c>
      <c r="AB20" s="47">
        <f>+'ACADEMIC SUPP 4yr'!AB20+'STU SERVICES 4yr'!AB20+'INST SUPPORT 4yr'!AB20</f>
        <v>861386.20600000001</v>
      </c>
      <c r="AC20" s="47">
        <f>+'ACADEMIC SUPP 4yr'!AC20+'STU SERVICES 4yr'!AC20+'INST SUPPORT 4yr'!AC20</f>
        <v>913268.13199999998</v>
      </c>
      <c r="AD20" s="47">
        <f>+'ACADEMIC SUPP 4yr'!AD20+'STU SERVICES 4yr'!AD20+'INST SUPPORT 4yr'!AD20</f>
        <v>0</v>
      </c>
      <c r="AE20" s="47">
        <f>+'ACADEMIC SUPP 4yr'!AE20+'STU SERVICES 4yr'!AE20+'INST SUPPORT 4yr'!AE20</f>
        <v>975895.35199999996</v>
      </c>
    </row>
    <row r="21" spans="1:31" s="11" customFormat="1">
      <c r="A21" s="1" t="s">
        <v>38</v>
      </c>
      <c r="B21" s="47">
        <f>+'ACADEMIC SUPP 4yr'!B21+'STU SERVICES 4yr'!B21+'INST SUPPORT 4yr'!B21</f>
        <v>135865</v>
      </c>
      <c r="C21" s="47">
        <f>+'ACADEMIC SUPP 4yr'!C21+'STU SERVICES 4yr'!C21+'INST SUPPORT 4yr'!C21</f>
        <v>154937</v>
      </c>
      <c r="D21" s="47">
        <f>+'ACADEMIC SUPP 4yr'!D21+'STU SERVICES 4yr'!D21+'INST SUPPORT 4yr'!D21</f>
        <v>173284</v>
      </c>
      <c r="E21" s="47">
        <f>+'ACADEMIC SUPP 4yr'!E21+'STU SERVICES 4yr'!E21+'INST SUPPORT 4yr'!E21</f>
        <v>247555.90100000001</v>
      </c>
      <c r="F21" s="47">
        <f>+'ACADEMIC SUPP 4yr'!F21+'STU SERVICES 4yr'!F21+'INST SUPPORT 4yr'!F21</f>
        <v>224316.823</v>
      </c>
      <c r="G21" s="47">
        <f>+'ACADEMIC SUPP 4yr'!G21+'STU SERVICES 4yr'!G21+'INST SUPPORT 4yr'!G21</f>
        <v>263434.50400000002</v>
      </c>
      <c r="H21" s="47">
        <f>+'ACADEMIC SUPP 4yr'!H21+'STU SERVICES 4yr'!H21+'INST SUPPORT 4yr'!H21</f>
        <v>291109.03200000001</v>
      </c>
      <c r="I21" s="47">
        <f>+'ACADEMIC SUPP 4yr'!I21+'STU SERVICES 4yr'!I21+'INST SUPPORT 4yr'!I21</f>
        <v>295570.16499999998</v>
      </c>
      <c r="J21" s="47">
        <f>+'ACADEMIC SUPP 4yr'!J21+'STU SERVICES 4yr'!J21+'INST SUPPORT 4yr'!J21</f>
        <v>340450.18</v>
      </c>
      <c r="K21" s="47">
        <f>+'ACADEMIC SUPP 4yr'!K21+'STU SERVICES 4yr'!K21+'INST SUPPORT 4yr'!K21</f>
        <v>344285.73157</v>
      </c>
      <c r="L21" s="47">
        <f>+'ACADEMIC SUPP 4yr'!L21+'STU SERVICES 4yr'!L21+'INST SUPPORT 4yr'!L21</f>
        <v>379878.18900000001</v>
      </c>
      <c r="M21" s="47">
        <f>+'ACADEMIC SUPP 4yr'!M21+'STU SERVICES 4yr'!M21+'INST SUPPORT 4yr'!M21</f>
        <v>423976.00699999998</v>
      </c>
      <c r="N21" s="47">
        <f>+'ACADEMIC SUPP 4yr'!N21+'STU SERVICES 4yr'!N21+'INST SUPPORT 4yr'!N21</f>
        <v>430490.946</v>
      </c>
      <c r="O21" s="47">
        <f>+'ACADEMIC SUPP 4yr'!O21+'STU SERVICES 4yr'!O21+'INST SUPPORT 4yr'!O21</f>
        <v>468713.31299999997</v>
      </c>
      <c r="P21" s="47">
        <f>+'ACADEMIC SUPP 4yr'!P21+'STU SERVICES 4yr'!P21+'INST SUPPORT 4yr'!P21</f>
        <v>464803.67700000003</v>
      </c>
      <c r="Q21" s="47">
        <f>+'ACADEMIC SUPP 4yr'!Q21+'STU SERVICES 4yr'!Q21+'INST SUPPORT 4yr'!Q21</f>
        <v>509040.45600000001</v>
      </c>
      <c r="R21" s="47">
        <f>+'ACADEMIC SUPP 4yr'!R21+'STU SERVICES 4yr'!R21+'INST SUPPORT 4yr'!R21</f>
        <v>524260.13500000001</v>
      </c>
      <c r="S21" s="47">
        <f>+'ACADEMIC SUPP 4yr'!S21+'STU SERVICES 4yr'!S21+'INST SUPPORT 4yr'!S21</f>
        <v>546828.93299999996</v>
      </c>
      <c r="T21" s="47">
        <f>+'ACADEMIC SUPP 4yr'!T21+'STU SERVICES 4yr'!T21+'INST SUPPORT 4yr'!T21</f>
        <v>603717.25099999993</v>
      </c>
      <c r="U21" s="47">
        <f>+'ACADEMIC SUPP 4yr'!U21+'STU SERVICES 4yr'!U21+'INST SUPPORT 4yr'!U21</f>
        <v>618379.67700000003</v>
      </c>
      <c r="V21" s="47">
        <f>+'ACADEMIC SUPP 4yr'!V21+'STU SERVICES 4yr'!V21+'INST SUPPORT 4yr'!V21</f>
        <v>722942.52299999993</v>
      </c>
      <c r="W21" s="47">
        <f>+'ACADEMIC SUPP 4yr'!W21+'STU SERVICES 4yr'!W21+'INST SUPPORT 4yr'!W21</f>
        <v>758466.59400000004</v>
      </c>
      <c r="X21" s="47">
        <f>+'ACADEMIC SUPP 4yr'!X21+'STU SERVICES 4yr'!X21+'INST SUPPORT 4yr'!X21</f>
        <v>845866.73399999994</v>
      </c>
      <c r="Y21" s="47">
        <f>+'ACADEMIC SUPP 4yr'!Y21+'STU SERVICES 4yr'!Y21+'INST SUPPORT 4yr'!Y21</f>
        <v>845917.55900000001</v>
      </c>
      <c r="Z21" s="47">
        <f>+'ACADEMIC SUPP 4yr'!Z21+'STU SERVICES 4yr'!Z21+'INST SUPPORT 4yr'!Z21</f>
        <v>902131.09400000004</v>
      </c>
      <c r="AA21" s="47">
        <f>+'ACADEMIC SUPP 4yr'!AA21+'STU SERVICES 4yr'!AA21+'INST SUPPORT 4yr'!AA21</f>
        <v>888681.897</v>
      </c>
      <c r="AB21" s="47">
        <f>+'ACADEMIC SUPP 4yr'!AB21+'STU SERVICES 4yr'!AB21+'INST SUPPORT 4yr'!AB21</f>
        <v>911385.83</v>
      </c>
      <c r="AC21" s="47">
        <f>+'ACADEMIC SUPP 4yr'!AC21+'STU SERVICES 4yr'!AC21+'INST SUPPORT 4yr'!AC21</f>
        <v>978194.46399999992</v>
      </c>
      <c r="AD21" s="47">
        <f>+'ACADEMIC SUPP 4yr'!AD21+'STU SERVICES 4yr'!AD21+'INST SUPPORT 4yr'!AD21</f>
        <v>0</v>
      </c>
      <c r="AE21" s="47">
        <f>+'ACADEMIC SUPP 4yr'!AE21+'STU SERVICES 4yr'!AE21+'INST SUPPORT 4yr'!AE21</f>
        <v>1002705.952</v>
      </c>
    </row>
    <row r="22" spans="1:31">
      <c r="A22" s="1" t="s">
        <v>39</v>
      </c>
      <c r="B22" s="47">
        <f>+'ACADEMIC SUPP 4yr'!B22+'STU SERVICES 4yr'!B22+'INST SUPPORT 4yr'!B22</f>
        <v>496540</v>
      </c>
      <c r="C22" s="47">
        <f>+'ACADEMIC SUPP 4yr'!C22+'STU SERVICES 4yr'!C22+'INST SUPPORT 4yr'!C22</f>
        <v>541872</v>
      </c>
      <c r="D22" s="47">
        <f>+'ACADEMIC SUPP 4yr'!D22+'STU SERVICES 4yr'!D22+'INST SUPPORT 4yr'!D22</f>
        <v>587775</v>
      </c>
      <c r="E22" s="47">
        <f>+'ACADEMIC SUPP 4yr'!E22+'STU SERVICES 4yr'!E22+'INST SUPPORT 4yr'!E22</f>
        <v>837054.42400000012</v>
      </c>
      <c r="F22" s="47">
        <f>+'ACADEMIC SUPP 4yr'!F22+'STU SERVICES 4yr'!F22+'INST SUPPORT 4yr'!F22</f>
        <v>828645.16599999997</v>
      </c>
      <c r="G22" s="47">
        <f>+'ACADEMIC SUPP 4yr'!G22+'STU SERVICES 4yr'!G22+'INST SUPPORT 4yr'!G22</f>
        <v>900950.98</v>
      </c>
      <c r="H22" s="47">
        <f>+'ACADEMIC SUPP 4yr'!H22+'STU SERVICES 4yr'!H22+'INST SUPPORT 4yr'!H22</f>
        <v>943926.42800000007</v>
      </c>
      <c r="I22" s="47">
        <f>+'ACADEMIC SUPP 4yr'!I22+'STU SERVICES 4yr'!I22+'INST SUPPORT 4yr'!I22</f>
        <v>984866.59100000001</v>
      </c>
      <c r="J22" s="47">
        <f>+'ACADEMIC SUPP 4yr'!J22+'STU SERVICES 4yr'!J22+'INST SUPPORT 4yr'!J22</f>
        <v>1100249.298</v>
      </c>
      <c r="K22" s="47">
        <f>+'ACADEMIC SUPP 4yr'!K22+'STU SERVICES 4yr'!K22+'INST SUPPORT 4yr'!K22</f>
        <v>1182433.199</v>
      </c>
      <c r="L22" s="47">
        <f>+'ACADEMIC SUPP 4yr'!L22+'STU SERVICES 4yr'!L22+'INST SUPPORT 4yr'!L22</f>
        <v>1504333.7250000001</v>
      </c>
      <c r="M22" s="47">
        <f>+'ACADEMIC SUPP 4yr'!M22+'STU SERVICES 4yr'!M22+'INST SUPPORT 4yr'!M22</f>
        <v>1712058.3399999999</v>
      </c>
      <c r="N22" s="47">
        <f>+'ACADEMIC SUPP 4yr'!N22+'STU SERVICES 4yr'!N22+'INST SUPPORT 4yr'!N22</f>
        <v>1851890.645</v>
      </c>
      <c r="O22" s="47">
        <f>+'ACADEMIC SUPP 4yr'!O22+'STU SERVICES 4yr'!O22+'INST SUPPORT 4yr'!O22</f>
        <v>1908895.9640000002</v>
      </c>
      <c r="P22" s="47">
        <f>+'ACADEMIC SUPP 4yr'!P22+'STU SERVICES 4yr'!P22+'INST SUPPORT 4yr'!P22</f>
        <v>2019826.9469999999</v>
      </c>
      <c r="Q22" s="47">
        <f>+'ACADEMIC SUPP 4yr'!Q22+'STU SERVICES 4yr'!Q22+'INST SUPPORT 4yr'!Q22</f>
        <v>2138276.8629999999</v>
      </c>
      <c r="R22" s="47">
        <f>+'ACADEMIC SUPP 4yr'!R22+'STU SERVICES 4yr'!R22+'INST SUPPORT 4yr'!R22</f>
        <v>2168819.5129999998</v>
      </c>
      <c r="S22" s="47">
        <f>+'ACADEMIC SUPP 4yr'!S22+'STU SERVICES 4yr'!S22+'INST SUPPORT 4yr'!S22</f>
        <v>2306817.85</v>
      </c>
      <c r="T22" s="47">
        <f>+'ACADEMIC SUPP 4yr'!T22+'STU SERVICES 4yr'!T22+'INST SUPPORT 4yr'!T22</f>
        <v>2597043.0999999996</v>
      </c>
      <c r="U22" s="47">
        <f>+'ACADEMIC SUPP 4yr'!U22+'STU SERVICES 4yr'!U22+'INST SUPPORT 4yr'!U22</f>
        <v>2196682.96</v>
      </c>
      <c r="V22" s="47">
        <f>+'ACADEMIC SUPP 4yr'!V22+'STU SERVICES 4yr'!V22+'INST SUPPORT 4yr'!V22</f>
        <v>3378734.3810000001</v>
      </c>
      <c r="W22" s="47">
        <f>+'ACADEMIC SUPP 4yr'!W22+'STU SERVICES 4yr'!W22+'INST SUPPORT 4yr'!W22</f>
        <v>3682030.7439999999</v>
      </c>
      <c r="X22" s="47">
        <f>+'ACADEMIC SUPP 4yr'!X22+'STU SERVICES 4yr'!X22+'INST SUPPORT 4yr'!X22</f>
        <v>3511389.7989999996</v>
      </c>
      <c r="Y22" s="47">
        <f>+'ACADEMIC SUPP 4yr'!Y22+'STU SERVICES 4yr'!Y22+'INST SUPPORT 4yr'!Y22</f>
        <v>3082067.77</v>
      </c>
      <c r="Z22" s="47">
        <f>+'ACADEMIC SUPP 4yr'!Z22+'STU SERVICES 4yr'!Z22+'INST SUPPORT 4yr'!Z22</f>
        <v>3264765.6639999999</v>
      </c>
      <c r="AA22" s="47">
        <f>+'ACADEMIC SUPP 4yr'!AA22+'STU SERVICES 4yr'!AA22+'INST SUPPORT 4yr'!AA22</f>
        <v>3470942.5869999998</v>
      </c>
      <c r="AB22" s="47">
        <f>+'ACADEMIC SUPP 4yr'!AB22+'STU SERVICES 4yr'!AB22+'INST SUPPORT 4yr'!AB22</f>
        <v>4547474.63</v>
      </c>
      <c r="AC22" s="47">
        <f>+'ACADEMIC SUPP 4yr'!AC22+'STU SERVICES 4yr'!AC22+'INST SUPPORT 4yr'!AC22</f>
        <v>4714820.2979999995</v>
      </c>
      <c r="AD22" s="47">
        <f>+'ACADEMIC SUPP 4yr'!AD22+'STU SERVICES 4yr'!AD22+'INST SUPPORT 4yr'!AD22</f>
        <v>0</v>
      </c>
      <c r="AE22" s="47">
        <f>+'ACADEMIC SUPP 4yr'!AE22+'STU SERVICES 4yr'!AE22+'INST SUPPORT 4yr'!AE22</f>
        <v>5194457.5409999993</v>
      </c>
    </row>
    <row r="23" spans="1:31">
      <c r="A23" s="1" t="s">
        <v>40</v>
      </c>
      <c r="B23" s="47">
        <f>+'ACADEMIC SUPP 4yr'!B23+'STU SERVICES 4yr'!B23+'INST SUPPORT 4yr'!B23</f>
        <v>202505</v>
      </c>
      <c r="C23" s="47">
        <f>+'ACADEMIC SUPP 4yr'!C23+'STU SERVICES 4yr'!C23+'INST SUPPORT 4yr'!C23</f>
        <v>244633</v>
      </c>
      <c r="D23" s="47">
        <f>+'ACADEMIC SUPP 4yr'!D23+'STU SERVICES 4yr'!D23+'INST SUPPORT 4yr'!D23</f>
        <v>261651</v>
      </c>
      <c r="E23" s="47">
        <f>+'ACADEMIC SUPP 4yr'!E23+'STU SERVICES 4yr'!E23+'INST SUPPORT 4yr'!E23</f>
        <v>370343.603</v>
      </c>
      <c r="F23" s="47">
        <f>+'ACADEMIC SUPP 4yr'!F23+'STU SERVICES 4yr'!F23+'INST SUPPORT 4yr'!F23</f>
        <v>373395.34400000004</v>
      </c>
      <c r="G23" s="47">
        <f>+'ACADEMIC SUPP 4yr'!G23+'STU SERVICES 4yr'!G23+'INST SUPPORT 4yr'!G23</f>
        <v>388101.03899999999</v>
      </c>
      <c r="H23" s="47">
        <f>+'ACADEMIC SUPP 4yr'!H23+'STU SERVICES 4yr'!H23+'INST SUPPORT 4yr'!H23</f>
        <v>431509.99099999992</v>
      </c>
      <c r="I23" s="47">
        <f>+'ACADEMIC SUPP 4yr'!I23+'STU SERVICES 4yr'!I23+'INST SUPPORT 4yr'!I23</f>
        <v>455724.71600000001</v>
      </c>
      <c r="J23" s="47">
        <f>+'ACADEMIC SUPP 4yr'!J23+'STU SERVICES 4yr'!J23+'INST SUPPORT 4yr'!J23</f>
        <v>463006.19200000004</v>
      </c>
      <c r="K23" s="47">
        <f>+'ACADEMIC SUPP 4yr'!K23+'STU SERVICES 4yr'!K23+'INST SUPPORT 4yr'!K23</f>
        <v>511604.527</v>
      </c>
      <c r="L23" s="47">
        <f>+'ACADEMIC SUPP 4yr'!L23+'STU SERVICES 4yr'!L23+'INST SUPPORT 4yr'!L23</f>
        <v>617348.10800000001</v>
      </c>
      <c r="M23" s="47">
        <f>+'ACADEMIC SUPP 4yr'!M23+'STU SERVICES 4yr'!M23+'INST SUPPORT 4yr'!M23</f>
        <v>652413.96699999995</v>
      </c>
      <c r="N23" s="47">
        <f>+'ACADEMIC SUPP 4yr'!N23+'STU SERVICES 4yr'!N23+'INST SUPPORT 4yr'!N23</f>
        <v>645110.16299999994</v>
      </c>
      <c r="O23" s="47">
        <f>+'ACADEMIC SUPP 4yr'!O23+'STU SERVICES 4yr'!O23+'INST SUPPORT 4yr'!O23</f>
        <v>599680.15500000003</v>
      </c>
      <c r="P23" s="47">
        <f>+'ACADEMIC SUPP 4yr'!P23+'STU SERVICES 4yr'!P23+'INST SUPPORT 4yr'!P23</f>
        <v>636528.49699999997</v>
      </c>
      <c r="Q23" s="47">
        <f>+'ACADEMIC SUPP 4yr'!Q23+'STU SERVICES 4yr'!Q23+'INST SUPPORT 4yr'!Q23</f>
        <v>703596.13400000008</v>
      </c>
      <c r="R23" s="47">
        <f>+'ACADEMIC SUPP 4yr'!R23+'STU SERVICES 4yr'!R23+'INST SUPPORT 4yr'!R23</f>
        <v>787141.91799999995</v>
      </c>
      <c r="S23" s="47">
        <f>+'ACADEMIC SUPP 4yr'!S23+'STU SERVICES 4yr'!S23+'INST SUPPORT 4yr'!S23</f>
        <v>863159.25</v>
      </c>
      <c r="T23" s="47">
        <f>+'ACADEMIC SUPP 4yr'!T23+'STU SERVICES 4yr'!T23+'INST SUPPORT 4yr'!T23</f>
        <v>954394.52099999995</v>
      </c>
      <c r="U23" s="47">
        <f>+'ACADEMIC SUPP 4yr'!U23+'STU SERVICES 4yr'!U23+'INST SUPPORT 4yr'!U23</f>
        <v>994739.87700000009</v>
      </c>
      <c r="V23" s="47">
        <f>+'ACADEMIC SUPP 4yr'!V23+'STU SERVICES 4yr'!V23+'INST SUPPORT 4yr'!V23</f>
        <v>1118719.5419999999</v>
      </c>
      <c r="W23" s="47">
        <f>+'ACADEMIC SUPP 4yr'!W23+'STU SERVICES 4yr'!W23+'INST SUPPORT 4yr'!W23</f>
        <v>1167070.642</v>
      </c>
      <c r="X23" s="47">
        <f>+'ACADEMIC SUPP 4yr'!X23+'STU SERVICES 4yr'!X23+'INST SUPPORT 4yr'!X23</f>
        <v>1213831.4850000001</v>
      </c>
      <c r="Y23" s="47">
        <f>+'ACADEMIC SUPP 4yr'!Y23+'STU SERVICES 4yr'!Y23+'INST SUPPORT 4yr'!Y23</f>
        <v>1272501.844</v>
      </c>
      <c r="Z23" s="47">
        <f>+'ACADEMIC SUPP 4yr'!Z23+'STU SERVICES 4yr'!Z23+'INST SUPPORT 4yr'!Z23</f>
        <v>1346914.5730000001</v>
      </c>
      <c r="AA23" s="47">
        <f>+'ACADEMIC SUPP 4yr'!AA23+'STU SERVICES 4yr'!AA23+'INST SUPPORT 4yr'!AA23</f>
        <v>1421705.2689999999</v>
      </c>
      <c r="AB23" s="47">
        <f>+'ACADEMIC SUPP 4yr'!AB23+'STU SERVICES 4yr'!AB23+'INST SUPPORT 4yr'!AB23</f>
        <v>1492206.3020000001</v>
      </c>
      <c r="AC23" s="47">
        <f>+'ACADEMIC SUPP 4yr'!AC23+'STU SERVICES 4yr'!AC23+'INST SUPPORT 4yr'!AC23</f>
        <v>1595776.3489999999</v>
      </c>
      <c r="AD23" s="47">
        <f>+'ACADEMIC SUPP 4yr'!AD23+'STU SERVICES 4yr'!AD23+'INST SUPPORT 4yr'!AD23</f>
        <v>0</v>
      </c>
      <c r="AE23" s="47">
        <f>+'ACADEMIC SUPP 4yr'!AE23+'STU SERVICES 4yr'!AE23+'INST SUPPORT 4yr'!AE23</f>
        <v>1794776.9109999998</v>
      </c>
    </row>
    <row r="24" spans="1:31">
      <c r="A24" s="23" t="s">
        <v>41</v>
      </c>
      <c r="B24" s="49">
        <f>+'ACADEMIC SUPP 4yr'!B24+'STU SERVICES 4yr'!B24+'INST SUPPORT 4yr'!B24</f>
        <v>68950</v>
      </c>
      <c r="C24" s="49">
        <f>+'ACADEMIC SUPP 4yr'!C24+'STU SERVICES 4yr'!C24+'INST SUPPORT 4yr'!C24</f>
        <v>74924</v>
      </c>
      <c r="D24" s="49">
        <f>+'ACADEMIC SUPP 4yr'!D24+'STU SERVICES 4yr'!D24+'INST SUPPORT 4yr'!D24</f>
        <v>82619</v>
      </c>
      <c r="E24" s="49">
        <f>+'ACADEMIC SUPP 4yr'!E24+'STU SERVICES 4yr'!E24+'INST SUPPORT 4yr'!E24</f>
        <v>107555.772</v>
      </c>
      <c r="F24" s="49">
        <f>+'ACADEMIC SUPP 4yr'!F24+'STU SERVICES 4yr'!F24+'INST SUPPORT 4yr'!F24</f>
        <v>107088.06299999999</v>
      </c>
      <c r="G24" s="49">
        <f>+'ACADEMIC SUPP 4yr'!G24+'STU SERVICES 4yr'!G24+'INST SUPPORT 4yr'!G24</f>
        <v>116767.291</v>
      </c>
      <c r="H24" s="49">
        <f>+'ACADEMIC SUPP 4yr'!H24+'STU SERVICES 4yr'!H24+'INST SUPPORT 4yr'!H24</f>
        <v>128734.49599999998</v>
      </c>
      <c r="I24" s="49">
        <f>+'ACADEMIC SUPP 4yr'!I24+'STU SERVICES 4yr'!I24+'INST SUPPORT 4yr'!I24</f>
        <v>132033.891</v>
      </c>
      <c r="J24" s="49">
        <f>+'ACADEMIC SUPP 4yr'!J24+'STU SERVICES 4yr'!J24+'INST SUPPORT 4yr'!J24</f>
        <v>143134.598</v>
      </c>
      <c r="K24" s="49">
        <f>+'ACADEMIC SUPP 4yr'!K24+'STU SERVICES 4yr'!K24+'INST SUPPORT 4yr'!K24</f>
        <v>151251.01938000001</v>
      </c>
      <c r="L24" s="49">
        <f>+'ACADEMIC SUPP 4yr'!L24+'STU SERVICES 4yr'!L24+'INST SUPPORT 4yr'!L24</f>
        <v>182537.39900000003</v>
      </c>
      <c r="M24" s="49">
        <f>+'ACADEMIC SUPP 4yr'!M24+'STU SERVICES 4yr'!M24+'INST SUPPORT 4yr'!M24</f>
        <v>192443.842</v>
      </c>
      <c r="N24" s="49">
        <f>+'ACADEMIC SUPP 4yr'!N24+'STU SERVICES 4yr'!N24+'INST SUPPORT 4yr'!N24</f>
        <v>191797.83199999999</v>
      </c>
      <c r="O24" s="49">
        <f>+'ACADEMIC SUPP 4yr'!O24+'STU SERVICES 4yr'!O24+'INST SUPPORT 4yr'!O24</f>
        <v>210470.15600000002</v>
      </c>
      <c r="P24" s="49">
        <f>+'ACADEMIC SUPP 4yr'!P24+'STU SERVICES 4yr'!P24+'INST SUPPORT 4yr'!P24</f>
        <v>202856.03</v>
      </c>
      <c r="Q24" s="49">
        <f>+'ACADEMIC SUPP 4yr'!Q24+'STU SERVICES 4yr'!Q24+'INST SUPPORT 4yr'!Q24</f>
        <v>208214.38199999998</v>
      </c>
      <c r="R24" s="49">
        <f>+'ACADEMIC SUPP 4yr'!R24+'STU SERVICES 4yr'!R24+'INST SUPPORT 4yr'!R24</f>
        <v>236824.57800000001</v>
      </c>
      <c r="S24" s="49">
        <f>+'ACADEMIC SUPP 4yr'!S24+'STU SERVICES 4yr'!S24+'INST SUPPORT 4yr'!S24</f>
        <v>252370.43</v>
      </c>
      <c r="T24" s="49">
        <f>+'ACADEMIC SUPP 4yr'!T24+'STU SERVICES 4yr'!T24+'INST SUPPORT 4yr'!T24</f>
        <v>268771.98100000003</v>
      </c>
      <c r="U24" s="49">
        <f>+'ACADEMIC SUPP 4yr'!U24+'STU SERVICES 4yr'!U24+'INST SUPPORT 4yr'!U24</f>
        <v>275705.65599999996</v>
      </c>
      <c r="V24" s="49">
        <f>+'ACADEMIC SUPP 4yr'!V24+'STU SERVICES 4yr'!V24+'INST SUPPORT 4yr'!V24</f>
        <v>339632.61100000003</v>
      </c>
      <c r="W24" s="49">
        <f>+'ACADEMIC SUPP 4yr'!W24+'STU SERVICES 4yr'!W24+'INST SUPPORT 4yr'!W24</f>
        <v>373294.66799999995</v>
      </c>
      <c r="X24" s="49">
        <f>+'ACADEMIC SUPP 4yr'!X24+'STU SERVICES 4yr'!X24+'INST SUPPORT 4yr'!X24</f>
        <v>395397.62300000002</v>
      </c>
      <c r="Y24" s="49">
        <f>+'ACADEMIC SUPP 4yr'!Y24+'STU SERVICES 4yr'!Y24+'INST SUPPORT 4yr'!Y24</f>
        <v>383838.21100000001</v>
      </c>
      <c r="Z24" s="49">
        <f>+'ACADEMIC SUPP 4yr'!Z24+'STU SERVICES 4yr'!Z24+'INST SUPPORT 4yr'!Z24</f>
        <v>384267.98800000001</v>
      </c>
      <c r="AA24" s="49">
        <f>+'ACADEMIC SUPP 4yr'!AA24+'STU SERVICES 4yr'!AA24+'INST SUPPORT 4yr'!AA24</f>
        <v>408552.53200000001</v>
      </c>
      <c r="AB24" s="49">
        <f>+'ACADEMIC SUPP 4yr'!AB24+'STU SERVICES 4yr'!AB24+'INST SUPPORT 4yr'!AB24</f>
        <v>378520.69</v>
      </c>
      <c r="AC24" s="49">
        <f>+'ACADEMIC SUPP 4yr'!AC24+'STU SERVICES 4yr'!AC24+'INST SUPPORT 4yr'!AC24</f>
        <v>387927.31</v>
      </c>
      <c r="AD24" s="49">
        <f>+'ACADEMIC SUPP 4yr'!AD24+'STU SERVICES 4yr'!AD24+'INST SUPPORT 4yr'!AD24</f>
        <v>0</v>
      </c>
      <c r="AE24" s="49">
        <f>+'ACADEMIC SUPP 4yr'!AE24+'STU SERVICES 4yr'!AE24+'INST SUPPORT 4yr'!AE24</f>
        <v>396257.84</v>
      </c>
    </row>
    <row r="25" spans="1:31">
      <c r="A25" s="7" t="s">
        <v>42</v>
      </c>
      <c r="B25" s="47">
        <f>+'ACADEMIC SUPP 4yr'!B25+'STU SERVICES 4yr'!B25+'INST SUPPORT 4yr'!B25</f>
        <v>0</v>
      </c>
      <c r="C25" s="47">
        <f>+'ACADEMIC SUPP 4yr'!C25+'STU SERVICES 4yr'!C25+'INST SUPPORT 4yr'!C25</f>
        <v>0</v>
      </c>
      <c r="D25" s="47">
        <f>+'ACADEMIC SUPP 4yr'!D25+'STU SERVICES 4yr'!D25+'INST SUPPORT 4yr'!D25</f>
        <v>0</v>
      </c>
      <c r="E25" s="47">
        <f>+'ACADEMIC SUPP 4yr'!E25+'STU SERVICES 4yr'!E25+'INST SUPPORT 4yr'!E25</f>
        <v>0</v>
      </c>
      <c r="F25" s="47">
        <f>+'ACADEMIC SUPP 4yr'!F25+'STU SERVICES 4yr'!F25+'INST SUPPORT 4yr'!F25</f>
        <v>3433351.2309999997</v>
      </c>
      <c r="G25" s="47">
        <f>+'ACADEMIC SUPP 4yr'!G25+'STU SERVICES 4yr'!G25+'INST SUPPORT 4yr'!G25</f>
        <v>0</v>
      </c>
      <c r="H25" s="47">
        <f>+'ACADEMIC SUPP 4yr'!H25+'STU SERVICES 4yr'!H25+'INST SUPPORT 4yr'!H25</f>
        <v>0</v>
      </c>
      <c r="I25" s="47">
        <f>+'ACADEMIC SUPP 4yr'!I25+'STU SERVICES 4yr'!I25+'INST SUPPORT 4yr'!I25</f>
        <v>3979450.8369999994</v>
      </c>
      <c r="J25" s="47">
        <f>+'ACADEMIC SUPP 4yr'!J25+'STU SERVICES 4yr'!J25+'INST SUPPORT 4yr'!J25</f>
        <v>0</v>
      </c>
      <c r="K25" s="47">
        <f>+'ACADEMIC SUPP 4yr'!K25+'STU SERVICES 4yr'!K25+'INST SUPPORT 4yr'!K25</f>
        <v>4798753.7239999995</v>
      </c>
      <c r="L25" s="47">
        <f>+'ACADEMIC SUPP 4yr'!L25+'STU SERVICES 4yr'!L25+'INST SUPPORT 4yr'!L25</f>
        <v>5509974.8229999989</v>
      </c>
      <c r="M25" s="47">
        <f>+'ACADEMIC SUPP 4yr'!M25+'STU SERVICES 4yr'!M25+'INST SUPPORT 4yr'!M25</f>
        <v>5910719.0789999999</v>
      </c>
      <c r="N25" s="47">
        <f>+'ACADEMIC SUPP 4yr'!N25+'STU SERVICES 4yr'!N25+'INST SUPPORT 4yr'!N25</f>
        <v>5828009.7280000001</v>
      </c>
      <c r="O25" s="47">
        <f>+'ACADEMIC SUPP 4yr'!O25+'STU SERVICES 4yr'!O25+'INST SUPPORT 4yr'!O25</f>
        <v>5996812.7259999998</v>
      </c>
      <c r="P25" s="47">
        <f>+'ACADEMIC SUPP 4yr'!P25+'STU SERVICES 4yr'!P25+'INST SUPPORT 4yr'!P25</f>
        <v>6171924.8829999994</v>
      </c>
      <c r="Q25" s="47">
        <f>+'ACADEMIC SUPP 4yr'!Q25+'STU SERVICES 4yr'!Q25+'INST SUPPORT 4yr'!Q25</f>
        <v>6442172.8169999998</v>
      </c>
      <c r="R25" s="47">
        <f>+'ACADEMIC SUPP 4yr'!R25+'STU SERVICES 4yr'!R25+'INST SUPPORT 4yr'!R25</f>
        <v>6838420.9809999997</v>
      </c>
      <c r="S25" s="47">
        <f>+'ACADEMIC SUPP 4yr'!S25+'STU SERVICES 4yr'!S25+'INST SUPPORT 4yr'!S25</f>
        <v>7465942.7769999988</v>
      </c>
      <c r="T25" s="47">
        <f>+'ACADEMIC SUPP 4yr'!T25+'STU SERVICES 4yr'!T25+'INST SUPPORT 4yr'!T25</f>
        <v>8716084.074000001</v>
      </c>
      <c r="U25" s="47">
        <f>+'ACADEMIC SUPP 4yr'!U25+'STU SERVICES 4yr'!U25+'INST SUPPORT 4yr'!U25</f>
        <v>8203403.8319999995</v>
      </c>
      <c r="V25" s="47">
        <f>+'ACADEMIC SUPP 4yr'!V25+'STU SERVICES 4yr'!V25+'INST SUPPORT 4yr'!V25</f>
        <v>9583845.6070000008</v>
      </c>
      <c r="W25" s="47">
        <f>+'ACADEMIC SUPP 4yr'!W25+'STU SERVICES 4yr'!W25+'INST SUPPORT 4yr'!W25</f>
        <v>10226858.290000001</v>
      </c>
      <c r="X25" s="47">
        <f>+'ACADEMIC SUPP 4yr'!X25+'STU SERVICES 4yr'!X25+'INST SUPPORT 4yr'!X25</f>
        <v>11132250.914000001</v>
      </c>
      <c r="Y25" s="47">
        <f>+'ACADEMIC SUPP 4yr'!Y25+'STU SERVICES 4yr'!Y25+'INST SUPPORT 4yr'!Y25</f>
        <v>11803052.436999997</v>
      </c>
      <c r="Z25" s="47">
        <f>+'ACADEMIC SUPP 4yr'!Z25+'STU SERVICES 4yr'!Z25+'INST SUPPORT 4yr'!Z25</f>
        <v>12672069.944999998</v>
      </c>
      <c r="AA25" s="47">
        <f>+'ACADEMIC SUPP 4yr'!AA25+'STU SERVICES 4yr'!AA25+'INST SUPPORT 4yr'!AA25</f>
        <v>13492906.645</v>
      </c>
      <c r="AB25" s="47">
        <f>+'ACADEMIC SUPP 4yr'!AB25+'STU SERVICES 4yr'!AB25+'INST SUPPORT 4yr'!AB25</f>
        <v>15004597.623999998</v>
      </c>
      <c r="AC25" s="47">
        <f>+'ACADEMIC SUPP 4yr'!AC25+'STU SERVICES 4yr'!AC25+'INST SUPPORT 4yr'!AC25</f>
        <v>15303167.342999998</v>
      </c>
      <c r="AD25" s="47">
        <f>+'ACADEMIC SUPP 4yr'!AD25+'STU SERVICES 4yr'!AD25+'INST SUPPORT 4yr'!AD25</f>
        <v>0</v>
      </c>
      <c r="AE25" s="47">
        <f>+'ACADEMIC SUPP 4yr'!AE25+'STU SERVICES 4yr'!AE25+'INST SUPPORT 4yr'!AE25</f>
        <v>16643551.595999997</v>
      </c>
    </row>
    <row r="26" spans="1:31">
      <c r="A26" s="7" t="s">
        <v>97</v>
      </c>
      <c r="B26" s="47">
        <f>+'ACADEMIC SUPP 4yr'!B26+'STU SERVICES 4yr'!B26+'INST SUPPORT 4yr'!B26</f>
        <v>0</v>
      </c>
      <c r="C26" s="47">
        <f>+'ACADEMIC SUPP 4yr'!C26+'STU SERVICES 4yr'!C26+'INST SUPPORT 4yr'!C26</f>
        <v>0</v>
      </c>
      <c r="D26" s="47">
        <f>+'ACADEMIC SUPP 4yr'!D26+'STU SERVICES 4yr'!D26+'INST SUPPORT 4yr'!D26</f>
        <v>0</v>
      </c>
      <c r="E26" s="47">
        <f>+'ACADEMIC SUPP 4yr'!E26+'STU SERVICES 4yr'!E26+'INST SUPPORT 4yr'!E26</f>
        <v>0</v>
      </c>
      <c r="F26" s="47">
        <f>+'ACADEMIC SUPP 4yr'!F26+'STU SERVICES 4yr'!F26+'INST SUPPORT 4yr'!F26</f>
        <v>0</v>
      </c>
      <c r="G26" s="47">
        <f>+'ACADEMIC SUPP 4yr'!G26+'STU SERVICES 4yr'!G26+'INST SUPPORT 4yr'!G26</f>
        <v>0</v>
      </c>
      <c r="H26" s="47">
        <f>+'ACADEMIC SUPP 4yr'!H26+'STU SERVICES 4yr'!H26+'INST SUPPORT 4yr'!H26</f>
        <v>0</v>
      </c>
      <c r="I26" s="47">
        <f>+'ACADEMIC SUPP 4yr'!I26+'STU SERVICES 4yr'!I26+'INST SUPPORT 4yr'!I26</f>
        <v>0</v>
      </c>
      <c r="J26" s="47">
        <f>+'ACADEMIC SUPP 4yr'!J26+'STU SERVICES 4yr'!J26+'INST SUPPORT 4yr'!J26</f>
        <v>0</v>
      </c>
      <c r="K26" s="47">
        <f>+'ACADEMIC SUPP 4yr'!K26+'STU SERVICES 4yr'!K26+'INST SUPPORT 4yr'!K26</f>
        <v>0</v>
      </c>
      <c r="L26" s="47">
        <f>+'ACADEMIC SUPP 4yr'!L26+'STU SERVICES 4yr'!L26+'INST SUPPORT 4yr'!L26</f>
        <v>0</v>
      </c>
      <c r="M26" s="47">
        <f>+'ACADEMIC SUPP 4yr'!M26+'STU SERVICES 4yr'!M26+'INST SUPPORT 4yr'!M26</f>
        <v>0</v>
      </c>
      <c r="N26" s="47">
        <f>+'ACADEMIC SUPP 4yr'!N26+'STU SERVICES 4yr'!N26+'INST SUPPORT 4yr'!N26</f>
        <v>0</v>
      </c>
      <c r="O26" s="47">
        <f>+'ACADEMIC SUPP 4yr'!O26+'STU SERVICES 4yr'!O26+'INST SUPPORT 4yr'!O26</f>
        <v>0</v>
      </c>
      <c r="P26" s="47">
        <f>+'ACADEMIC SUPP 4yr'!P26+'STU SERVICES 4yr'!P26+'INST SUPPORT 4yr'!P26</f>
        <v>0</v>
      </c>
      <c r="Q26" s="47">
        <f>+'ACADEMIC SUPP 4yr'!Q26+'STU SERVICES 4yr'!Q26+'INST SUPPORT 4yr'!Q26</f>
        <v>0</v>
      </c>
      <c r="R26" s="47">
        <f>+'ACADEMIC SUPP 4yr'!R26+'STU SERVICES 4yr'!R26+'INST SUPPORT 4yr'!R26</f>
        <v>0</v>
      </c>
      <c r="S26" s="47">
        <f>+'ACADEMIC SUPP 4yr'!S26+'STU SERVICES 4yr'!S26+'INST SUPPORT 4yr'!S26</f>
        <v>0</v>
      </c>
      <c r="T26" s="47">
        <f>+'ACADEMIC SUPP 4yr'!T26+'STU SERVICES 4yr'!T26+'INST SUPPORT 4yr'!T26</f>
        <v>0</v>
      </c>
      <c r="U26" s="47">
        <f>+'ACADEMIC SUPP 4yr'!U26+'STU SERVICES 4yr'!U26+'INST SUPPORT 4yr'!U26</f>
        <v>0</v>
      </c>
      <c r="V26" s="47">
        <f>+'ACADEMIC SUPP 4yr'!V26+'STU SERVICES 4yr'!V26+'INST SUPPORT 4yr'!V26</f>
        <v>0</v>
      </c>
      <c r="W26" s="47">
        <f>+'ACADEMIC SUPP 4yr'!W26+'STU SERVICES 4yr'!W26+'INST SUPPORT 4yr'!W26</f>
        <v>0</v>
      </c>
      <c r="X26" s="47">
        <f>+'ACADEMIC SUPP 4yr'!X26+'STU SERVICES 4yr'!X26+'INST SUPPORT 4yr'!X26</f>
        <v>0</v>
      </c>
      <c r="Y26" s="47"/>
      <c r="Z26" s="47"/>
      <c r="AA26" s="47"/>
      <c r="AB26" s="47"/>
      <c r="AC26" s="47"/>
      <c r="AD26" s="47"/>
      <c r="AE26" s="47"/>
    </row>
    <row r="27" spans="1:31">
      <c r="A27" s="1" t="s">
        <v>43</v>
      </c>
      <c r="B27" s="47">
        <f>+'ACADEMIC SUPP 4yr'!B27+'STU SERVICES 4yr'!B27+'INST SUPPORT 4yr'!B27</f>
        <v>0</v>
      </c>
      <c r="C27" s="47">
        <f>+'ACADEMIC SUPP 4yr'!C27+'STU SERVICES 4yr'!C27+'INST SUPPORT 4yr'!C27</f>
        <v>0</v>
      </c>
      <c r="D27" s="47">
        <f>+'ACADEMIC SUPP 4yr'!D27+'STU SERVICES 4yr'!D27+'INST SUPPORT 4yr'!D27</f>
        <v>0</v>
      </c>
      <c r="E27" s="47">
        <f>+'ACADEMIC SUPP 4yr'!E27+'STU SERVICES 4yr'!E27+'INST SUPPORT 4yr'!E27</f>
        <v>0</v>
      </c>
      <c r="F27" s="47">
        <f>+'ACADEMIC SUPP 4yr'!F27+'STU SERVICES 4yr'!F27+'INST SUPPORT 4yr'!F27</f>
        <v>61818.926999999996</v>
      </c>
      <c r="G27" s="47">
        <f>+'ACADEMIC SUPP 4yr'!G27+'STU SERVICES 4yr'!G27+'INST SUPPORT 4yr'!G27</f>
        <v>0</v>
      </c>
      <c r="H27" s="47">
        <f>+'ACADEMIC SUPP 4yr'!H27+'STU SERVICES 4yr'!H27+'INST SUPPORT 4yr'!H27</f>
        <v>0</v>
      </c>
      <c r="I27" s="47">
        <f>+'ACADEMIC SUPP 4yr'!I27+'STU SERVICES 4yr'!I27+'INST SUPPORT 4yr'!I27</f>
        <v>73245.406000000003</v>
      </c>
      <c r="J27" s="47">
        <f>+'ACADEMIC SUPP 4yr'!J27+'STU SERVICES 4yr'!J27+'INST SUPPORT 4yr'!J27</f>
        <v>0</v>
      </c>
      <c r="K27" s="47">
        <f>+'ACADEMIC SUPP 4yr'!K27+'STU SERVICES 4yr'!K27+'INST SUPPORT 4yr'!K27</f>
        <v>95379.818999999989</v>
      </c>
      <c r="L27" s="47">
        <f>+'ACADEMIC SUPP 4yr'!L27+'STU SERVICES 4yr'!L27+'INST SUPPORT 4yr'!L27</f>
        <v>77461.706000000006</v>
      </c>
      <c r="M27" s="47">
        <f>+'ACADEMIC SUPP 4yr'!M27+'STU SERVICES 4yr'!M27+'INST SUPPORT 4yr'!M27</f>
        <v>83898.042000000001</v>
      </c>
      <c r="N27" s="47">
        <f>+'ACADEMIC SUPP 4yr'!N27+'STU SERVICES 4yr'!N27+'INST SUPPORT 4yr'!N27</f>
        <v>89671.206999999995</v>
      </c>
      <c r="O27" s="47">
        <f>+'ACADEMIC SUPP 4yr'!O27+'STU SERVICES 4yr'!O27+'INST SUPPORT 4yr'!O27</f>
        <v>94972.918000000005</v>
      </c>
      <c r="P27" s="47">
        <f>+'ACADEMIC SUPP 4yr'!P27+'STU SERVICES 4yr'!P27+'INST SUPPORT 4yr'!P27</f>
        <v>101456.246</v>
      </c>
      <c r="Q27" s="47">
        <f>+'ACADEMIC SUPP 4yr'!Q27+'STU SERVICES 4yr'!Q27+'INST SUPPORT 4yr'!Q27</f>
        <v>111289.038</v>
      </c>
      <c r="R27" s="47">
        <f>+'ACADEMIC SUPP 4yr'!R27+'STU SERVICES 4yr'!R27+'INST SUPPORT 4yr'!R27</f>
        <v>120691.10399999999</v>
      </c>
      <c r="S27" s="47">
        <f>+'ACADEMIC SUPP 4yr'!S27+'STU SERVICES 4yr'!S27+'INST SUPPORT 4yr'!S27</f>
        <v>135643.326</v>
      </c>
      <c r="T27" s="47">
        <f>+'ACADEMIC SUPP 4yr'!T27+'STU SERVICES 4yr'!T27+'INST SUPPORT 4yr'!T27</f>
        <v>143636.48200000002</v>
      </c>
      <c r="U27" s="47">
        <f>+'ACADEMIC SUPP 4yr'!U27+'STU SERVICES 4yr'!U27+'INST SUPPORT 4yr'!U27</f>
        <v>186907.69699999999</v>
      </c>
      <c r="V27" s="47">
        <f>+'ACADEMIC SUPP 4yr'!V27+'STU SERVICES 4yr'!V27+'INST SUPPORT 4yr'!V27</f>
        <v>190965.63800000001</v>
      </c>
      <c r="W27" s="47">
        <f>+'ACADEMIC SUPP 4yr'!W27+'STU SERVICES 4yr'!W27+'INST SUPPORT 4yr'!W27</f>
        <v>196279.02000000002</v>
      </c>
      <c r="X27" s="47">
        <f>+'ACADEMIC SUPP 4yr'!X27+'STU SERVICES 4yr'!X27+'INST SUPPORT 4yr'!X27</f>
        <v>208127.29300000001</v>
      </c>
      <c r="Y27" s="47">
        <f>+'ACADEMIC SUPP 4yr'!Y27+'STU SERVICES 4yr'!Y27+'INST SUPPORT 4yr'!Y27</f>
        <v>214525.81300000002</v>
      </c>
      <c r="Z27" s="47">
        <f>+'ACADEMIC SUPP 4yr'!Z27+'STU SERVICES 4yr'!Z27+'INST SUPPORT 4yr'!Z27</f>
        <v>222297.929</v>
      </c>
      <c r="AA27" s="47">
        <f>+'ACADEMIC SUPP 4yr'!AA27+'STU SERVICES 4yr'!AA27+'INST SUPPORT 4yr'!AA27</f>
        <v>222453.18799999999</v>
      </c>
      <c r="AB27" s="47">
        <f>+'ACADEMIC SUPP 4yr'!AB27+'STU SERVICES 4yr'!AB27+'INST SUPPORT 4yr'!AB27</f>
        <v>229186.93400000001</v>
      </c>
      <c r="AC27" s="47">
        <f>+'ACADEMIC SUPP 4yr'!AC27+'STU SERVICES 4yr'!AC27+'INST SUPPORT 4yr'!AC27</f>
        <v>219059.76300000001</v>
      </c>
      <c r="AD27" s="47">
        <f>+'ACADEMIC SUPP 4yr'!AD27+'STU SERVICES 4yr'!AD27+'INST SUPPORT 4yr'!AD27</f>
        <v>0</v>
      </c>
      <c r="AE27" s="47">
        <f>+'ACADEMIC SUPP 4yr'!AE27+'STU SERVICES 4yr'!AE27+'INST SUPPORT 4yr'!AE27</f>
        <v>217840.42599999998</v>
      </c>
    </row>
    <row r="28" spans="1:31">
      <c r="A28" s="1" t="s">
        <v>44</v>
      </c>
      <c r="B28" s="47">
        <f>+'ACADEMIC SUPP 4yr'!B28+'STU SERVICES 4yr'!B28+'INST SUPPORT 4yr'!B28</f>
        <v>0</v>
      </c>
      <c r="C28" s="47">
        <f>+'ACADEMIC SUPP 4yr'!C28+'STU SERVICES 4yr'!C28+'INST SUPPORT 4yr'!C28</f>
        <v>0</v>
      </c>
      <c r="D28" s="47">
        <f>+'ACADEMIC SUPP 4yr'!D28+'STU SERVICES 4yr'!D28+'INST SUPPORT 4yr'!D28</f>
        <v>0</v>
      </c>
      <c r="E28" s="47">
        <f>+'ACADEMIC SUPP 4yr'!E28+'STU SERVICES 4yr'!E28+'INST SUPPORT 4yr'!E28</f>
        <v>0</v>
      </c>
      <c r="F28" s="47">
        <f>+'ACADEMIC SUPP 4yr'!F28+'STU SERVICES 4yr'!F28+'INST SUPPORT 4yr'!F28</f>
        <v>255143.18400000001</v>
      </c>
      <c r="G28" s="47">
        <f>+'ACADEMIC SUPP 4yr'!G28+'STU SERVICES 4yr'!G28+'INST SUPPORT 4yr'!G28</f>
        <v>0</v>
      </c>
      <c r="H28" s="47">
        <f>+'ACADEMIC SUPP 4yr'!H28+'STU SERVICES 4yr'!H28+'INST SUPPORT 4yr'!H28</f>
        <v>0</v>
      </c>
      <c r="I28" s="47">
        <f>+'ACADEMIC SUPP 4yr'!I28+'STU SERVICES 4yr'!I28+'INST SUPPORT 4yr'!I28</f>
        <v>285647.77799999999</v>
      </c>
      <c r="J28" s="47">
        <f>+'ACADEMIC SUPP 4yr'!J28+'STU SERVICES 4yr'!J28+'INST SUPPORT 4yr'!J28</f>
        <v>0</v>
      </c>
      <c r="K28" s="47">
        <f>+'ACADEMIC SUPP 4yr'!K28+'STU SERVICES 4yr'!K28+'INST SUPPORT 4yr'!K28</f>
        <v>325883.73800000001</v>
      </c>
      <c r="L28" s="47">
        <f>+'ACADEMIC SUPP 4yr'!L28+'STU SERVICES 4yr'!L28+'INST SUPPORT 4yr'!L28</f>
        <v>382430.20000000007</v>
      </c>
      <c r="M28" s="47">
        <f>+'ACADEMIC SUPP 4yr'!M28+'STU SERVICES 4yr'!M28+'INST SUPPORT 4yr'!M28</f>
        <v>412144.74</v>
      </c>
      <c r="N28" s="47">
        <f>+'ACADEMIC SUPP 4yr'!N28+'STU SERVICES 4yr'!N28+'INST SUPPORT 4yr'!N28</f>
        <v>386553.14199999999</v>
      </c>
      <c r="O28" s="47">
        <f>+'ACADEMIC SUPP 4yr'!O28+'STU SERVICES 4yr'!O28+'INST SUPPORT 4yr'!O28</f>
        <v>394271.53399999999</v>
      </c>
      <c r="P28" s="47">
        <f>+'ACADEMIC SUPP 4yr'!P28+'STU SERVICES 4yr'!P28+'INST SUPPORT 4yr'!P28</f>
        <v>435082.95300000004</v>
      </c>
      <c r="Q28" s="47">
        <f>+'ACADEMIC SUPP 4yr'!Q28+'STU SERVICES 4yr'!Q28+'INST SUPPORT 4yr'!Q28</f>
        <v>487679.42000000004</v>
      </c>
      <c r="R28" s="47">
        <f>+'ACADEMIC SUPP 4yr'!R28+'STU SERVICES 4yr'!R28+'INST SUPPORT 4yr'!R28</f>
        <v>553397.03200000001</v>
      </c>
      <c r="S28" s="47">
        <f>+'ACADEMIC SUPP 4yr'!S28+'STU SERVICES 4yr'!S28+'INST SUPPORT 4yr'!S28</f>
        <v>596388.51800000004</v>
      </c>
      <c r="T28" s="47">
        <f>+'ACADEMIC SUPP 4yr'!T28+'STU SERVICES 4yr'!T28+'INST SUPPORT 4yr'!T28</f>
        <v>661771.07299999997</v>
      </c>
      <c r="U28" s="47">
        <f>+'ACADEMIC SUPP 4yr'!U28+'STU SERVICES 4yr'!U28+'INST SUPPORT 4yr'!U28</f>
        <v>659872.29700000002</v>
      </c>
      <c r="V28" s="47">
        <f>+'ACADEMIC SUPP 4yr'!V28+'STU SERVICES 4yr'!V28+'INST SUPPORT 4yr'!V28</f>
        <v>768937.65800000005</v>
      </c>
      <c r="W28" s="47">
        <f>+'ACADEMIC SUPP 4yr'!W28+'STU SERVICES 4yr'!W28+'INST SUPPORT 4yr'!W28</f>
        <v>839301.84199999995</v>
      </c>
      <c r="X28" s="47">
        <f>+'ACADEMIC SUPP 4yr'!X28+'STU SERVICES 4yr'!X28+'INST SUPPORT 4yr'!X28</f>
        <v>904394.85800000001</v>
      </c>
      <c r="Y28" s="47">
        <f>+'ACADEMIC SUPP 4yr'!Y28+'STU SERVICES 4yr'!Y28+'INST SUPPORT 4yr'!Y28</f>
        <v>971120.8060000001</v>
      </c>
      <c r="Z28" s="47">
        <f>+'ACADEMIC SUPP 4yr'!Z28+'STU SERVICES 4yr'!Z28+'INST SUPPORT 4yr'!Z28</f>
        <v>1085812.389</v>
      </c>
      <c r="AA28" s="47">
        <f>+'ACADEMIC SUPP 4yr'!AA28+'STU SERVICES 4yr'!AA28+'INST SUPPORT 4yr'!AA28</f>
        <v>1241064.959</v>
      </c>
      <c r="AB28" s="47">
        <f>+'ACADEMIC SUPP 4yr'!AB28+'STU SERVICES 4yr'!AB28+'INST SUPPORT 4yr'!AB28</f>
        <v>1284026.6880000001</v>
      </c>
      <c r="AC28" s="47">
        <f>+'ACADEMIC SUPP 4yr'!AC28+'STU SERVICES 4yr'!AC28+'INST SUPPORT 4yr'!AC28</f>
        <v>1324753.9449999998</v>
      </c>
      <c r="AD28" s="47">
        <f>+'ACADEMIC SUPP 4yr'!AD28+'STU SERVICES 4yr'!AD28+'INST SUPPORT 4yr'!AD28</f>
        <v>0</v>
      </c>
      <c r="AE28" s="47">
        <f>+'ACADEMIC SUPP 4yr'!AE28+'STU SERVICES 4yr'!AE28+'INST SUPPORT 4yr'!AE28</f>
        <v>1528015.2279999999</v>
      </c>
    </row>
    <row r="29" spans="1:31">
      <c r="A29" s="1" t="s">
        <v>45</v>
      </c>
      <c r="B29" s="47">
        <f>+'ACADEMIC SUPP 4yr'!B29+'STU SERVICES 4yr'!B29+'INST SUPPORT 4yr'!B29</f>
        <v>0</v>
      </c>
      <c r="C29" s="47">
        <f>+'ACADEMIC SUPP 4yr'!C29+'STU SERVICES 4yr'!C29+'INST SUPPORT 4yr'!C29</f>
        <v>0</v>
      </c>
      <c r="D29" s="47">
        <f>+'ACADEMIC SUPP 4yr'!D29+'STU SERVICES 4yr'!D29+'INST SUPPORT 4yr'!D29</f>
        <v>0</v>
      </c>
      <c r="E29" s="47">
        <f>+'ACADEMIC SUPP 4yr'!E29+'STU SERVICES 4yr'!E29+'INST SUPPORT 4yr'!E29</f>
        <v>0</v>
      </c>
      <c r="F29" s="47">
        <f>+'ACADEMIC SUPP 4yr'!F29+'STU SERVICES 4yr'!F29+'INST SUPPORT 4yr'!F29</f>
        <v>1853741.4350000001</v>
      </c>
      <c r="G29" s="47">
        <f>+'ACADEMIC SUPP 4yr'!G29+'STU SERVICES 4yr'!G29+'INST SUPPORT 4yr'!G29</f>
        <v>0</v>
      </c>
      <c r="H29" s="47">
        <f>+'ACADEMIC SUPP 4yr'!H29+'STU SERVICES 4yr'!H29+'INST SUPPORT 4yr'!H29</f>
        <v>0</v>
      </c>
      <c r="I29" s="47">
        <f>+'ACADEMIC SUPP 4yr'!I29+'STU SERVICES 4yr'!I29+'INST SUPPORT 4yr'!I29</f>
        <v>2132199.7379999999</v>
      </c>
      <c r="J29" s="47">
        <f>+'ACADEMIC SUPP 4yr'!J29+'STU SERVICES 4yr'!J29+'INST SUPPORT 4yr'!J29</f>
        <v>0</v>
      </c>
      <c r="K29" s="47">
        <f>+'ACADEMIC SUPP 4yr'!K29+'STU SERVICES 4yr'!K29+'INST SUPPORT 4yr'!K29</f>
        <v>2602552.7379999999</v>
      </c>
      <c r="L29" s="47">
        <f>+'ACADEMIC SUPP 4yr'!L29+'STU SERVICES 4yr'!L29+'INST SUPPORT 4yr'!L29</f>
        <v>3071184.8</v>
      </c>
      <c r="M29" s="47">
        <f>+'ACADEMIC SUPP 4yr'!M29+'STU SERVICES 4yr'!M29+'INST SUPPORT 4yr'!M29</f>
        <v>3288758.9439999997</v>
      </c>
      <c r="N29" s="47">
        <f>+'ACADEMIC SUPP 4yr'!N29+'STU SERVICES 4yr'!N29+'INST SUPPORT 4yr'!N29</f>
        <v>3133165.8049999997</v>
      </c>
      <c r="O29" s="47">
        <f>+'ACADEMIC SUPP 4yr'!O29+'STU SERVICES 4yr'!O29+'INST SUPPORT 4yr'!O29</f>
        <v>3301377.1260000002</v>
      </c>
      <c r="P29" s="47">
        <f>+'ACADEMIC SUPP 4yr'!P29+'STU SERVICES 4yr'!P29+'INST SUPPORT 4yr'!P29</f>
        <v>3346474.0530000003</v>
      </c>
      <c r="Q29" s="47">
        <f>+'ACADEMIC SUPP 4yr'!Q29+'STU SERVICES 4yr'!Q29+'INST SUPPORT 4yr'!Q29</f>
        <v>3231187.4570000004</v>
      </c>
      <c r="R29" s="47">
        <f>+'ACADEMIC SUPP 4yr'!R29+'STU SERVICES 4yr'!R29+'INST SUPPORT 4yr'!R29</f>
        <v>3519522.2179999999</v>
      </c>
      <c r="S29" s="47">
        <f>+'ACADEMIC SUPP 4yr'!S29+'STU SERVICES 4yr'!S29+'INST SUPPORT 4yr'!S29</f>
        <v>3823951.9970000004</v>
      </c>
      <c r="T29" s="47">
        <f>+'ACADEMIC SUPP 4yr'!T29+'STU SERVICES 4yr'!T29+'INST SUPPORT 4yr'!T29</f>
        <v>4565751.6579999998</v>
      </c>
      <c r="U29" s="47">
        <f>+'ACADEMIC SUPP 4yr'!U29+'STU SERVICES 4yr'!U29+'INST SUPPORT 4yr'!U29</f>
        <v>4288960.4800000004</v>
      </c>
      <c r="V29" s="47">
        <f>+'ACADEMIC SUPP 4yr'!V29+'STU SERVICES 4yr'!V29+'INST SUPPORT 4yr'!V29</f>
        <v>4923909.7690000003</v>
      </c>
      <c r="W29" s="47">
        <f>+'ACADEMIC SUPP 4yr'!W29+'STU SERVICES 4yr'!W29+'INST SUPPORT 4yr'!W29</f>
        <v>5372171.608</v>
      </c>
      <c r="X29" s="47">
        <f>+'ACADEMIC SUPP 4yr'!X29+'STU SERVICES 4yr'!X29+'INST SUPPORT 4yr'!X29</f>
        <v>5942457.6799999997</v>
      </c>
      <c r="Y29" s="47">
        <f>+'ACADEMIC SUPP 4yr'!Y29+'STU SERVICES 4yr'!Y29+'INST SUPPORT 4yr'!Y29</f>
        <v>6281947.3159999996</v>
      </c>
      <c r="Z29" s="47">
        <f>+'ACADEMIC SUPP 4yr'!Z29+'STU SERVICES 4yr'!Z29+'INST SUPPORT 4yr'!Z29</f>
        <v>6708510.2309999997</v>
      </c>
      <c r="AA29" s="47">
        <f>+'ACADEMIC SUPP 4yr'!AA29+'STU SERVICES 4yr'!AA29+'INST SUPPORT 4yr'!AA29</f>
        <v>7109889.2939999998</v>
      </c>
      <c r="AB29" s="47">
        <f>+'ACADEMIC SUPP 4yr'!AB29+'STU SERVICES 4yr'!AB29+'INST SUPPORT 4yr'!AB29</f>
        <v>8037383.0460000001</v>
      </c>
      <c r="AC29" s="47">
        <f>+'ACADEMIC SUPP 4yr'!AC29+'STU SERVICES 4yr'!AC29+'INST SUPPORT 4yr'!AC29</f>
        <v>8079832.1429999992</v>
      </c>
      <c r="AD29" s="47">
        <f>+'ACADEMIC SUPP 4yr'!AD29+'STU SERVICES 4yr'!AD29+'INST SUPPORT 4yr'!AD29</f>
        <v>0</v>
      </c>
      <c r="AE29" s="47">
        <f>+'ACADEMIC SUPP 4yr'!AE29+'STU SERVICES 4yr'!AE29+'INST SUPPORT 4yr'!AE29</f>
        <v>8622328.2219999991</v>
      </c>
    </row>
    <row r="30" spans="1:31">
      <c r="A30" s="1" t="s">
        <v>46</v>
      </c>
      <c r="B30" s="47">
        <f>+'ACADEMIC SUPP 4yr'!B30+'STU SERVICES 4yr'!B30+'INST SUPPORT 4yr'!B30</f>
        <v>0</v>
      </c>
      <c r="C30" s="47">
        <f>+'ACADEMIC SUPP 4yr'!C30+'STU SERVICES 4yr'!C30+'INST SUPPORT 4yr'!C30</f>
        <v>0</v>
      </c>
      <c r="D30" s="47">
        <f>+'ACADEMIC SUPP 4yr'!D30+'STU SERVICES 4yr'!D30+'INST SUPPORT 4yr'!D30</f>
        <v>0</v>
      </c>
      <c r="E30" s="47">
        <f>+'ACADEMIC SUPP 4yr'!E30+'STU SERVICES 4yr'!E30+'INST SUPPORT 4yr'!E30</f>
        <v>0</v>
      </c>
      <c r="F30" s="47">
        <f>+'ACADEMIC SUPP 4yr'!F30+'STU SERVICES 4yr'!F30+'INST SUPPORT 4yr'!F30</f>
        <v>276139.261</v>
      </c>
      <c r="G30" s="47">
        <f>+'ACADEMIC SUPP 4yr'!G30+'STU SERVICES 4yr'!G30+'INST SUPPORT 4yr'!G30</f>
        <v>0</v>
      </c>
      <c r="H30" s="47">
        <f>+'ACADEMIC SUPP 4yr'!H30+'STU SERVICES 4yr'!H30+'INST SUPPORT 4yr'!H30</f>
        <v>0</v>
      </c>
      <c r="I30" s="47">
        <f>+'ACADEMIC SUPP 4yr'!I30+'STU SERVICES 4yr'!I30+'INST SUPPORT 4yr'!I30</f>
        <v>315896.97899999999</v>
      </c>
      <c r="J30" s="47">
        <f>+'ACADEMIC SUPP 4yr'!J30+'STU SERVICES 4yr'!J30+'INST SUPPORT 4yr'!J30</f>
        <v>0</v>
      </c>
      <c r="K30" s="47">
        <f>+'ACADEMIC SUPP 4yr'!K30+'STU SERVICES 4yr'!K30+'INST SUPPORT 4yr'!K30</f>
        <v>358612.79858</v>
      </c>
      <c r="L30" s="47">
        <f>+'ACADEMIC SUPP 4yr'!L30+'STU SERVICES 4yr'!L30+'INST SUPPORT 4yr'!L30</f>
        <v>385047.25200000004</v>
      </c>
      <c r="M30" s="47">
        <f>+'ACADEMIC SUPP 4yr'!M30+'STU SERVICES 4yr'!M30+'INST SUPPORT 4yr'!M30</f>
        <v>412261.95800000004</v>
      </c>
      <c r="N30" s="47">
        <f>+'ACADEMIC SUPP 4yr'!N30+'STU SERVICES 4yr'!N30+'INST SUPPORT 4yr'!N30</f>
        <v>404645.76400000002</v>
      </c>
      <c r="O30" s="47">
        <f>+'ACADEMIC SUPP 4yr'!O30+'STU SERVICES 4yr'!O30+'INST SUPPORT 4yr'!O30</f>
        <v>400154.45900000003</v>
      </c>
      <c r="P30" s="47">
        <f>+'ACADEMIC SUPP 4yr'!P30+'STU SERVICES 4yr'!P30+'INST SUPPORT 4yr'!P30</f>
        <v>349025.03799999994</v>
      </c>
      <c r="Q30" s="47">
        <f>+'ACADEMIC SUPP 4yr'!Q30+'STU SERVICES 4yr'!Q30+'INST SUPPORT 4yr'!Q30</f>
        <v>540236.31499999994</v>
      </c>
      <c r="R30" s="47">
        <f>+'ACADEMIC SUPP 4yr'!R30+'STU SERVICES 4yr'!R30+'INST SUPPORT 4yr'!R30</f>
        <v>440105.65800000005</v>
      </c>
      <c r="S30" s="47">
        <f>+'ACADEMIC SUPP 4yr'!S30+'STU SERVICES 4yr'!S30+'INST SUPPORT 4yr'!S30</f>
        <v>455271.34699999995</v>
      </c>
      <c r="T30" s="47">
        <f>+'ACADEMIC SUPP 4yr'!T30+'STU SERVICES 4yr'!T30+'INST SUPPORT 4yr'!T30</f>
        <v>499290.92599999998</v>
      </c>
      <c r="U30" s="47">
        <f>+'ACADEMIC SUPP 4yr'!U30+'STU SERVICES 4yr'!U30+'INST SUPPORT 4yr'!U30</f>
        <v>515626.9</v>
      </c>
      <c r="V30" s="47">
        <f>+'ACADEMIC SUPP 4yr'!V30+'STU SERVICES 4yr'!V30+'INST SUPPORT 4yr'!V30</f>
        <v>610742.23300000001</v>
      </c>
      <c r="W30" s="47">
        <f>+'ACADEMIC SUPP 4yr'!W30+'STU SERVICES 4yr'!W30+'INST SUPPORT 4yr'!W30</f>
        <v>638409.9040000001</v>
      </c>
      <c r="X30" s="47">
        <f>+'ACADEMIC SUPP 4yr'!X30+'STU SERVICES 4yr'!X30+'INST SUPPORT 4yr'!X30</f>
        <v>728861.65299999993</v>
      </c>
      <c r="Y30" s="47">
        <f>+'ACADEMIC SUPP 4yr'!Y30+'STU SERVICES 4yr'!Y30+'INST SUPPORT 4yr'!Y30</f>
        <v>776388.70900000003</v>
      </c>
      <c r="Z30" s="47">
        <f>+'ACADEMIC SUPP 4yr'!Z30+'STU SERVICES 4yr'!Z30+'INST SUPPORT 4yr'!Z30</f>
        <v>862285.92700000003</v>
      </c>
      <c r="AA30" s="47">
        <f>+'ACADEMIC SUPP 4yr'!AA30+'STU SERVICES 4yr'!AA30+'INST SUPPORT 4yr'!AA30</f>
        <v>962051.08100000001</v>
      </c>
      <c r="AB30" s="47">
        <f>+'ACADEMIC SUPP 4yr'!AB30+'STU SERVICES 4yr'!AB30+'INST SUPPORT 4yr'!AB30</f>
        <v>1031207.9069999999</v>
      </c>
      <c r="AC30" s="47">
        <f>+'ACADEMIC SUPP 4yr'!AC30+'STU SERVICES 4yr'!AC30+'INST SUPPORT 4yr'!AC30</f>
        <v>1143936.1809999999</v>
      </c>
      <c r="AD30" s="47">
        <f>+'ACADEMIC SUPP 4yr'!AD30+'STU SERVICES 4yr'!AD30+'INST SUPPORT 4yr'!AD30</f>
        <v>0</v>
      </c>
      <c r="AE30" s="47">
        <f>+'ACADEMIC SUPP 4yr'!AE30+'STU SERVICES 4yr'!AE30+'INST SUPPORT 4yr'!AE30</f>
        <v>1294032.024</v>
      </c>
    </row>
    <row r="31" spans="1:31">
      <c r="A31" s="1" t="s">
        <v>47</v>
      </c>
      <c r="B31" s="47">
        <f>+'ACADEMIC SUPP 4yr'!B31+'STU SERVICES 4yr'!B31+'INST SUPPORT 4yr'!B31</f>
        <v>0</v>
      </c>
      <c r="C31" s="47">
        <f>+'ACADEMIC SUPP 4yr'!C31+'STU SERVICES 4yr'!C31+'INST SUPPORT 4yr'!C31</f>
        <v>0</v>
      </c>
      <c r="D31" s="47">
        <f>+'ACADEMIC SUPP 4yr'!D31+'STU SERVICES 4yr'!D31+'INST SUPPORT 4yr'!D31</f>
        <v>0</v>
      </c>
      <c r="E31" s="47">
        <f>+'ACADEMIC SUPP 4yr'!E31+'STU SERVICES 4yr'!E31+'INST SUPPORT 4yr'!E31</f>
        <v>0</v>
      </c>
      <c r="F31" s="47">
        <f>+'ACADEMIC SUPP 4yr'!F31+'STU SERVICES 4yr'!F31+'INST SUPPORT 4yr'!F31</f>
        <v>64665.823000000004</v>
      </c>
      <c r="G31" s="47">
        <f>+'ACADEMIC SUPP 4yr'!G31+'STU SERVICES 4yr'!G31+'INST SUPPORT 4yr'!G31</f>
        <v>0</v>
      </c>
      <c r="H31" s="47">
        <f>+'ACADEMIC SUPP 4yr'!H31+'STU SERVICES 4yr'!H31+'INST SUPPORT 4yr'!H31</f>
        <v>0</v>
      </c>
      <c r="I31" s="47">
        <f>+'ACADEMIC SUPP 4yr'!I31+'STU SERVICES 4yr'!I31+'INST SUPPORT 4yr'!I31</f>
        <v>70474.486999999994</v>
      </c>
      <c r="J31" s="47">
        <f>+'ACADEMIC SUPP 4yr'!J31+'STU SERVICES 4yr'!J31+'INST SUPPORT 4yr'!J31</f>
        <v>0</v>
      </c>
      <c r="K31" s="47">
        <f>+'ACADEMIC SUPP 4yr'!K31+'STU SERVICES 4yr'!K31+'INST SUPPORT 4yr'!K31</f>
        <v>111155.486</v>
      </c>
      <c r="L31" s="47">
        <f>+'ACADEMIC SUPP 4yr'!L31+'STU SERVICES 4yr'!L31+'INST SUPPORT 4yr'!L31</f>
        <v>73268.054000000004</v>
      </c>
      <c r="M31" s="47">
        <f>+'ACADEMIC SUPP 4yr'!M31+'STU SERVICES 4yr'!M31+'INST SUPPORT 4yr'!M31</f>
        <v>78950.823000000004</v>
      </c>
      <c r="N31" s="47">
        <f>+'ACADEMIC SUPP 4yr'!N31+'STU SERVICES 4yr'!N31+'INST SUPPORT 4yr'!N31</f>
        <v>77250.642999999996</v>
      </c>
      <c r="O31" s="47">
        <f>+'ACADEMIC SUPP 4yr'!O31+'STU SERVICES 4yr'!O31+'INST SUPPORT 4yr'!O31</f>
        <v>89629.448000000004</v>
      </c>
      <c r="P31" s="47">
        <f>+'ACADEMIC SUPP 4yr'!P31+'STU SERVICES 4yr'!P31+'INST SUPPORT 4yr'!P31</f>
        <v>96808.055999999997</v>
      </c>
      <c r="Q31" s="47">
        <f>+'ACADEMIC SUPP 4yr'!Q31+'STU SERVICES 4yr'!Q31+'INST SUPPORT 4yr'!Q31</f>
        <v>103652.22899999999</v>
      </c>
      <c r="R31" s="47">
        <f>+'ACADEMIC SUPP 4yr'!R31+'STU SERVICES 4yr'!R31+'INST SUPPORT 4yr'!R31</f>
        <v>115197.01400000001</v>
      </c>
      <c r="S31" s="47">
        <f>+'ACADEMIC SUPP 4yr'!S31+'STU SERVICES 4yr'!S31+'INST SUPPORT 4yr'!S31</f>
        <v>119822.06099999999</v>
      </c>
      <c r="T31" s="47">
        <f>+'ACADEMIC SUPP 4yr'!T31+'STU SERVICES 4yr'!T31+'INST SUPPORT 4yr'!T31</f>
        <v>140026.318</v>
      </c>
      <c r="U31" s="47">
        <f>+'ACADEMIC SUPP 4yr'!U31+'STU SERVICES 4yr'!U31+'INST SUPPORT 4yr'!U31</f>
        <v>151576.43600000002</v>
      </c>
      <c r="V31" s="47">
        <f>+'ACADEMIC SUPP 4yr'!V31+'STU SERVICES 4yr'!V31+'INST SUPPORT 4yr'!V31</f>
        <v>153157.42300000001</v>
      </c>
      <c r="W31" s="47">
        <f>+'ACADEMIC SUPP 4yr'!W31+'STU SERVICES 4yr'!W31+'INST SUPPORT 4yr'!W31</f>
        <v>178787.609</v>
      </c>
      <c r="X31" s="47">
        <f>+'ACADEMIC SUPP 4yr'!X31+'STU SERVICES 4yr'!X31+'INST SUPPORT 4yr'!X31</f>
        <v>192024.09599999999</v>
      </c>
      <c r="Y31" s="47">
        <f>+'ACADEMIC SUPP 4yr'!Y31+'STU SERVICES 4yr'!Y31+'INST SUPPORT 4yr'!Y31</f>
        <v>216757.467</v>
      </c>
      <c r="Z31" s="47">
        <f>+'ACADEMIC SUPP 4yr'!Z31+'STU SERVICES 4yr'!Z31+'INST SUPPORT 4yr'!Z31</f>
        <v>214253.76300000004</v>
      </c>
      <c r="AA31" s="47">
        <f>+'ACADEMIC SUPP 4yr'!AA31+'STU SERVICES 4yr'!AA31+'INST SUPPORT 4yr'!AA31</f>
        <v>176949.12299999999</v>
      </c>
      <c r="AB31" s="47">
        <f>+'ACADEMIC SUPP 4yr'!AB31+'STU SERVICES 4yr'!AB31+'INST SUPPORT 4yr'!AB31</f>
        <v>202867.76300000001</v>
      </c>
      <c r="AC31" s="47">
        <f>+'ACADEMIC SUPP 4yr'!AC31+'STU SERVICES 4yr'!AC31+'INST SUPPORT 4yr'!AC31</f>
        <v>206067.08500000002</v>
      </c>
      <c r="AD31" s="47">
        <f>+'ACADEMIC SUPP 4yr'!AD31+'STU SERVICES 4yr'!AD31+'INST SUPPORT 4yr'!AD31</f>
        <v>0</v>
      </c>
      <c r="AE31" s="47">
        <f>+'ACADEMIC SUPP 4yr'!AE31+'STU SERVICES 4yr'!AE31+'INST SUPPORT 4yr'!AE31</f>
        <v>218108.25699999998</v>
      </c>
    </row>
    <row r="32" spans="1:31">
      <c r="A32" s="1" t="s">
        <v>48</v>
      </c>
      <c r="B32" s="47">
        <f>+'ACADEMIC SUPP 4yr'!B32+'STU SERVICES 4yr'!B32+'INST SUPPORT 4yr'!B32</f>
        <v>0</v>
      </c>
      <c r="C32" s="47">
        <f>+'ACADEMIC SUPP 4yr'!C32+'STU SERVICES 4yr'!C32+'INST SUPPORT 4yr'!C32</f>
        <v>0</v>
      </c>
      <c r="D32" s="47">
        <f>+'ACADEMIC SUPP 4yr'!D32+'STU SERVICES 4yr'!D32+'INST SUPPORT 4yr'!D32</f>
        <v>0</v>
      </c>
      <c r="E32" s="47">
        <f>+'ACADEMIC SUPP 4yr'!E32+'STU SERVICES 4yr'!E32+'INST SUPPORT 4yr'!E32</f>
        <v>0</v>
      </c>
      <c r="F32" s="47">
        <f>+'ACADEMIC SUPP 4yr'!F32+'STU SERVICES 4yr'!F32+'INST SUPPORT 4yr'!F32</f>
        <v>64500.582999999999</v>
      </c>
      <c r="G32" s="47">
        <f>+'ACADEMIC SUPP 4yr'!G32+'STU SERVICES 4yr'!G32+'INST SUPPORT 4yr'!G32</f>
        <v>0</v>
      </c>
      <c r="H32" s="47">
        <f>+'ACADEMIC SUPP 4yr'!H32+'STU SERVICES 4yr'!H32+'INST SUPPORT 4yr'!H32</f>
        <v>0</v>
      </c>
      <c r="I32" s="47">
        <f>+'ACADEMIC SUPP 4yr'!I32+'STU SERVICES 4yr'!I32+'INST SUPPORT 4yr'!I32</f>
        <v>78937.925000000003</v>
      </c>
      <c r="J32" s="47">
        <f>+'ACADEMIC SUPP 4yr'!J32+'STU SERVICES 4yr'!J32+'INST SUPPORT 4yr'!J32</f>
        <v>0</v>
      </c>
      <c r="K32" s="47">
        <f>+'ACADEMIC SUPP 4yr'!K32+'STU SERVICES 4yr'!K32+'INST SUPPORT 4yr'!K32</f>
        <v>87402.838999999993</v>
      </c>
      <c r="L32" s="47">
        <f>+'ACADEMIC SUPP 4yr'!L32+'STU SERVICES 4yr'!L32+'INST SUPPORT 4yr'!L32</f>
        <v>110830.317</v>
      </c>
      <c r="M32" s="47">
        <f>+'ACADEMIC SUPP 4yr'!M32+'STU SERVICES 4yr'!M32+'INST SUPPORT 4yr'!M32</f>
        <v>118472.372</v>
      </c>
      <c r="N32" s="47">
        <f>+'ACADEMIC SUPP 4yr'!N32+'STU SERVICES 4yr'!N32+'INST SUPPORT 4yr'!N32</f>
        <v>125525.33</v>
      </c>
      <c r="O32" s="47">
        <f>+'ACADEMIC SUPP 4yr'!O32+'STU SERVICES 4yr'!O32+'INST SUPPORT 4yr'!O32</f>
        <v>126455.38699999999</v>
      </c>
      <c r="P32" s="47">
        <f>+'ACADEMIC SUPP 4yr'!P32+'STU SERVICES 4yr'!P32+'INST SUPPORT 4yr'!P32</f>
        <v>115370.54499999998</v>
      </c>
      <c r="Q32" s="47">
        <f>+'ACADEMIC SUPP 4yr'!Q32+'STU SERVICES 4yr'!Q32+'INST SUPPORT 4yr'!Q32</f>
        <v>119780.13399999999</v>
      </c>
      <c r="R32" s="47">
        <f>+'ACADEMIC SUPP 4yr'!R32+'STU SERVICES 4yr'!R32+'INST SUPPORT 4yr'!R32</f>
        <v>122806.357</v>
      </c>
      <c r="S32" s="47">
        <f>+'ACADEMIC SUPP 4yr'!S32+'STU SERVICES 4yr'!S32+'INST SUPPORT 4yr'!S32</f>
        <v>133488.88800000001</v>
      </c>
      <c r="T32" s="47">
        <f>+'ACADEMIC SUPP 4yr'!T32+'STU SERVICES 4yr'!T32+'INST SUPPORT 4yr'!T32</f>
        <v>157015.24099999998</v>
      </c>
      <c r="U32" s="47">
        <f>+'ACADEMIC SUPP 4yr'!U32+'STU SERVICES 4yr'!U32+'INST SUPPORT 4yr'!U32</f>
        <v>163275.22700000001</v>
      </c>
      <c r="V32" s="47">
        <f>+'ACADEMIC SUPP 4yr'!V32+'STU SERVICES 4yr'!V32+'INST SUPPORT 4yr'!V32</f>
        <v>184301.163</v>
      </c>
      <c r="W32" s="47">
        <f>+'ACADEMIC SUPP 4yr'!W32+'STU SERVICES 4yr'!W32+'INST SUPPORT 4yr'!W32</f>
        <v>183811.89300000001</v>
      </c>
      <c r="X32" s="47">
        <f>+'ACADEMIC SUPP 4yr'!X32+'STU SERVICES 4yr'!X32+'INST SUPPORT 4yr'!X32</f>
        <v>192424.198</v>
      </c>
      <c r="Y32" s="47">
        <f>+'ACADEMIC SUPP 4yr'!Y32+'STU SERVICES 4yr'!Y32+'INST SUPPORT 4yr'!Y32</f>
        <v>203382.09100000001</v>
      </c>
      <c r="Z32" s="47">
        <f>+'ACADEMIC SUPP 4yr'!Z32+'STU SERVICES 4yr'!Z32+'INST SUPPORT 4yr'!Z32</f>
        <v>217168.34599999999</v>
      </c>
      <c r="AA32" s="47">
        <f>+'ACADEMIC SUPP 4yr'!AA32+'STU SERVICES 4yr'!AA32+'INST SUPPORT 4yr'!AA32</f>
        <v>228801.446</v>
      </c>
      <c r="AB32" s="47">
        <f>+'ACADEMIC SUPP 4yr'!AB32+'STU SERVICES 4yr'!AB32+'INST SUPPORT 4yr'!AB32</f>
        <v>243911.76199999999</v>
      </c>
      <c r="AC32" s="47">
        <f>+'ACADEMIC SUPP 4yr'!AC32+'STU SERVICES 4yr'!AC32+'INST SUPPORT 4yr'!AC32</f>
        <v>254773.606</v>
      </c>
      <c r="AD32" s="47">
        <f>+'ACADEMIC SUPP 4yr'!AD32+'STU SERVICES 4yr'!AD32+'INST SUPPORT 4yr'!AD32</f>
        <v>0</v>
      </c>
      <c r="AE32" s="47">
        <f>+'ACADEMIC SUPP 4yr'!AE32+'STU SERVICES 4yr'!AE32+'INST SUPPORT 4yr'!AE32</f>
        <v>286121.97100000002</v>
      </c>
    </row>
    <row r="33" spans="1:31">
      <c r="A33" s="1" t="s">
        <v>49</v>
      </c>
      <c r="B33" s="47">
        <f>+'ACADEMIC SUPP 4yr'!B33+'STU SERVICES 4yr'!B33+'INST SUPPORT 4yr'!B33</f>
        <v>0</v>
      </c>
      <c r="C33" s="47">
        <f>+'ACADEMIC SUPP 4yr'!C33+'STU SERVICES 4yr'!C33+'INST SUPPORT 4yr'!C33</f>
        <v>0</v>
      </c>
      <c r="D33" s="47">
        <f>+'ACADEMIC SUPP 4yr'!D33+'STU SERVICES 4yr'!D33+'INST SUPPORT 4yr'!D33</f>
        <v>0</v>
      </c>
      <c r="E33" s="47">
        <f>+'ACADEMIC SUPP 4yr'!E33+'STU SERVICES 4yr'!E33+'INST SUPPORT 4yr'!E33</f>
        <v>0</v>
      </c>
      <c r="F33" s="47">
        <f>+'ACADEMIC SUPP 4yr'!F33+'STU SERVICES 4yr'!F33+'INST SUPPORT 4yr'!F33</f>
        <v>61652.557000000001</v>
      </c>
      <c r="G33" s="47">
        <f>+'ACADEMIC SUPP 4yr'!G33+'STU SERVICES 4yr'!G33+'INST SUPPORT 4yr'!G33</f>
        <v>0</v>
      </c>
      <c r="H33" s="47">
        <f>+'ACADEMIC SUPP 4yr'!H33+'STU SERVICES 4yr'!H33+'INST SUPPORT 4yr'!H33</f>
        <v>0</v>
      </c>
      <c r="I33" s="47">
        <f>+'ACADEMIC SUPP 4yr'!I33+'STU SERVICES 4yr'!I33+'INST SUPPORT 4yr'!I33</f>
        <v>73964.004000000001</v>
      </c>
      <c r="J33" s="47">
        <f>+'ACADEMIC SUPP 4yr'!J33+'STU SERVICES 4yr'!J33+'INST SUPPORT 4yr'!J33</f>
        <v>0</v>
      </c>
      <c r="K33" s="47">
        <f>+'ACADEMIC SUPP 4yr'!K33+'STU SERVICES 4yr'!K33+'INST SUPPORT 4yr'!K33</f>
        <v>103182.64599999999</v>
      </c>
      <c r="L33" s="47">
        <f>+'ACADEMIC SUPP 4yr'!L33+'STU SERVICES 4yr'!L33+'INST SUPPORT 4yr'!L33</f>
        <v>93420.754000000001</v>
      </c>
      <c r="M33" s="47">
        <f>+'ACADEMIC SUPP 4yr'!M33+'STU SERVICES 4yr'!M33+'INST SUPPORT 4yr'!M33</f>
        <v>99879.952999999994</v>
      </c>
      <c r="N33" s="47">
        <f>+'ACADEMIC SUPP 4yr'!N33+'STU SERVICES 4yr'!N33+'INST SUPPORT 4yr'!N33</f>
        <v>96007.481</v>
      </c>
      <c r="O33" s="47">
        <f>+'ACADEMIC SUPP 4yr'!O33+'STU SERVICES 4yr'!O33+'INST SUPPORT 4yr'!O33</f>
        <v>107900.76300000001</v>
      </c>
      <c r="P33" s="47">
        <f>+'ACADEMIC SUPP 4yr'!P33+'STU SERVICES 4yr'!P33+'INST SUPPORT 4yr'!P33</f>
        <v>110581.66099999999</v>
      </c>
      <c r="Q33" s="47">
        <f>+'ACADEMIC SUPP 4yr'!Q33+'STU SERVICES 4yr'!Q33+'INST SUPPORT 4yr'!Q33</f>
        <v>116328.33499999999</v>
      </c>
      <c r="R33" s="47">
        <f>+'ACADEMIC SUPP 4yr'!R33+'STU SERVICES 4yr'!R33+'INST SUPPORT 4yr'!R33</f>
        <v>125608.64799999999</v>
      </c>
      <c r="S33" s="47">
        <f>+'ACADEMIC SUPP 4yr'!S33+'STU SERVICES 4yr'!S33+'INST SUPPORT 4yr'!S33</f>
        <v>136969.13500000001</v>
      </c>
      <c r="T33" s="47">
        <f>+'ACADEMIC SUPP 4yr'!T33+'STU SERVICES 4yr'!T33+'INST SUPPORT 4yr'!T33</f>
        <v>151919.53</v>
      </c>
      <c r="U33" s="47">
        <f>+'ACADEMIC SUPP 4yr'!U33+'STU SERVICES 4yr'!U33+'INST SUPPORT 4yr'!U33</f>
        <v>177362.61700000003</v>
      </c>
      <c r="V33" s="47">
        <f>+'ACADEMIC SUPP 4yr'!V33+'STU SERVICES 4yr'!V33+'INST SUPPORT 4yr'!V33</f>
        <v>192753.01300000001</v>
      </c>
      <c r="W33" s="47">
        <f>+'ACADEMIC SUPP 4yr'!W33+'STU SERVICES 4yr'!W33+'INST SUPPORT 4yr'!W33</f>
        <v>201462.61900000001</v>
      </c>
      <c r="X33" s="47">
        <f>+'ACADEMIC SUPP 4yr'!X33+'STU SERVICES 4yr'!X33+'INST SUPPORT 4yr'!X33</f>
        <v>209518.21900000001</v>
      </c>
      <c r="Y33" s="47">
        <f>+'ACADEMIC SUPP 4yr'!Y33+'STU SERVICES 4yr'!Y33+'INST SUPPORT 4yr'!Y33</f>
        <v>216283.30999999997</v>
      </c>
      <c r="Z33" s="47">
        <f>+'ACADEMIC SUPP 4yr'!Z33+'STU SERVICES 4yr'!Z33+'INST SUPPORT 4yr'!Z33</f>
        <v>221999.12699999998</v>
      </c>
      <c r="AA33" s="47">
        <f>+'ACADEMIC SUPP 4yr'!AA33+'STU SERVICES 4yr'!AA33+'INST SUPPORT 4yr'!AA33</f>
        <v>230157.03900000002</v>
      </c>
      <c r="AB33" s="47">
        <f>+'ACADEMIC SUPP 4yr'!AB33+'STU SERVICES 4yr'!AB33+'INST SUPPORT 4yr'!AB33</f>
        <v>227639.62599999999</v>
      </c>
      <c r="AC33" s="47">
        <f>+'ACADEMIC SUPP 4yr'!AC33+'STU SERVICES 4yr'!AC33+'INST SUPPORT 4yr'!AC33</f>
        <v>236979.014</v>
      </c>
      <c r="AD33" s="47">
        <f>+'ACADEMIC SUPP 4yr'!AD33+'STU SERVICES 4yr'!AD33+'INST SUPPORT 4yr'!AD33</f>
        <v>0</v>
      </c>
      <c r="AE33" s="47">
        <f>+'ACADEMIC SUPP 4yr'!AE33+'STU SERVICES 4yr'!AE33+'INST SUPPORT 4yr'!AE33</f>
        <v>238377.565</v>
      </c>
    </row>
    <row r="34" spans="1:31">
      <c r="A34" s="1" t="s">
        <v>50</v>
      </c>
      <c r="B34" s="47">
        <f>+'ACADEMIC SUPP 4yr'!B34+'STU SERVICES 4yr'!B34+'INST SUPPORT 4yr'!B34</f>
        <v>0</v>
      </c>
      <c r="C34" s="47">
        <f>+'ACADEMIC SUPP 4yr'!C34+'STU SERVICES 4yr'!C34+'INST SUPPORT 4yr'!C34</f>
        <v>0</v>
      </c>
      <c r="D34" s="47">
        <f>+'ACADEMIC SUPP 4yr'!D34+'STU SERVICES 4yr'!D34+'INST SUPPORT 4yr'!D34</f>
        <v>0</v>
      </c>
      <c r="E34" s="47">
        <f>+'ACADEMIC SUPP 4yr'!E34+'STU SERVICES 4yr'!E34+'INST SUPPORT 4yr'!E34</f>
        <v>0</v>
      </c>
      <c r="F34" s="47">
        <f>+'ACADEMIC SUPP 4yr'!F34+'STU SERVICES 4yr'!F34+'INST SUPPORT 4yr'!F34</f>
        <v>74779.527999999991</v>
      </c>
      <c r="G34" s="47">
        <f>+'ACADEMIC SUPP 4yr'!G34+'STU SERVICES 4yr'!G34+'INST SUPPORT 4yr'!G34</f>
        <v>0</v>
      </c>
      <c r="H34" s="47">
        <f>+'ACADEMIC SUPP 4yr'!H34+'STU SERVICES 4yr'!H34+'INST SUPPORT 4yr'!H34</f>
        <v>0</v>
      </c>
      <c r="I34" s="47">
        <f>+'ACADEMIC SUPP 4yr'!I34+'STU SERVICES 4yr'!I34+'INST SUPPORT 4yr'!I34</f>
        <v>82054.028999999995</v>
      </c>
      <c r="J34" s="47">
        <f>+'ACADEMIC SUPP 4yr'!J34+'STU SERVICES 4yr'!J34+'INST SUPPORT 4yr'!J34</f>
        <v>0</v>
      </c>
      <c r="K34" s="47">
        <f>+'ACADEMIC SUPP 4yr'!K34+'STU SERVICES 4yr'!K34+'INST SUPPORT 4yr'!K34</f>
        <v>106382.70299999999</v>
      </c>
      <c r="L34" s="47">
        <f>+'ACADEMIC SUPP 4yr'!L34+'STU SERVICES 4yr'!L34+'INST SUPPORT 4yr'!L34</f>
        <v>115330.247</v>
      </c>
      <c r="M34" s="47">
        <f>+'ACADEMIC SUPP 4yr'!M34+'STU SERVICES 4yr'!M34+'INST SUPPORT 4yr'!M34</f>
        <v>123173.467</v>
      </c>
      <c r="N34" s="47">
        <f>+'ACADEMIC SUPP 4yr'!N34+'STU SERVICES 4yr'!N34+'INST SUPPORT 4yr'!N34</f>
        <v>128503.17299999998</v>
      </c>
      <c r="O34" s="47">
        <f>+'ACADEMIC SUPP 4yr'!O34+'STU SERVICES 4yr'!O34+'INST SUPPORT 4yr'!O34</f>
        <v>145006.53</v>
      </c>
      <c r="P34" s="47">
        <f>+'ACADEMIC SUPP 4yr'!P34+'STU SERVICES 4yr'!P34+'INST SUPPORT 4yr'!P34</f>
        <v>197820.745</v>
      </c>
      <c r="Q34" s="47">
        <f>+'ACADEMIC SUPP 4yr'!Q34+'STU SERVICES 4yr'!Q34+'INST SUPPORT 4yr'!Q34</f>
        <v>216662.44900000002</v>
      </c>
      <c r="R34" s="47">
        <f>+'ACADEMIC SUPP 4yr'!R34+'STU SERVICES 4yr'!R34+'INST SUPPORT 4yr'!R34</f>
        <v>243668.16700000002</v>
      </c>
      <c r="S34" s="47">
        <f>+'ACADEMIC SUPP 4yr'!S34+'STU SERVICES 4yr'!S34+'INST SUPPORT 4yr'!S34</f>
        <v>279750.62599999999</v>
      </c>
      <c r="T34" s="47">
        <f>+'ACADEMIC SUPP 4yr'!T34+'STU SERVICES 4yr'!T34+'INST SUPPORT 4yr'!T34</f>
        <v>302572.06400000001</v>
      </c>
      <c r="U34" s="47">
        <f>+'ACADEMIC SUPP 4yr'!U34+'STU SERVICES 4yr'!U34+'INST SUPPORT 4yr'!U34</f>
        <v>229282.606</v>
      </c>
      <c r="V34" s="47">
        <f>+'ACADEMIC SUPP 4yr'!V34+'STU SERVICES 4yr'!V34+'INST SUPPORT 4yr'!V34</f>
        <v>258404.685</v>
      </c>
      <c r="W34" s="47">
        <f>+'ACADEMIC SUPP 4yr'!W34+'STU SERVICES 4yr'!W34+'INST SUPPORT 4yr'!W34</f>
        <v>258715.50099999999</v>
      </c>
      <c r="X34" s="47">
        <f>+'ACADEMIC SUPP 4yr'!X34+'STU SERVICES 4yr'!X34+'INST SUPPORT 4yr'!X34</f>
        <v>263069.93599999999</v>
      </c>
      <c r="Y34" s="47">
        <f>+'ACADEMIC SUPP 4yr'!Y34+'STU SERVICES 4yr'!Y34+'INST SUPPORT 4yr'!Y34</f>
        <v>282712.45900000003</v>
      </c>
      <c r="Z34" s="47">
        <f>+'ACADEMIC SUPP 4yr'!Z34+'STU SERVICES 4yr'!Z34+'INST SUPPORT 4yr'!Z34</f>
        <v>320022.565</v>
      </c>
      <c r="AA34" s="47">
        <f>+'ACADEMIC SUPP 4yr'!AA34+'STU SERVICES 4yr'!AA34+'INST SUPPORT 4yr'!AA34</f>
        <v>352197.18699999998</v>
      </c>
      <c r="AB34" s="47">
        <f>+'ACADEMIC SUPP 4yr'!AB34+'STU SERVICES 4yr'!AB34+'INST SUPPORT 4yr'!AB34</f>
        <v>374739.28400000004</v>
      </c>
      <c r="AC34" s="47">
        <f>+'ACADEMIC SUPP 4yr'!AC34+'STU SERVICES 4yr'!AC34+'INST SUPPORT 4yr'!AC34</f>
        <v>399698.86100000003</v>
      </c>
      <c r="AD34" s="47">
        <f>+'ACADEMIC SUPP 4yr'!AD34+'STU SERVICES 4yr'!AD34+'INST SUPPORT 4yr'!AD34</f>
        <v>0</v>
      </c>
      <c r="AE34" s="47">
        <f>+'ACADEMIC SUPP 4yr'!AE34+'STU SERVICES 4yr'!AE34+'INST SUPPORT 4yr'!AE34</f>
        <v>471579.74299999996</v>
      </c>
    </row>
    <row r="35" spans="1:31">
      <c r="A35" s="1" t="s">
        <v>51</v>
      </c>
      <c r="B35" s="47">
        <f>+'ACADEMIC SUPP 4yr'!B35+'STU SERVICES 4yr'!B35+'INST SUPPORT 4yr'!B35</f>
        <v>0</v>
      </c>
      <c r="C35" s="47">
        <f>+'ACADEMIC SUPP 4yr'!C35+'STU SERVICES 4yr'!C35+'INST SUPPORT 4yr'!C35</f>
        <v>0</v>
      </c>
      <c r="D35" s="47">
        <f>+'ACADEMIC SUPP 4yr'!D35+'STU SERVICES 4yr'!D35+'INST SUPPORT 4yr'!D35</f>
        <v>0</v>
      </c>
      <c r="E35" s="47">
        <f>+'ACADEMIC SUPP 4yr'!E35+'STU SERVICES 4yr'!E35+'INST SUPPORT 4yr'!E35</f>
        <v>0</v>
      </c>
      <c r="F35" s="47">
        <f>+'ACADEMIC SUPP 4yr'!F35+'STU SERVICES 4yr'!F35+'INST SUPPORT 4yr'!F35</f>
        <v>96687.097000000009</v>
      </c>
      <c r="G35" s="47">
        <f>+'ACADEMIC SUPP 4yr'!G35+'STU SERVICES 4yr'!G35+'INST SUPPORT 4yr'!G35</f>
        <v>0</v>
      </c>
      <c r="H35" s="47">
        <f>+'ACADEMIC SUPP 4yr'!H35+'STU SERVICES 4yr'!H35+'INST SUPPORT 4yr'!H35</f>
        <v>0</v>
      </c>
      <c r="I35" s="47">
        <f>+'ACADEMIC SUPP 4yr'!I35+'STU SERVICES 4yr'!I35+'INST SUPPORT 4yr'!I35</f>
        <v>117533.54</v>
      </c>
      <c r="J35" s="47">
        <f>+'ACADEMIC SUPP 4yr'!J35+'STU SERVICES 4yr'!J35+'INST SUPPORT 4yr'!J35</f>
        <v>0</v>
      </c>
      <c r="K35" s="47">
        <f>+'ACADEMIC SUPP 4yr'!K35+'STU SERVICES 4yr'!K35+'INST SUPPORT 4yr'!K35</f>
        <v>135571.56742000001</v>
      </c>
      <c r="L35" s="47">
        <f>+'ACADEMIC SUPP 4yr'!L35+'STU SERVICES 4yr'!L35+'INST SUPPORT 4yr'!L35</f>
        <v>133557.098</v>
      </c>
      <c r="M35" s="47">
        <f>+'ACADEMIC SUPP 4yr'!M35+'STU SERVICES 4yr'!M35+'INST SUPPORT 4yr'!M35</f>
        <v>147390.34600000002</v>
      </c>
      <c r="N35" s="47">
        <f>+'ACADEMIC SUPP 4yr'!N35+'STU SERVICES 4yr'!N35+'INST SUPPORT 4yr'!N35</f>
        <v>142509.77100000001</v>
      </c>
      <c r="O35" s="47">
        <f>+'ACADEMIC SUPP 4yr'!O35+'STU SERVICES 4yr'!O35+'INST SUPPORT 4yr'!O35</f>
        <v>152257.49099999998</v>
      </c>
      <c r="P35" s="47">
        <f>+'ACADEMIC SUPP 4yr'!P35+'STU SERVICES 4yr'!P35+'INST SUPPORT 4yr'!P35</f>
        <v>157035.69500000001</v>
      </c>
      <c r="Q35" s="47">
        <f>+'ACADEMIC SUPP 4yr'!Q35+'STU SERVICES 4yr'!Q35+'INST SUPPORT 4yr'!Q35</f>
        <v>181628.08600000001</v>
      </c>
      <c r="R35" s="47">
        <f>+'ACADEMIC SUPP 4yr'!R35+'STU SERVICES 4yr'!R35+'INST SUPPORT 4yr'!R35</f>
        <v>191669.41200000001</v>
      </c>
      <c r="S35" s="47">
        <f>+'ACADEMIC SUPP 4yr'!S35+'STU SERVICES 4yr'!S35+'INST SUPPORT 4yr'!S35</f>
        <v>205704.72700000001</v>
      </c>
      <c r="T35" s="47">
        <f>+'ACADEMIC SUPP 4yr'!T35+'STU SERVICES 4yr'!T35+'INST SUPPORT 4yr'!T35</f>
        <v>221419.307</v>
      </c>
      <c r="U35" s="47">
        <f>+'ACADEMIC SUPP 4yr'!U35+'STU SERVICES 4yr'!U35+'INST SUPPORT 4yr'!U35</f>
        <v>225115.60800000001</v>
      </c>
      <c r="V35" s="47">
        <f>+'ACADEMIC SUPP 4yr'!V35+'STU SERVICES 4yr'!V35+'INST SUPPORT 4yr'!V35</f>
        <v>250210.049</v>
      </c>
      <c r="W35" s="47">
        <f>+'ACADEMIC SUPP 4yr'!W35+'STU SERVICES 4yr'!W35+'INST SUPPORT 4yr'!W35</f>
        <v>250927.26</v>
      </c>
      <c r="X35" s="47">
        <f>+'ACADEMIC SUPP 4yr'!X35+'STU SERVICES 4yr'!X35+'INST SUPPORT 4yr'!X35</f>
        <v>262897.27499999997</v>
      </c>
      <c r="Y35" s="47">
        <f>+'ACADEMIC SUPP 4yr'!Y35+'STU SERVICES 4yr'!Y35+'INST SUPPORT 4yr'!Y35</f>
        <v>261651.12899999999</v>
      </c>
      <c r="Z35" s="47">
        <f>+'ACADEMIC SUPP 4yr'!Z35+'STU SERVICES 4yr'!Z35+'INST SUPPORT 4yr'!Z35</f>
        <v>271404.935</v>
      </c>
      <c r="AA35" s="47">
        <f>+'ACADEMIC SUPP 4yr'!AA35+'STU SERVICES 4yr'!AA35+'INST SUPPORT 4yr'!AA35</f>
        <v>287758.11</v>
      </c>
      <c r="AB35" s="47">
        <f>+'ACADEMIC SUPP 4yr'!AB35+'STU SERVICES 4yr'!AB35+'INST SUPPORT 4yr'!AB35</f>
        <v>293664.17499999999</v>
      </c>
      <c r="AC35" s="47">
        <f>+'ACADEMIC SUPP 4yr'!AC35+'STU SERVICES 4yr'!AC35+'INST SUPPORT 4yr'!AC35</f>
        <v>288797.26099999994</v>
      </c>
      <c r="AD35" s="47">
        <f>+'ACADEMIC SUPP 4yr'!AD35+'STU SERVICES 4yr'!AD35+'INST SUPPORT 4yr'!AD35</f>
        <v>0</v>
      </c>
      <c r="AE35" s="47">
        <f>+'ACADEMIC SUPP 4yr'!AE35+'STU SERVICES 4yr'!AE35+'INST SUPPORT 4yr'!AE35</f>
        <v>283970.98</v>
      </c>
    </row>
    <row r="36" spans="1:31">
      <c r="A36" s="1" t="s">
        <v>52</v>
      </c>
      <c r="B36" s="47">
        <f>+'ACADEMIC SUPP 4yr'!B36+'STU SERVICES 4yr'!B36+'INST SUPPORT 4yr'!B36</f>
        <v>0</v>
      </c>
      <c r="C36" s="47">
        <f>+'ACADEMIC SUPP 4yr'!C36+'STU SERVICES 4yr'!C36+'INST SUPPORT 4yr'!C36</f>
        <v>0</v>
      </c>
      <c r="D36" s="47">
        <f>+'ACADEMIC SUPP 4yr'!D36+'STU SERVICES 4yr'!D36+'INST SUPPORT 4yr'!D36</f>
        <v>0</v>
      </c>
      <c r="E36" s="47">
        <f>+'ACADEMIC SUPP 4yr'!E36+'STU SERVICES 4yr'!E36+'INST SUPPORT 4yr'!E36</f>
        <v>0</v>
      </c>
      <c r="F36" s="47">
        <f>+'ACADEMIC SUPP 4yr'!F36+'STU SERVICES 4yr'!F36+'INST SUPPORT 4yr'!F36</f>
        <v>162432.26300000001</v>
      </c>
      <c r="G36" s="47">
        <f>+'ACADEMIC SUPP 4yr'!G36+'STU SERVICES 4yr'!G36+'INST SUPPORT 4yr'!G36</f>
        <v>0</v>
      </c>
      <c r="H36" s="47">
        <f>+'ACADEMIC SUPP 4yr'!H36+'STU SERVICES 4yr'!H36+'INST SUPPORT 4yr'!H36</f>
        <v>0</v>
      </c>
      <c r="I36" s="47">
        <f>+'ACADEMIC SUPP 4yr'!I36+'STU SERVICES 4yr'!I36+'INST SUPPORT 4yr'!I36</f>
        <v>182958.62699999998</v>
      </c>
      <c r="J36" s="47">
        <f>+'ACADEMIC SUPP 4yr'!J36+'STU SERVICES 4yr'!J36+'INST SUPPORT 4yr'!J36</f>
        <v>0</v>
      </c>
      <c r="K36" s="47">
        <f>+'ACADEMIC SUPP 4yr'!K36+'STU SERVICES 4yr'!K36+'INST SUPPORT 4yr'!K36</f>
        <v>233985.948</v>
      </c>
      <c r="L36" s="47">
        <f>+'ACADEMIC SUPP 4yr'!L36+'STU SERVICES 4yr'!L36+'INST SUPPORT 4yr'!L36</f>
        <v>263973.92</v>
      </c>
      <c r="M36" s="47">
        <f>+'ACADEMIC SUPP 4yr'!M36+'STU SERVICES 4yr'!M36+'INST SUPPORT 4yr'!M36</f>
        <v>281731.71600000001</v>
      </c>
      <c r="N36" s="47">
        <f>+'ACADEMIC SUPP 4yr'!N36+'STU SERVICES 4yr'!N36+'INST SUPPORT 4yr'!N36</f>
        <v>334995.59899999999</v>
      </c>
      <c r="O36" s="47">
        <f>+'ACADEMIC SUPP 4yr'!O36+'STU SERVICES 4yr'!O36+'INST SUPPORT 4yr'!O36</f>
        <v>357107.16299999994</v>
      </c>
      <c r="P36" s="47">
        <f>+'ACADEMIC SUPP 4yr'!P36+'STU SERVICES 4yr'!P36+'INST SUPPORT 4yr'!P36</f>
        <v>374694.38</v>
      </c>
      <c r="Q36" s="47">
        <f>+'ACADEMIC SUPP 4yr'!Q36+'STU SERVICES 4yr'!Q36+'INST SUPPORT 4yr'!Q36</f>
        <v>407973.43400000001</v>
      </c>
      <c r="R36" s="47">
        <f>+'ACADEMIC SUPP 4yr'!R36+'STU SERVICES 4yr'!R36+'INST SUPPORT 4yr'!R36</f>
        <v>415032.20500000002</v>
      </c>
      <c r="S36" s="47">
        <f>+'ACADEMIC SUPP 4yr'!S36+'STU SERVICES 4yr'!S36+'INST SUPPORT 4yr'!S36</f>
        <v>452906.93799999997</v>
      </c>
      <c r="T36" s="47">
        <f>+'ACADEMIC SUPP 4yr'!T36+'STU SERVICES 4yr'!T36+'INST SUPPORT 4yr'!T36</f>
        <v>568222.28600000008</v>
      </c>
      <c r="U36" s="47">
        <f>+'ACADEMIC SUPP 4yr'!U36+'STU SERVICES 4yr'!U36+'INST SUPPORT 4yr'!U36</f>
        <v>370134.72099999996</v>
      </c>
      <c r="V36" s="47">
        <f>+'ACADEMIC SUPP 4yr'!V36+'STU SERVICES 4yr'!V36+'INST SUPPORT 4yr'!V36</f>
        <v>633695.87</v>
      </c>
      <c r="W36" s="47">
        <f>+'ACADEMIC SUPP 4yr'!W36+'STU SERVICES 4yr'!W36+'INST SUPPORT 4yr'!W36</f>
        <v>628318.15800000005</v>
      </c>
      <c r="X36" s="47">
        <f>+'ACADEMIC SUPP 4yr'!X36+'STU SERVICES 4yr'!X36+'INST SUPPORT 4yr'!X36</f>
        <v>678367.96500000008</v>
      </c>
      <c r="Y36" s="47">
        <f>+'ACADEMIC SUPP 4yr'!Y36+'STU SERVICES 4yr'!Y36+'INST SUPPORT 4yr'!Y36</f>
        <v>718630.125</v>
      </c>
      <c r="Z36" s="47">
        <f>+'ACADEMIC SUPP 4yr'!Z36+'STU SERVICES 4yr'!Z36+'INST SUPPORT 4yr'!Z36</f>
        <v>788588.97200000007</v>
      </c>
      <c r="AA36" s="47">
        <f>+'ACADEMIC SUPP 4yr'!AA36+'STU SERVICES 4yr'!AA36+'INST SUPPORT 4yr'!AA36</f>
        <v>793185.54099999997</v>
      </c>
      <c r="AB36" s="47">
        <f>+'ACADEMIC SUPP 4yr'!AB36+'STU SERVICES 4yr'!AB36+'INST SUPPORT 4yr'!AB36</f>
        <v>979532.58600000001</v>
      </c>
      <c r="AC36" s="47">
        <f>+'ACADEMIC SUPP 4yr'!AC36+'STU SERVICES 4yr'!AC36+'INST SUPPORT 4yr'!AC36</f>
        <v>989911.53599999996</v>
      </c>
      <c r="AD36" s="47">
        <f>+'ACADEMIC SUPP 4yr'!AD36+'STU SERVICES 4yr'!AD36+'INST SUPPORT 4yr'!AD36</f>
        <v>0</v>
      </c>
      <c r="AE36" s="47">
        <f>+'ACADEMIC SUPP 4yr'!AE36+'STU SERVICES 4yr'!AE36+'INST SUPPORT 4yr'!AE36</f>
        <v>1027106.833</v>
      </c>
    </row>
    <row r="37" spans="1:31">
      <c r="A37" s="1" t="s">
        <v>53</v>
      </c>
      <c r="B37" s="47">
        <f>+'ACADEMIC SUPP 4yr'!B37+'STU SERVICES 4yr'!B37+'INST SUPPORT 4yr'!B37</f>
        <v>0</v>
      </c>
      <c r="C37" s="47">
        <f>+'ACADEMIC SUPP 4yr'!C37+'STU SERVICES 4yr'!C37+'INST SUPPORT 4yr'!C37</f>
        <v>0</v>
      </c>
      <c r="D37" s="47">
        <f>+'ACADEMIC SUPP 4yr'!D37+'STU SERVICES 4yr'!D37+'INST SUPPORT 4yr'!D37</f>
        <v>0</v>
      </c>
      <c r="E37" s="47">
        <f>+'ACADEMIC SUPP 4yr'!E37+'STU SERVICES 4yr'!E37+'INST SUPPORT 4yr'!E37</f>
        <v>0</v>
      </c>
      <c r="F37" s="47">
        <f>+'ACADEMIC SUPP 4yr'!F37+'STU SERVICES 4yr'!F37+'INST SUPPORT 4yr'!F37</f>
        <v>128927.48699999999</v>
      </c>
      <c r="G37" s="47">
        <f>+'ACADEMIC SUPP 4yr'!G37+'STU SERVICES 4yr'!G37+'INST SUPPORT 4yr'!G37</f>
        <v>0</v>
      </c>
      <c r="H37" s="47">
        <f>+'ACADEMIC SUPP 4yr'!H37+'STU SERVICES 4yr'!H37+'INST SUPPORT 4yr'!H37</f>
        <v>0</v>
      </c>
      <c r="I37" s="47">
        <f>+'ACADEMIC SUPP 4yr'!I37+'STU SERVICES 4yr'!I37+'INST SUPPORT 4yr'!I37</f>
        <v>173391.427</v>
      </c>
      <c r="J37" s="47">
        <f>+'ACADEMIC SUPP 4yr'!J37+'STU SERVICES 4yr'!J37+'INST SUPPORT 4yr'!J37</f>
        <v>0</v>
      </c>
      <c r="K37" s="47">
        <f>+'ACADEMIC SUPP 4yr'!K37+'STU SERVICES 4yr'!K37+'INST SUPPORT 4yr'!K37</f>
        <v>210851.397</v>
      </c>
      <c r="L37" s="47">
        <f>+'ACADEMIC SUPP 4yr'!L37+'STU SERVICES 4yr'!L37+'INST SUPPORT 4yr'!L37</f>
        <v>286490.88699999999</v>
      </c>
      <c r="M37" s="47">
        <f>+'ACADEMIC SUPP 4yr'!M37+'STU SERVICES 4yr'!M37+'INST SUPPORT 4yr'!M37</f>
        <v>282172.772</v>
      </c>
      <c r="N37" s="47">
        <f>+'ACADEMIC SUPP 4yr'!N37+'STU SERVICES 4yr'!N37+'INST SUPPORT 4yr'!N37</f>
        <v>283980.08100000001</v>
      </c>
      <c r="O37" s="47">
        <f>+'ACADEMIC SUPP 4yr'!O37+'STU SERVICES 4yr'!O37+'INST SUPPORT 4yr'!O37</f>
        <v>284573.97500000003</v>
      </c>
      <c r="P37" s="47">
        <f>+'ACADEMIC SUPP 4yr'!P37+'STU SERVICES 4yr'!P37+'INST SUPPORT 4yr'!P37</f>
        <v>307078.78000000003</v>
      </c>
      <c r="Q37" s="47">
        <f>+'ACADEMIC SUPP 4yr'!Q37+'STU SERVICES 4yr'!Q37+'INST SUPPORT 4yr'!Q37</f>
        <v>317869.67200000002</v>
      </c>
      <c r="R37" s="47">
        <f>+'ACADEMIC SUPP 4yr'!R37+'STU SERVICES 4yr'!R37+'INST SUPPORT 4yr'!R37</f>
        <v>348097.864</v>
      </c>
      <c r="S37" s="47">
        <f>+'ACADEMIC SUPP 4yr'!S37+'STU SERVICES 4yr'!S37+'INST SUPPORT 4yr'!S37</f>
        <v>370711.76899999997</v>
      </c>
      <c r="T37" s="47">
        <f>+'ACADEMIC SUPP 4yr'!T37+'STU SERVICES 4yr'!T37+'INST SUPPORT 4yr'!T37</f>
        <v>416015.549</v>
      </c>
      <c r="U37" s="47">
        <f>+'ACADEMIC SUPP 4yr'!U37+'STU SERVICES 4yr'!U37+'INST SUPPORT 4yr'!U37</f>
        <v>425151.495</v>
      </c>
      <c r="V37" s="47">
        <f>+'ACADEMIC SUPP 4yr'!V37+'STU SERVICES 4yr'!V37+'INST SUPPORT 4yr'!V37</f>
        <v>488442.05199999997</v>
      </c>
      <c r="W37" s="47">
        <f>+'ACADEMIC SUPP 4yr'!W37+'STU SERVICES 4yr'!W37+'INST SUPPORT 4yr'!W37</f>
        <v>520053.07</v>
      </c>
      <c r="X37" s="47">
        <f>+'ACADEMIC SUPP 4yr'!X37+'STU SERVICES 4yr'!X37+'INST SUPPORT 4yr'!X37</f>
        <v>545094.55500000005</v>
      </c>
      <c r="Y37" s="47">
        <f>+'ACADEMIC SUPP 4yr'!Y37+'STU SERVICES 4yr'!Y37+'INST SUPPORT 4yr'!Y37</f>
        <v>573279.77500000002</v>
      </c>
      <c r="Z37" s="47">
        <f>+'ACADEMIC SUPP 4yr'!Z37+'STU SERVICES 4yr'!Z37+'INST SUPPORT 4yr'!Z37</f>
        <v>557348.24699999997</v>
      </c>
      <c r="AA37" s="47">
        <f>+'ACADEMIC SUPP 4yr'!AA37+'STU SERVICES 4yr'!AA37+'INST SUPPORT 4yr'!AA37</f>
        <v>623693.25199999998</v>
      </c>
      <c r="AB37" s="47">
        <f>+'ACADEMIC SUPP 4yr'!AB37+'STU SERVICES 4yr'!AB37+'INST SUPPORT 4yr'!AB37</f>
        <v>695116.42500000005</v>
      </c>
      <c r="AC37" s="47">
        <f>+'ACADEMIC SUPP 4yr'!AC37+'STU SERVICES 4yr'!AC37+'INST SUPPORT 4yr'!AC37</f>
        <v>740499.66700000002</v>
      </c>
      <c r="AD37" s="47">
        <f>+'ACADEMIC SUPP 4yr'!AD37+'STU SERVICES 4yr'!AD37+'INST SUPPORT 4yr'!AD37</f>
        <v>0</v>
      </c>
      <c r="AE37" s="47">
        <f>+'ACADEMIC SUPP 4yr'!AE37+'STU SERVICES 4yr'!AE37+'INST SUPPORT 4yr'!AE37</f>
        <v>995791.99900000007</v>
      </c>
    </row>
    <row r="38" spans="1:31">
      <c r="A38" s="1" t="s">
        <v>54</v>
      </c>
      <c r="B38" s="47">
        <f>+'ACADEMIC SUPP 4yr'!B38+'STU SERVICES 4yr'!B38+'INST SUPPORT 4yr'!B38</f>
        <v>0</v>
      </c>
      <c r="C38" s="47">
        <f>+'ACADEMIC SUPP 4yr'!C38+'STU SERVICES 4yr'!C38+'INST SUPPORT 4yr'!C38</f>
        <v>0</v>
      </c>
      <c r="D38" s="47">
        <f>+'ACADEMIC SUPP 4yr'!D38+'STU SERVICES 4yr'!D38+'INST SUPPORT 4yr'!D38</f>
        <v>0</v>
      </c>
      <c r="E38" s="47">
        <f>+'ACADEMIC SUPP 4yr'!E38+'STU SERVICES 4yr'!E38+'INST SUPPORT 4yr'!E38</f>
        <v>0</v>
      </c>
      <c r="F38" s="47">
        <f>+'ACADEMIC SUPP 4yr'!F38+'STU SERVICES 4yr'!F38+'INST SUPPORT 4yr'!F38</f>
        <v>301351.88400000002</v>
      </c>
      <c r="G38" s="47">
        <f>+'ACADEMIC SUPP 4yr'!G38+'STU SERVICES 4yr'!G38+'INST SUPPORT 4yr'!G38</f>
        <v>0</v>
      </c>
      <c r="H38" s="47">
        <f>+'ACADEMIC SUPP 4yr'!H38+'STU SERVICES 4yr'!H38+'INST SUPPORT 4yr'!H38</f>
        <v>0</v>
      </c>
      <c r="I38" s="47">
        <f>+'ACADEMIC SUPP 4yr'!I38+'STU SERVICES 4yr'!I38+'INST SUPPORT 4yr'!I38</f>
        <v>358617.18400000001</v>
      </c>
      <c r="J38" s="47">
        <f>+'ACADEMIC SUPP 4yr'!J38+'STU SERVICES 4yr'!J38+'INST SUPPORT 4yr'!J38</f>
        <v>0</v>
      </c>
      <c r="K38" s="47">
        <f>+'ACADEMIC SUPP 4yr'!K38+'STU SERVICES 4yr'!K38+'INST SUPPORT 4yr'!K38</f>
        <v>393813.25300000003</v>
      </c>
      <c r="L38" s="47">
        <f>+'ACADEMIC SUPP 4yr'!L38+'STU SERVICES 4yr'!L38+'INST SUPPORT 4yr'!L38</f>
        <v>474005.74100000004</v>
      </c>
      <c r="M38" s="47">
        <f>+'ACADEMIC SUPP 4yr'!M38+'STU SERVICES 4yr'!M38+'INST SUPPORT 4yr'!M38</f>
        <v>535426.02899999998</v>
      </c>
      <c r="N38" s="47">
        <f>+'ACADEMIC SUPP 4yr'!N38+'STU SERVICES 4yr'!N38+'INST SUPPORT 4yr'!N38</f>
        <v>579171.54399999999</v>
      </c>
      <c r="O38" s="47">
        <f>+'ACADEMIC SUPP 4yr'!O38+'STU SERVICES 4yr'!O38+'INST SUPPORT 4yr'!O38</f>
        <v>494859.29800000007</v>
      </c>
      <c r="P38" s="47">
        <f>+'ACADEMIC SUPP 4yr'!P38+'STU SERVICES 4yr'!P38+'INST SUPPORT 4yr'!P38</f>
        <v>528401.46</v>
      </c>
      <c r="Q38" s="47">
        <f>+'ACADEMIC SUPP 4yr'!Q38+'STU SERVICES 4yr'!Q38+'INST SUPPORT 4yr'!Q38</f>
        <v>550217.89100000006</v>
      </c>
      <c r="R38" s="47">
        <f>+'ACADEMIC SUPP 4yr'!R38+'STU SERVICES 4yr'!R38+'INST SUPPORT 4yr'!R38</f>
        <v>581962.68800000008</v>
      </c>
      <c r="S38" s="47">
        <f>+'ACADEMIC SUPP 4yr'!S38+'STU SERVICES 4yr'!S38+'INST SUPPORT 4yr'!S38</f>
        <v>692203.10100000002</v>
      </c>
      <c r="T38" s="47">
        <f>+'ACADEMIC SUPP 4yr'!T38+'STU SERVICES 4yr'!T38+'INST SUPPORT 4yr'!T38</f>
        <v>814259.14500000002</v>
      </c>
      <c r="U38" s="47">
        <f>+'ACADEMIC SUPP 4yr'!U38+'STU SERVICES 4yr'!U38+'INST SUPPORT 4yr'!U38</f>
        <v>741217.05200000003</v>
      </c>
      <c r="V38" s="47">
        <f>+'ACADEMIC SUPP 4yr'!V38+'STU SERVICES 4yr'!V38+'INST SUPPORT 4yr'!V38</f>
        <v>840872.33699999994</v>
      </c>
      <c r="W38" s="47">
        <f>+'ACADEMIC SUPP 4yr'!W38+'STU SERVICES 4yr'!W38+'INST SUPPORT 4yr'!W38</f>
        <v>873889.46000000008</v>
      </c>
      <c r="X38" s="47">
        <f>+'ACADEMIC SUPP 4yr'!X38+'STU SERVICES 4yr'!X38+'INST SUPPORT 4yr'!X38</f>
        <v>905702.63500000001</v>
      </c>
      <c r="Y38" s="47">
        <f>+'ACADEMIC SUPP 4yr'!Y38+'STU SERVICES 4yr'!Y38+'INST SUPPORT 4yr'!Y38</f>
        <v>986695.04099999997</v>
      </c>
      <c r="Z38" s="47">
        <f>+'ACADEMIC SUPP 4yr'!Z38+'STU SERVICES 4yr'!Z38+'INST SUPPORT 4yr'!Z38</f>
        <v>1095590.976</v>
      </c>
      <c r="AA38" s="47">
        <f>+'ACADEMIC SUPP 4yr'!AA38+'STU SERVICES 4yr'!AA38+'INST SUPPORT 4yr'!AA38</f>
        <v>1154357.588</v>
      </c>
      <c r="AB38" s="47">
        <f>+'ACADEMIC SUPP 4yr'!AB38+'STU SERVICES 4yr'!AB38+'INST SUPPORT 4yr'!AB38</f>
        <v>1297013.1040000001</v>
      </c>
      <c r="AC38" s="47">
        <f>+'ACADEMIC SUPP 4yr'!AC38+'STU SERVICES 4yr'!AC38+'INST SUPPORT 4yr'!AC38</f>
        <v>1304617.341</v>
      </c>
      <c r="AD38" s="47">
        <f>+'ACADEMIC SUPP 4yr'!AD38+'STU SERVICES 4yr'!AD38+'INST SUPPORT 4yr'!AD38</f>
        <v>0</v>
      </c>
      <c r="AE38" s="47">
        <f>+'ACADEMIC SUPP 4yr'!AE38+'STU SERVICES 4yr'!AE38+'INST SUPPORT 4yr'!AE38</f>
        <v>1323212.676</v>
      </c>
    </row>
    <row r="39" spans="1:31">
      <c r="A39" s="23" t="s">
        <v>55</v>
      </c>
      <c r="B39" s="49">
        <f>+'ACADEMIC SUPP 4yr'!B39+'STU SERVICES 4yr'!B39+'INST SUPPORT 4yr'!B39</f>
        <v>0</v>
      </c>
      <c r="C39" s="49">
        <f>+'ACADEMIC SUPP 4yr'!C39+'STU SERVICES 4yr'!C39+'INST SUPPORT 4yr'!C39</f>
        <v>0</v>
      </c>
      <c r="D39" s="49">
        <f>+'ACADEMIC SUPP 4yr'!D39+'STU SERVICES 4yr'!D39+'INST SUPPORT 4yr'!D39</f>
        <v>0</v>
      </c>
      <c r="E39" s="49">
        <f>+'ACADEMIC SUPP 4yr'!E39+'STU SERVICES 4yr'!E39+'INST SUPPORT 4yr'!E39</f>
        <v>0</v>
      </c>
      <c r="F39" s="49">
        <f>+'ACADEMIC SUPP 4yr'!F39+'STU SERVICES 4yr'!F39+'INST SUPPORT 4yr'!F39</f>
        <v>31511.202000000001</v>
      </c>
      <c r="G39" s="49">
        <f>+'ACADEMIC SUPP 4yr'!G39+'STU SERVICES 4yr'!G39+'INST SUPPORT 4yr'!G39</f>
        <v>0</v>
      </c>
      <c r="H39" s="49">
        <f>+'ACADEMIC SUPP 4yr'!H39+'STU SERVICES 4yr'!H39+'INST SUPPORT 4yr'!H39</f>
        <v>0</v>
      </c>
      <c r="I39" s="49">
        <f>+'ACADEMIC SUPP 4yr'!I39+'STU SERVICES 4yr'!I39+'INST SUPPORT 4yr'!I39</f>
        <v>34529.713000000003</v>
      </c>
      <c r="J39" s="49">
        <f>+'ACADEMIC SUPP 4yr'!J39+'STU SERVICES 4yr'!J39+'INST SUPPORT 4yr'!J39</f>
        <v>0</v>
      </c>
      <c r="K39" s="49">
        <f>+'ACADEMIC SUPP 4yr'!K39+'STU SERVICES 4yr'!K39+'INST SUPPORT 4yr'!K39</f>
        <v>33978.790999999997</v>
      </c>
      <c r="L39" s="49">
        <f>+'ACADEMIC SUPP 4yr'!L39+'STU SERVICES 4yr'!L39+'INST SUPPORT 4yr'!L39</f>
        <v>42973.846999999994</v>
      </c>
      <c r="M39" s="49">
        <f>+'ACADEMIC SUPP 4yr'!M39+'STU SERVICES 4yr'!M39+'INST SUPPORT 4yr'!M39</f>
        <v>46457.917000000001</v>
      </c>
      <c r="N39" s="49">
        <f>+'ACADEMIC SUPP 4yr'!N39+'STU SERVICES 4yr'!N39+'INST SUPPORT 4yr'!N39</f>
        <v>46030.188000000002</v>
      </c>
      <c r="O39" s="49">
        <f>+'ACADEMIC SUPP 4yr'!O39+'STU SERVICES 4yr'!O39+'INST SUPPORT 4yr'!O39</f>
        <v>48246.633999999998</v>
      </c>
      <c r="P39" s="49">
        <f>+'ACADEMIC SUPP 4yr'!P39+'STU SERVICES 4yr'!P39+'INST SUPPORT 4yr'!P39</f>
        <v>52095.270999999993</v>
      </c>
      <c r="Q39" s="49">
        <f>+'ACADEMIC SUPP 4yr'!Q39+'STU SERVICES 4yr'!Q39+'INST SUPPORT 4yr'!Q39</f>
        <v>57668.357000000004</v>
      </c>
      <c r="R39" s="49">
        <f>+'ACADEMIC SUPP 4yr'!R39+'STU SERVICES 4yr'!R39+'INST SUPPORT 4yr'!R39</f>
        <v>60662.614000000001</v>
      </c>
      <c r="S39" s="49">
        <f>+'ACADEMIC SUPP 4yr'!S39+'STU SERVICES 4yr'!S39+'INST SUPPORT 4yr'!S39</f>
        <v>63130.343999999997</v>
      </c>
      <c r="T39" s="49">
        <f>+'ACADEMIC SUPP 4yr'!T39+'STU SERVICES 4yr'!T39+'INST SUPPORT 4yr'!T39</f>
        <v>74184.494999999995</v>
      </c>
      <c r="U39" s="49">
        <f>+'ACADEMIC SUPP 4yr'!U39+'STU SERVICES 4yr'!U39+'INST SUPPORT 4yr'!U39</f>
        <v>68920.695999999996</v>
      </c>
      <c r="V39" s="49">
        <f>+'ACADEMIC SUPP 4yr'!V39+'STU SERVICES 4yr'!V39+'INST SUPPORT 4yr'!V39</f>
        <v>87453.717000000004</v>
      </c>
      <c r="W39" s="49">
        <f>+'ACADEMIC SUPP 4yr'!W39+'STU SERVICES 4yr'!W39+'INST SUPPORT 4yr'!W39</f>
        <v>84730.34599999999</v>
      </c>
      <c r="X39" s="49">
        <f>+'ACADEMIC SUPP 4yr'!X39+'STU SERVICES 4yr'!X39+'INST SUPPORT 4yr'!X39</f>
        <v>99310.551000000007</v>
      </c>
      <c r="Y39" s="49">
        <f>+'ACADEMIC SUPP 4yr'!Y39+'STU SERVICES 4yr'!Y39+'INST SUPPORT 4yr'!Y39</f>
        <v>99678.395999999993</v>
      </c>
      <c r="Z39" s="49">
        <f>+'ACADEMIC SUPP 4yr'!Z39+'STU SERVICES 4yr'!Z39+'INST SUPPORT 4yr'!Z39</f>
        <v>106786.538</v>
      </c>
      <c r="AA39" s="49">
        <f>+'ACADEMIC SUPP 4yr'!AA39+'STU SERVICES 4yr'!AA39+'INST SUPPORT 4yr'!AA39</f>
        <v>110348.837</v>
      </c>
      <c r="AB39" s="49">
        <f>+'ACADEMIC SUPP 4yr'!AB39+'STU SERVICES 4yr'!AB39+'INST SUPPORT 4yr'!AB39</f>
        <v>108308.32399999999</v>
      </c>
      <c r="AC39" s="49">
        <f>+'ACADEMIC SUPP 4yr'!AC39+'STU SERVICES 4yr'!AC39+'INST SUPPORT 4yr'!AC39</f>
        <v>114240.94</v>
      </c>
      <c r="AD39" s="49">
        <f>+'ACADEMIC SUPP 4yr'!AD39+'STU SERVICES 4yr'!AD39+'INST SUPPORT 4yr'!AD39</f>
        <v>0</v>
      </c>
      <c r="AE39" s="49">
        <f>+'ACADEMIC SUPP 4yr'!AE39+'STU SERVICES 4yr'!AE39+'INST SUPPORT 4yr'!AE39</f>
        <v>137065.67199999999</v>
      </c>
    </row>
    <row r="40" spans="1:31">
      <c r="A40" s="7" t="s">
        <v>56</v>
      </c>
      <c r="B40" s="47">
        <f>+'ACADEMIC SUPP 4yr'!B40+'STU SERVICES 4yr'!B40+'INST SUPPORT 4yr'!B40</f>
        <v>0</v>
      </c>
      <c r="C40" s="47">
        <f>+'ACADEMIC SUPP 4yr'!C40+'STU SERVICES 4yr'!C40+'INST SUPPORT 4yr'!C40</f>
        <v>0</v>
      </c>
      <c r="D40" s="47">
        <f>+'ACADEMIC SUPP 4yr'!D40+'STU SERVICES 4yr'!D40+'INST SUPPORT 4yr'!D40</f>
        <v>0</v>
      </c>
      <c r="E40" s="47">
        <f>+'ACADEMIC SUPP 4yr'!E40+'STU SERVICES 4yr'!E40+'INST SUPPORT 4yr'!E40</f>
        <v>0</v>
      </c>
      <c r="F40" s="47">
        <f>+'ACADEMIC SUPP 4yr'!F40+'STU SERVICES 4yr'!F40+'INST SUPPORT 4yr'!F40</f>
        <v>3714318.8489999999</v>
      </c>
      <c r="G40" s="47">
        <f>+'ACADEMIC SUPP 4yr'!G40+'STU SERVICES 4yr'!G40+'INST SUPPORT 4yr'!G40</f>
        <v>0</v>
      </c>
      <c r="H40" s="47">
        <f>+'ACADEMIC SUPP 4yr'!H40+'STU SERVICES 4yr'!H40+'INST SUPPORT 4yr'!H40</f>
        <v>0</v>
      </c>
      <c r="I40" s="47">
        <f>+'ACADEMIC SUPP 4yr'!I40+'STU SERVICES 4yr'!I40+'INST SUPPORT 4yr'!I40</f>
        <v>4222095.5590000004</v>
      </c>
      <c r="J40" s="47">
        <f>+'ACADEMIC SUPP 4yr'!J40+'STU SERVICES 4yr'!J40+'INST SUPPORT 4yr'!J40</f>
        <v>0</v>
      </c>
      <c r="K40" s="47">
        <f>+'ACADEMIC SUPP 4yr'!K40+'STU SERVICES 4yr'!K40+'INST SUPPORT 4yr'!K40</f>
        <v>4825847.5863300003</v>
      </c>
      <c r="L40" s="47">
        <f>+'ACADEMIC SUPP 4yr'!L40+'STU SERVICES 4yr'!L40+'INST SUPPORT 4yr'!L40</f>
        <v>5716080.142</v>
      </c>
      <c r="M40" s="47">
        <f>+'ACADEMIC SUPP 4yr'!M40+'STU SERVICES 4yr'!M40+'INST SUPPORT 4yr'!M40</f>
        <v>6249086.5510000009</v>
      </c>
      <c r="N40" s="47">
        <f>+'ACADEMIC SUPP 4yr'!N40+'STU SERVICES 4yr'!N40+'INST SUPPORT 4yr'!N40</f>
        <v>6209466.023</v>
      </c>
      <c r="O40" s="47">
        <f>+'ACADEMIC SUPP 4yr'!O40+'STU SERVICES 4yr'!O40+'INST SUPPORT 4yr'!O40</f>
        <v>6355144.3780000005</v>
      </c>
      <c r="P40" s="47">
        <f>+'ACADEMIC SUPP 4yr'!P40+'STU SERVICES 4yr'!P40+'INST SUPPORT 4yr'!P40</f>
        <v>6694366.6109999996</v>
      </c>
      <c r="Q40" s="47">
        <f>+'ACADEMIC SUPP 4yr'!Q40+'STU SERVICES 4yr'!Q40+'INST SUPPORT 4yr'!Q40</f>
        <v>6869592.8989999993</v>
      </c>
      <c r="R40" s="47">
        <f>+'ACADEMIC SUPP 4yr'!R40+'STU SERVICES 4yr'!R40+'INST SUPPORT 4yr'!R40</f>
        <v>7168452.0010000002</v>
      </c>
      <c r="S40" s="47">
        <f>+'ACADEMIC SUPP 4yr'!S40+'STU SERVICES 4yr'!S40+'INST SUPPORT 4yr'!S40</f>
        <v>7645964.743999999</v>
      </c>
      <c r="T40" s="47">
        <f>+'ACADEMIC SUPP 4yr'!T40+'STU SERVICES 4yr'!T40+'INST SUPPORT 4yr'!T40</f>
        <v>8592348.1750000007</v>
      </c>
      <c r="U40" s="47">
        <f>+'ACADEMIC SUPP 4yr'!U40+'STU SERVICES 4yr'!U40+'INST SUPPORT 4yr'!U40</f>
        <v>9229127.6850000005</v>
      </c>
      <c r="V40" s="47">
        <f>+'ACADEMIC SUPP 4yr'!V40+'STU SERVICES 4yr'!V40+'INST SUPPORT 4yr'!V40</f>
        <v>10243386.335999999</v>
      </c>
      <c r="W40" s="47">
        <f>+'ACADEMIC SUPP 4yr'!W40+'STU SERVICES 4yr'!W40+'INST SUPPORT 4yr'!W40</f>
        <v>10586887.255000001</v>
      </c>
      <c r="X40" s="47">
        <f>+'ACADEMIC SUPP 4yr'!X40+'STU SERVICES 4yr'!X40+'INST SUPPORT 4yr'!X40</f>
        <v>11051273.125999998</v>
      </c>
      <c r="Y40" s="47">
        <f>+'ACADEMIC SUPP 4yr'!Y40+'STU SERVICES 4yr'!Y40+'INST SUPPORT 4yr'!Y40</f>
        <v>11599347.953</v>
      </c>
      <c r="Z40" s="47">
        <f>+'ACADEMIC SUPP 4yr'!Z40+'STU SERVICES 4yr'!Z40+'INST SUPPORT 4yr'!Z40</f>
        <v>12240403.692000002</v>
      </c>
      <c r="AA40" s="47">
        <f>+'ACADEMIC SUPP 4yr'!AA40+'STU SERVICES 4yr'!AA40+'INST SUPPORT 4yr'!AA40</f>
        <v>12651992.095999999</v>
      </c>
      <c r="AB40" s="47">
        <f>+'ACADEMIC SUPP 4yr'!AB40+'STU SERVICES 4yr'!AB40+'INST SUPPORT 4yr'!AB40</f>
        <v>12792804.230999999</v>
      </c>
      <c r="AC40" s="47">
        <f>+'ACADEMIC SUPP 4yr'!AC40+'STU SERVICES 4yr'!AC40+'INST SUPPORT 4yr'!AC40</f>
        <v>13351552.950999998</v>
      </c>
      <c r="AD40" s="47">
        <f>+'ACADEMIC SUPP 4yr'!AD40+'STU SERVICES 4yr'!AD40+'INST SUPPORT 4yr'!AD40</f>
        <v>0</v>
      </c>
      <c r="AE40" s="47">
        <f>+'ACADEMIC SUPP 4yr'!AE40+'STU SERVICES 4yr'!AE40+'INST SUPPORT 4yr'!AE40</f>
        <v>14022201.890000002</v>
      </c>
    </row>
    <row r="41" spans="1:31">
      <c r="A41" s="7" t="s">
        <v>97</v>
      </c>
      <c r="B41" s="47">
        <f>+'ACADEMIC SUPP 4yr'!B41+'STU SERVICES 4yr'!B41+'INST SUPPORT 4yr'!B41</f>
        <v>0</v>
      </c>
      <c r="C41" s="47">
        <f>+'ACADEMIC SUPP 4yr'!C41+'STU SERVICES 4yr'!C41+'INST SUPPORT 4yr'!C41</f>
        <v>0</v>
      </c>
      <c r="D41" s="47">
        <f>+'ACADEMIC SUPP 4yr'!D41+'STU SERVICES 4yr'!D41+'INST SUPPORT 4yr'!D41</f>
        <v>0</v>
      </c>
      <c r="E41" s="47">
        <f>+'ACADEMIC SUPP 4yr'!E41+'STU SERVICES 4yr'!E41+'INST SUPPORT 4yr'!E41</f>
        <v>0</v>
      </c>
      <c r="F41" s="47">
        <f>+'ACADEMIC SUPP 4yr'!F41+'STU SERVICES 4yr'!F41+'INST SUPPORT 4yr'!F41</f>
        <v>0</v>
      </c>
      <c r="G41" s="47">
        <f>+'ACADEMIC SUPP 4yr'!G41+'STU SERVICES 4yr'!G41+'INST SUPPORT 4yr'!G41</f>
        <v>0</v>
      </c>
      <c r="H41" s="47">
        <f>+'ACADEMIC SUPP 4yr'!H41+'STU SERVICES 4yr'!H41+'INST SUPPORT 4yr'!H41</f>
        <v>0</v>
      </c>
      <c r="I41" s="47">
        <f>+'ACADEMIC SUPP 4yr'!I41+'STU SERVICES 4yr'!I41+'INST SUPPORT 4yr'!I41</f>
        <v>0</v>
      </c>
      <c r="J41" s="47">
        <f>+'ACADEMIC SUPP 4yr'!J41+'STU SERVICES 4yr'!J41+'INST SUPPORT 4yr'!J41</f>
        <v>0</v>
      </c>
      <c r="K41" s="47">
        <f>+'ACADEMIC SUPP 4yr'!K41+'STU SERVICES 4yr'!K41+'INST SUPPORT 4yr'!K41</f>
        <v>0</v>
      </c>
      <c r="L41" s="47">
        <f>+'ACADEMIC SUPP 4yr'!L41+'STU SERVICES 4yr'!L41+'INST SUPPORT 4yr'!L41</f>
        <v>0</v>
      </c>
      <c r="M41" s="47">
        <f>+'ACADEMIC SUPP 4yr'!M41+'STU SERVICES 4yr'!M41+'INST SUPPORT 4yr'!M41</f>
        <v>0</v>
      </c>
      <c r="N41" s="47">
        <f>+'ACADEMIC SUPP 4yr'!N41+'STU SERVICES 4yr'!N41+'INST SUPPORT 4yr'!N41</f>
        <v>0</v>
      </c>
      <c r="O41" s="47">
        <f>+'ACADEMIC SUPP 4yr'!O41+'STU SERVICES 4yr'!O41+'INST SUPPORT 4yr'!O41</f>
        <v>0</v>
      </c>
      <c r="P41" s="47">
        <f>+'ACADEMIC SUPP 4yr'!P41+'STU SERVICES 4yr'!P41+'INST SUPPORT 4yr'!P41</f>
        <v>0</v>
      </c>
      <c r="Q41" s="47">
        <f>+'ACADEMIC SUPP 4yr'!Q41+'STU SERVICES 4yr'!Q41+'INST SUPPORT 4yr'!Q41</f>
        <v>0</v>
      </c>
      <c r="R41" s="47">
        <f>+'ACADEMIC SUPP 4yr'!R41+'STU SERVICES 4yr'!R41+'INST SUPPORT 4yr'!R41</f>
        <v>0</v>
      </c>
      <c r="S41" s="47">
        <f>+'ACADEMIC SUPP 4yr'!S41+'STU SERVICES 4yr'!S41+'INST SUPPORT 4yr'!S41</f>
        <v>0</v>
      </c>
      <c r="T41" s="47">
        <f>+'ACADEMIC SUPP 4yr'!T41+'STU SERVICES 4yr'!T41+'INST SUPPORT 4yr'!T41</f>
        <v>0</v>
      </c>
      <c r="U41" s="47">
        <f>+'ACADEMIC SUPP 4yr'!U41+'STU SERVICES 4yr'!U41+'INST SUPPORT 4yr'!U41</f>
        <v>0</v>
      </c>
      <c r="V41" s="47">
        <f>+'ACADEMIC SUPP 4yr'!V41+'STU SERVICES 4yr'!V41+'INST SUPPORT 4yr'!V41</f>
        <v>0</v>
      </c>
      <c r="W41" s="47">
        <f>+'ACADEMIC SUPP 4yr'!W41+'STU SERVICES 4yr'!W41+'INST SUPPORT 4yr'!W41</f>
        <v>0</v>
      </c>
      <c r="X41" s="47">
        <f>+'ACADEMIC SUPP 4yr'!X41+'STU SERVICES 4yr'!X41+'INST SUPPORT 4yr'!X41</f>
        <v>0</v>
      </c>
      <c r="Y41" s="47"/>
      <c r="Z41" s="47"/>
      <c r="AA41" s="47"/>
      <c r="AB41" s="47"/>
      <c r="AC41" s="47"/>
      <c r="AD41" s="47"/>
      <c r="AE41" s="47"/>
    </row>
    <row r="42" spans="1:31">
      <c r="A42" s="1" t="s">
        <v>57</v>
      </c>
      <c r="B42" s="47">
        <f>+'ACADEMIC SUPP 4yr'!B42+'STU SERVICES 4yr'!B42+'INST SUPPORT 4yr'!B42</f>
        <v>0</v>
      </c>
      <c r="C42" s="47">
        <f>+'ACADEMIC SUPP 4yr'!C42+'STU SERVICES 4yr'!C42+'INST SUPPORT 4yr'!C42</f>
        <v>0</v>
      </c>
      <c r="D42" s="47">
        <f>+'ACADEMIC SUPP 4yr'!D42+'STU SERVICES 4yr'!D42+'INST SUPPORT 4yr'!D42</f>
        <v>0</v>
      </c>
      <c r="E42" s="47">
        <f>+'ACADEMIC SUPP 4yr'!E42+'STU SERVICES 4yr'!E42+'INST SUPPORT 4yr'!E42</f>
        <v>0</v>
      </c>
      <c r="F42" s="47">
        <f>+'ACADEMIC SUPP 4yr'!F42+'STU SERVICES 4yr'!F42+'INST SUPPORT 4yr'!F42</f>
        <v>508838.201</v>
      </c>
      <c r="G42" s="47">
        <f>+'ACADEMIC SUPP 4yr'!G42+'STU SERVICES 4yr'!G42+'INST SUPPORT 4yr'!G42</f>
        <v>0</v>
      </c>
      <c r="H42" s="47">
        <f>+'ACADEMIC SUPP 4yr'!H42+'STU SERVICES 4yr'!H42+'INST SUPPORT 4yr'!H42</f>
        <v>0</v>
      </c>
      <c r="I42" s="47">
        <f>+'ACADEMIC SUPP 4yr'!I42+'STU SERVICES 4yr'!I42+'INST SUPPORT 4yr'!I42</f>
        <v>588699.5959999999</v>
      </c>
      <c r="J42" s="47">
        <f>+'ACADEMIC SUPP 4yr'!J42+'STU SERVICES 4yr'!J42+'INST SUPPORT 4yr'!J42</f>
        <v>0</v>
      </c>
      <c r="K42" s="47">
        <f>+'ACADEMIC SUPP 4yr'!K42+'STU SERVICES 4yr'!K42+'INST SUPPORT 4yr'!K42</f>
        <v>740570.96499999997</v>
      </c>
      <c r="L42" s="47">
        <f>+'ACADEMIC SUPP 4yr'!L42+'STU SERVICES 4yr'!L42+'INST SUPPORT 4yr'!L42</f>
        <v>777290.98499999987</v>
      </c>
      <c r="M42" s="47">
        <f>+'ACADEMIC SUPP 4yr'!M42+'STU SERVICES 4yr'!M42+'INST SUPPORT 4yr'!M42</f>
        <v>825567.20099999988</v>
      </c>
      <c r="N42" s="47">
        <f>+'ACADEMIC SUPP 4yr'!N42+'STU SERVICES 4yr'!N42+'INST SUPPORT 4yr'!N42</f>
        <v>844981.68400000001</v>
      </c>
      <c r="O42" s="47">
        <f>+'ACADEMIC SUPP 4yr'!O42+'STU SERVICES 4yr'!O42+'INST SUPPORT 4yr'!O42</f>
        <v>825744.68200000003</v>
      </c>
      <c r="P42" s="47">
        <f>+'ACADEMIC SUPP 4yr'!P42+'STU SERVICES 4yr'!P42+'INST SUPPORT 4yr'!P42</f>
        <v>982777.77</v>
      </c>
      <c r="Q42" s="47">
        <f>+'ACADEMIC SUPP 4yr'!Q42+'STU SERVICES 4yr'!Q42+'INST SUPPORT 4yr'!Q42</f>
        <v>924903.90699999989</v>
      </c>
      <c r="R42" s="47">
        <f>+'ACADEMIC SUPP 4yr'!R42+'STU SERVICES 4yr'!R42+'INST SUPPORT 4yr'!R42</f>
        <v>888144.93199999991</v>
      </c>
      <c r="S42" s="47">
        <f>+'ACADEMIC SUPP 4yr'!S42+'STU SERVICES 4yr'!S42+'INST SUPPORT 4yr'!S42</f>
        <v>972749.76300000004</v>
      </c>
      <c r="T42" s="47">
        <f>+'ACADEMIC SUPP 4yr'!T42+'STU SERVICES 4yr'!T42+'INST SUPPORT 4yr'!T42</f>
        <v>1062263.591</v>
      </c>
      <c r="U42" s="47">
        <f>+'ACADEMIC SUPP 4yr'!U42+'STU SERVICES 4yr'!U42+'INST SUPPORT 4yr'!U42</f>
        <v>1198217.078</v>
      </c>
      <c r="V42" s="47">
        <f>+'ACADEMIC SUPP 4yr'!V42+'STU SERVICES 4yr'!V42+'INST SUPPORT 4yr'!V42</f>
        <v>1462647.2309999999</v>
      </c>
      <c r="W42" s="47">
        <f>+'ACADEMIC SUPP 4yr'!W42+'STU SERVICES 4yr'!W42+'INST SUPPORT 4yr'!W42</f>
        <v>1475872.8020000001</v>
      </c>
      <c r="X42" s="47">
        <f>+'ACADEMIC SUPP 4yr'!X42+'STU SERVICES 4yr'!X42+'INST SUPPORT 4yr'!X42</f>
        <v>1567685.493</v>
      </c>
      <c r="Y42" s="47">
        <f>+'ACADEMIC SUPP 4yr'!Y42+'STU SERVICES 4yr'!Y42+'INST SUPPORT 4yr'!Y42</f>
        <v>1736543.3510000003</v>
      </c>
      <c r="Z42" s="47">
        <f>+'ACADEMIC SUPP 4yr'!Z42+'STU SERVICES 4yr'!Z42+'INST SUPPORT 4yr'!Z42</f>
        <v>1834631.872</v>
      </c>
      <c r="AA42" s="47">
        <f>+'ACADEMIC SUPP 4yr'!AA42+'STU SERVICES 4yr'!AA42+'INST SUPPORT 4yr'!AA42</f>
        <v>1939169.986</v>
      </c>
      <c r="AB42" s="47">
        <f>+'ACADEMIC SUPP 4yr'!AB42+'STU SERVICES 4yr'!AB42+'INST SUPPORT 4yr'!AB42</f>
        <v>1920077.602</v>
      </c>
      <c r="AC42" s="47">
        <f>+'ACADEMIC SUPP 4yr'!AC42+'STU SERVICES 4yr'!AC42+'INST SUPPORT 4yr'!AC42</f>
        <v>2053383.449</v>
      </c>
      <c r="AD42" s="47">
        <f>+'ACADEMIC SUPP 4yr'!AD42+'STU SERVICES 4yr'!AD42+'INST SUPPORT 4yr'!AD42</f>
        <v>0</v>
      </c>
      <c r="AE42" s="47">
        <f>+'ACADEMIC SUPP 4yr'!AE42+'STU SERVICES 4yr'!AE42+'INST SUPPORT 4yr'!AE42</f>
        <v>1913564.0590000001</v>
      </c>
    </row>
    <row r="43" spans="1:31">
      <c r="A43" s="1" t="s">
        <v>58</v>
      </c>
      <c r="B43" s="47">
        <f>+'ACADEMIC SUPP 4yr'!B43+'STU SERVICES 4yr'!B43+'INST SUPPORT 4yr'!B43</f>
        <v>0</v>
      </c>
      <c r="C43" s="47">
        <f>+'ACADEMIC SUPP 4yr'!C43+'STU SERVICES 4yr'!C43+'INST SUPPORT 4yr'!C43</f>
        <v>0</v>
      </c>
      <c r="D43" s="47">
        <f>+'ACADEMIC SUPP 4yr'!D43+'STU SERVICES 4yr'!D43+'INST SUPPORT 4yr'!D43</f>
        <v>0</v>
      </c>
      <c r="E43" s="47">
        <f>+'ACADEMIC SUPP 4yr'!E43+'STU SERVICES 4yr'!E43+'INST SUPPORT 4yr'!E43</f>
        <v>0</v>
      </c>
      <c r="F43" s="47">
        <f>+'ACADEMIC SUPP 4yr'!F43+'STU SERVICES 4yr'!F43+'INST SUPPORT 4yr'!F43</f>
        <v>392596.84399999998</v>
      </c>
      <c r="G43" s="47">
        <f>+'ACADEMIC SUPP 4yr'!G43+'STU SERVICES 4yr'!G43+'INST SUPPORT 4yr'!G43</f>
        <v>0</v>
      </c>
      <c r="H43" s="47">
        <f>+'ACADEMIC SUPP 4yr'!H43+'STU SERVICES 4yr'!H43+'INST SUPPORT 4yr'!H43</f>
        <v>0</v>
      </c>
      <c r="I43" s="47">
        <f>+'ACADEMIC SUPP 4yr'!I43+'STU SERVICES 4yr'!I43+'INST SUPPORT 4yr'!I43</f>
        <v>441497.93300000002</v>
      </c>
      <c r="J43" s="47">
        <f>+'ACADEMIC SUPP 4yr'!J43+'STU SERVICES 4yr'!J43+'INST SUPPORT 4yr'!J43</f>
        <v>0</v>
      </c>
      <c r="K43" s="47">
        <f>+'ACADEMIC SUPP 4yr'!K43+'STU SERVICES 4yr'!K43+'INST SUPPORT 4yr'!K43</f>
        <v>487916.929</v>
      </c>
      <c r="L43" s="47">
        <f>+'ACADEMIC SUPP 4yr'!L43+'STU SERVICES 4yr'!L43+'INST SUPPORT 4yr'!L43</f>
        <v>572479.50800000003</v>
      </c>
      <c r="M43" s="47">
        <f>+'ACADEMIC SUPP 4yr'!M43+'STU SERVICES 4yr'!M43+'INST SUPPORT 4yr'!M43</f>
        <v>616602.03500000003</v>
      </c>
      <c r="N43" s="47">
        <f>+'ACADEMIC SUPP 4yr'!N43+'STU SERVICES 4yr'!N43+'INST SUPPORT 4yr'!N43</f>
        <v>699681.21400000004</v>
      </c>
      <c r="O43" s="47">
        <f>+'ACADEMIC SUPP 4yr'!O43+'STU SERVICES 4yr'!O43+'INST SUPPORT 4yr'!O43</f>
        <v>664318.75699999998</v>
      </c>
      <c r="P43" s="47">
        <f>+'ACADEMIC SUPP 4yr'!P43+'STU SERVICES 4yr'!P43+'INST SUPPORT 4yr'!P43</f>
        <v>721654.94700000004</v>
      </c>
      <c r="Q43" s="47">
        <f>+'ACADEMIC SUPP 4yr'!Q43+'STU SERVICES 4yr'!Q43+'INST SUPPORT 4yr'!Q43</f>
        <v>767590.37300000002</v>
      </c>
      <c r="R43" s="47">
        <f>+'ACADEMIC SUPP 4yr'!R43+'STU SERVICES 4yr'!R43+'INST SUPPORT 4yr'!R43</f>
        <v>799843.58400000003</v>
      </c>
      <c r="S43" s="47">
        <f>+'ACADEMIC SUPP 4yr'!S43+'STU SERVICES 4yr'!S43+'INST SUPPORT 4yr'!S43</f>
        <v>857386.19500000007</v>
      </c>
      <c r="T43" s="47">
        <f>+'ACADEMIC SUPP 4yr'!T43+'STU SERVICES 4yr'!T43+'INST SUPPORT 4yr'!T43</f>
        <v>901826.58100000001</v>
      </c>
      <c r="U43" s="47">
        <f>+'ACADEMIC SUPP 4yr'!U43+'STU SERVICES 4yr'!U43+'INST SUPPORT 4yr'!U43</f>
        <v>948980.84199999995</v>
      </c>
      <c r="V43" s="47">
        <f>+'ACADEMIC SUPP 4yr'!V43+'STU SERVICES 4yr'!V43+'INST SUPPORT 4yr'!V43</f>
        <v>1084032.8629999999</v>
      </c>
      <c r="W43" s="47">
        <f>+'ACADEMIC SUPP 4yr'!W43+'STU SERVICES 4yr'!W43+'INST SUPPORT 4yr'!W43</f>
        <v>1084936.8559999999</v>
      </c>
      <c r="X43" s="47">
        <f>+'ACADEMIC SUPP 4yr'!X43+'STU SERVICES 4yr'!X43+'INST SUPPORT 4yr'!X43</f>
        <v>1197729.226</v>
      </c>
      <c r="Y43" s="47">
        <f>+'ACADEMIC SUPP 4yr'!Y43+'STU SERVICES 4yr'!Y43+'INST SUPPORT 4yr'!Y43</f>
        <v>1294148.4280000001</v>
      </c>
      <c r="Z43" s="47">
        <f>+'ACADEMIC SUPP 4yr'!Z43+'STU SERVICES 4yr'!Z43+'INST SUPPORT 4yr'!Z43</f>
        <v>1376711.561</v>
      </c>
      <c r="AA43" s="47">
        <f>+'ACADEMIC SUPP 4yr'!AA43+'STU SERVICES 4yr'!AA43+'INST SUPPORT 4yr'!AA43</f>
        <v>1402584.537</v>
      </c>
      <c r="AB43" s="47">
        <f>+'ACADEMIC SUPP 4yr'!AB43+'STU SERVICES 4yr'!AB43+'INST SUPPORT 4yr'!AB43</f>
        <v>1480572.3149999999</v>
      </c>
      <c r="AC43" s="47">
        <f>+'ACADEMIC SUPP 4yr'!AC43+'STU SERVICES 4yr'!AC43+'INST SUPPORT 4yr'!AC43</f>
        <v>1498653.709</v>
      </c>
      <c r="AD43" s="47">
        <f>+'ACADEMIC SUPP 4yr'!AD43+'STU SERVICES 4yr'!AD43+'INST SUPPORT 4yr'!AD43</f>
        <v>0</v>
      </c>
      <c r="AE43" s="47">
        <f>+'ACADEMIC SUPP 4yr'!AE43+'STU SERVICES 4yr'!AE43+'INST SUPPORT 4yr'!AE43</f>
        <v>1854024.077</v>
      </c>
    </row>
    <row r="44" spans="1:31">
      <c r="A44" s="1" t="s">
        <v>59</v>
      </c>
      <c r="B44" s="47">
        <f>+'ACADEMIC SUPP 4yr'!B44+'STU SERVICES 4yr'!B44+'INST SUPPORT 4yr'!B44</f>
        <v>0</v>
      </c>
      <c r="C44" s="47">
        <f>+'ACADEMIC SUPP 4yr'!C44+'STU SERVICES 4yr'!C44+'INST SUPPORT 4yr'!C44</f>
        <v>0</v>
      </c>
      <c r="D44" s="47">
        <f>+'ACADEMIC SUPP 4yr'!D44+'STU SERVICES 4yr'!D44+'INST SUPPORT 4yr'!D44</f>
        <v>0</v>
      </c>
      <c r="E44" s="47">
        <f>+'ACADEMIC SUPP 4yr'!E44+'STU SERVICES 4yr'!E44+'INST SUPPORT 4yr'!E44</f>
        <v>0</v>
      </c>
      <c r="F44" s="47">
        <f>+'ACADEMIC SUPP 4yr'!F44+'STU SERVICES 4yr'!F44+'INST SUPPORT 4yr'!F44</f>
        <v>174696.17099999997</v>
      </c>
      <c r="G44" s="47">
        <f>+'ACADEMIC SUPP 4yr'!G44+'STU SERVICES 4yr'!G44+'INST SUPPORT 4yr'!G44</f>
        <v>0</v>
      </c>
      <c r="H44" s="47">
        <f>+'ACADEMIC SUPP 4yr'!H44+'STU SERVICES 4yr'!H44+'INST SUPPORT 4yr'!H44</f>
        <v>0</v>
      </c>
      <c r="I44" s="47">
        <f>+'ACADEMIC SUPP 4yr'!I44+'STU SERVICES 4yr'!I44+'INST SUPPORT 4yr'!I44</f>
        <v>210270.32199999999</v>
      </c>
      <c r="J44" s="47">
        <f>+'ACADEMIC SUPP 4yr'!J44+'STU SERVICES 4yr'!J44+'INST SUPPORT 4yr'!J44</f>
        <v>0</v>
      </c>
      <c r="K44" s="47">
        <f>+'ACADEMIC SUPP 4yr'!K44+'STU SERVICES 4yr'!K44+'INST SUPPORT 4yr'!K44</f>
        <v>234962.033</v>
      </c>
      <c r="L44" s="47">
        <f>+'ACADEMIC SUPP 4yr'!L44+'STU SERVICES 4yr'!L44+'INST SUPPORT 4yr'!L44</f>
        <v>280345.41899999999</v>
      </c>
      <c r="M44" s="47">
        <f>+'ACADEMIC SUPP 4yr'!M44+'STU SERVICES 4yr'!M44+'INST SUPPORT 4yr'!M44</f>
        <v>318284.755</v>
      </c>
      <c r="N44" s="47">
        <f>+'ACADEMIC SUPP 4yr'!N44+'STU SERVICES 4yr'!N44+'INST SUPPORT 4yr'!N44</f>
        <v>290589.61</v>
      </c>
      <c r="O44" s="47">
        <f>+'ACADEMIC SUPP 4yr'!O44+'STU SERVICES 4yr'!O44+'INST SUPPORT 4yr'!O44</f>
        <v>322073.47700000001</v>
      </c>
      <c r="P44" s="47">
        <f>+'ACADEMIC SUPP 4yr'!P44+'STU SERVICES 4yr'!P44+'INST SUPPORT 4yr'!P44</f>
        <v>326769.47499999998</v>
      </c>
      <c r="Q44" s="47">
        <f>+'ACADEMIC SUPP 4yr'!Q44+'STU SERVICES 4yr'!Q44+'INST SUPPORT 4yr'!Q44</f>
        <v>341162.29099999997</v>
      </c>
      <c r="R44" s="47">
        <f>+'ACADEMIC SUPP 4yr'!R44+'STU SERVICES 4yr'!R44+'INST SUPPORT 4yr'!R44</f>
        <v>356097.36200000002</v>
      </c>
      <c r="S44" s="47">
        <f>+'ACADEMIC SUPP 4yr'!S44+'STU SERVICES 4yr'!S44+'INST SUPPORT 4yr'!S44</f>
        <v>385458.745</v>
      </c>
      <c r="T44" s="47">
        <f>+'ACADEMIC SUPP 4yr'!T44+'STU SERVICES 4yr'!T44+'INST SUPPORT 4yr'!T44</f>
        <v>416740.84600000002</v>
      </c>
      <c r="U44" s="47">
        <f>+'ACADEMIC SUPP 4yr'!U44+'STU SERVICES 4yr'!U44+'INST SUPPORT 4yr'!U44</f>
        <v>473226.44700000004</v>
      </c>
      <c r="V44" s="47">
        <f>+'ACADEMIC SUPP 4yr'!V44+'STU SERVICES 4yr'!V44+'INST SUPPORT 4yr'!V44</f>
        <v>554448.66300000006</v>
      </c>
      <c r="W44" s="47">
        <f>+'ACADEMIC SUPP 4yr'!W44+'STU SERVICES 4yr'!W44+'INST SUPPORT 4yr'!W44</f>
        <v>541335.06000000006</v>
      </c>
      <c r="X44" s="47">
        <f>+'ACADEMIC SUPP 4yr'!X44+'STU SERVICES 4yr'!X44+'INST SUPPORT 4yr'!X44</f>
        <v>571246.95199999993</v>
      </c>
      <c r="Y44" s="47">
        <f>+'ACADEMIC SUPP 4yr'!Y44+'STU SERVICES 4yr'!Y44+'INST SUPPORT 4yr'!Y44</f>
        <v>635164.68900000001</v>
      </c>
      <c r="Z44" s="47">
        <f>+'ACADEMIC SUPP 4yr'!Z44+'STU SERVICES 4yr'!Z44+'INST SUPPORT 4yr'!Z44</f>
        <v>637641.06299999997</v>
      </c>
      <c r="AA44" s="47">
        <f>+'ACADEMIC SUPP 4yr'!AA44+'STU SERVICES 4yr'!AA44+'INST SUPPORT 4yr'!AA44</f>
        <v>693260.32799999998</v>
      </c>
      <c r="AB44" s="47">
        <f>+'ACADEMIC SUPP 4yr'!AB44+'STU SERVICES 4yr'!AB44+'INST SUPPORT 4yr'!AB44</f>
        <v>643921.92500000005</v>
      </c>
      <c r="AC44" s="47">
        <f>+'ACADEMIC SUPP 4yr'!AC44+'STU SERVICES 4yr'!AC44+'INST SUPPORT 4yr'!AC44</f>
        <v>693434.05799999996</v>
      </c>
      <c r="AD44" s="47">
        <f>+'ACADEMIC SUPP 4yr'!AD44+'STU SERVICES 4yr'!AD44+'INST SUPPORT 4yr'!AD44</f>
        <v>0</v>
      </c>
      <c r="AE44" s="47">
        <f>+'ACADEMIC SUPP 4yr'!AE44+'STU SERVICES 4yr'!AE44+'INST SUPPORT 4yr'!AE44</f>
        <v>724309.62899999996</v>
      </c>
    </row>
    <row r="45" spans="1:31">
      <c r="A45" s="1" t="s">
        <v>60</v>
      </c>
      <c r="B45" s="47">
        <f>+'ACADEMIC SUPP 4yr'!B45+'STU SERVICES 4yr'!B45+'INST SUPPORT 4yr'!B45</f>
        <v>0</v>
      </c>
      <c r="C45" s="47">
        <f>+'ACADEMIC SUPP 4yr'!C45+'STU SERVICES 4yr'!C45+'INST SUPPORT 4yr'!C45</f>
        <v>0</v>
      </c>
      <c r="D45" s="47">
        <f>+'ACADEMIC SUPP 4yr'!D45+'STU SERVICES 4yr'!D45+'INST SUPPORT 4yr'!D45</f>
        <v>0</v>
      </c>
      <c r="E45" s="47">
        <f>+'ACADEMIC SUPP 4yr'!E45+'STU SERVICES 4yr'!E45+'INST SUPPORT 4yr'!E45</f>
        <v>0</v>
      </c>
      <c r="F45" s="47">
        <f>+'ACADEMIC SUPP 4yr'!F45+'STU SERVICES 4yr'!F45+'INST SUPPORT 4yr'!F45</f>
        <v>180654.15400000001</v>
      </c>
      <c r="G45" s="47">
        <f>+'ACADEMIC SUPP 4yr'!G45+'STU SERVICES 4yr'!G45+'INST SUPPORT 4yr'!G45</f>
        <v>0</v>
      </c>
      <c r="H45" s="47">
        <f>+'ACADEMIC SUPP 4yr'!H45+'STU SERVICES 4yr'!H45+'INST SUPPORT 4yr'!H45</f>
        <v>0</v>
      </c>
      <c r="I45" s="47">
        <f>+'ACADEMIC SUPP 4yr'!I45+'STU SERVICES 4yr'!I45+'INST SUPPORT 4yr'!I45</f>
        <v>215351.424</v>
      </c>
      <c r="J45" s="47">
        <f>+'ACADEMIC SUPP 4yr'!J45+'STU SERVICES 4yr'!J45+'INST SUPPORT 4yr'!J45</f>
        <v>0</v>
      </c>
      <c r="K45" s="47">
        <f>+'ACADEMIC SUPP 4yr'!K45+'STU SERVICES 4yr'!K45+'INST SUPPORT 4yr'!K45</f>
        <v>232622.95598999999</v>
      </c>
      <c r="L45" s="47">
        <f>+'ACADEMIC SUPP 4yr'!L45+'STU SERVICES 4yr'!L45+'INST SUPPORT 4yr'!L45</f>
        <v>290345.66100000002</v>
      </c>
      <c r="M45" s="47">
        <f>+'ACADEMIC SUPP 4yr'!M45+'STU SERVICES 4yr'!M45+'INST SUPPORT 4yr'!M45</f>
        <v>287519.13199999998</v>
      </c>
      <c r="N45" s="47">
        <f>+'ACADEMIC SUPP 4yr'!N45+'STU SERVICES 4yr'!N45+'INST SUPPORT 4yr'!N45</f>
        <v>318318.96100000001</v>
      </c>
      <c r="O45" s="47">
        <f>+'ACADEMIC SUPP 4yr'!O45+'STU SERVICES 4yr'!O45+'INST SUPPORT 4yr'!O45</f>
        <v>313825.90100000001</v>
      </c>
      <c r="P45" s="47">
        <f>+'ACADEMIC SUPP 4yr'!P45+'STU SERVICES 4yr'!P45+'INST SUPPORT 4yr'!P45</f>
        <v>314666.06900000002</v>
      </c>
      <c r="Q45" s="47">
        <f>+'ACADEMIC SUPP 4yr'!Q45+'STU SERVICES 4yr'!Q45+'INST SUPPORT 4yr'!Q45</f>
        <v>340303.55600000004</v>
      </c>
      <c r="R45" s="47">
        <f>+'ACADEMIC SUPP 4yr'!R45+'STU SERVICES 4yr'!R45+'INST SUPPORT 4yr'!R45</f>
        <v>361318.288</v>
      </c>
      <c r="S45" s="47">
        <f>+'ACADEMIC SUPP 4yr'!S45+'STU SERVICES 4yr'!S45+'INST SUPPORT 4yr'!S45</f>
        <v>377805.78200000001</v>
      </c>
      <c r="T45" s="47">
        <f>+'ACADEMIC SUPP 4yr'!T45+'STU SERVICES 4yr'!T45+'INST SUPPORT 4yr'!T45</f>
        <v>415693.94199999998</v>
      </c>
      <c r="U45" s="47">
        <f>+'ACADEMIC SUPP 4yr'!U45+'STU SERVICES 4yr'!U45+'INST SUPPORT 4yr'!U45</f>
        <v>456860.82399999996</v>
      </c>
      <c r="V45" s="47">
        <f>+'ACADEMIC SUPP 4yr'!V45+'STU SERVICES 4yr'!V45+'INST SUPPORT 4yr'!V45</f>
        <v>515919.95600000001</v>
      </c>
      <c r="W45" s="47">
        <f>+'ACADEMIC SUPP 4yr'!W45+'STU SERVICES 4yr'!W45+'INST SUPPORT 4yr'!W45</f>
        <v>547154.24100000004</v>
      </c>
      <c r="X45" s="47">
        <f>+'ACADEMIC SUPP 4yr'!X45+'STU SERVICES 4yr'!X45+'INST SUPPORT 4yr'!X45</f>
        <v>584296.22600000002</v>
      </c>
      <c r="Y45" s="47">
        <f>+'ACADEMIC SUPP 4yr'!Y45+'STU SERVICES 4yr'!Y45+'INST SUPPORT 4yr'!Y45</f>
        <v>553480.79399999999</v>
      </c>
      <c r="Z45" s="47">
        <f>+'ACADEMIC SUPP 4yr'!Z45+'STU SERVICES 4yr'!Z45+'INST SUPPORT 4yr'!Z45</f>
        <v>578914.10400000005</v>
      </c>
      <c r="AA45" s="47">
        <f>+'ACADEMIC SUPP 4yr'!AA45+'STU SERVICES 4yr'!AA45+'INST SUPPORT 4yr'!AA45</f>
        <v>603922.97900000005</v>
      </c>
      <c r="AB45" s="47">
        <f>+'ACADEMIC SUPP 4yr'!AB45+'STU SERVICES 4yr'!AB45+'INST SUPPORT 4yr'!AB45</f>
        <v>547968.94400000002</v>
      </c>
      <c r="AC45" s="47">
        <f>+'ACADEMIC SUPP 4yr'!AC45+'STU SERVICES 4yr'!AC45+'INST SUPPORT 4yr'!AC45</f>
        <v>549447.74399999995</v>
      </c>
      <c r="AD45" s="47">
        <f>+'ACADEMIC SUPP 4yr'!AD45+'STU SERVICES 4yr'!AD45+'INST SUPPORT 4yr'!AD45</f>
        <v>0</v>
      </c>
      <c r="AE45" s="47">
        <f>+'ACADEMIC SUPP 4yr'!AE45+'STU SERVICES 4yr'!AE45+'INST SUPPORT 4yr'!AE45</f>
        <v>611433.34499999997</v>
      </c>
    </row>
    <row r="46" spans="1:31">
      <c r="A46" s="1" t="s">
        <v>61</v>
      </c>
      <c r="B46" s="47">
        <f>+'ACADEMIC SUPP 4yr'!B46+'STU SERVICES 4yr'!B46+'INST SUPPORT 4yr'!B46</f>
        <v>0</v>
      </c>
      <c r="C46" s="47">
        <f>+'ACADEMIC SUPP 4yr'!C46+'STU SERVICES 4yr'!C46+'INST SUPPORT 4yr'!C46</f>
        <v>0</v>
      </c>
      <c r="D46" s="47">
        <f>+'ACADEMIC SUPP 4yr'!D46+'STU SERVICES 4yr'!D46+'INST SUPPORT 4yr'!D46</f>
        <v>0</v>
      </c>
      <c r="E46" s="47">
        <f>+'ACADEMIC SUPP 4yr'!E46+'STU SERVICES 4yr'!E46+'INST SUPPORT 4yr'!E46</f>
        <v>0</v>
      </c>
      <c r="F46" s="47">
        <f>+'ACADEMIC SUPP 4yr'!F46+'STU SERVICES 4yr'!F46+'INST SUPPORT 4yr'!F46</f>
        <v>664410.77099999995</v>
      </c>
      <c r="G46" s="47">
        <f>+'ACADEMIC SUPP 4yr'!G46+'STU SERVICES 4yr'!G46+'INST SUPPORT 4yr'!G46</f>
        <v>0</v>
      </c>
      <c r="H46" s="47">
        <f>+'ACADEMIC SUPP 4yr'!H46+'STU SERVICES 4yr'!H46+'INST SUPPORT 4yr'!H46</f>
        <v>0</v>
      </c>
      <c r="I46" s="47">
        <f>+'ACADEMIC SUPP 4yr'!I46+'STU SERVICES 4yr'!I46+'INST SUPPORT 4yr'!I46</f>
        <v>737925.68599999999</v>
      </c>
      <c r="J46" s="47">
        <f>+'ACADEMIC SUPP 4yr'!J46+'STU SERVICES 4yr'!J46+'INST SUPPORT 4yr'!J46</f>
        <v>0</v>
      </c>
      <c r="K46" s="47">
        <f>+'ACADEMIC SUPP 4yr'!K46+'STU SERVICES 4yr'!K46+'INST SUPPORT 4yr'!K46</f>
        <v>830118.21600000001</v>
      </c>
      <c r="L46" s="47">
        <f>+'ACADEMIC SUPP 4yr'!L46+'STU SERVICES 4yr'!L46+'INST SUPPORT 4yr'!L46</f>
        <v>1008783.883</v>
      </c>
      <c r="M46" s="47">
        <f>+'ACADEMIC SUPP 4yr'!M46+'STU SERVICES 4yr'!M46+'INST SUPPORT 4yr'!M46</f>
        <v>1096029.1839999999</v>
      </c>
      <c r="N46" s="47">
        <f>+'ACADEMIC SUPP 4yr'!N46+'STU SERVICES 4yr'!N46+'INST SUPPORT 4yr'!N46</f>
        <v>1056977.091</v>
      </c>
      <c r="O46" s="47">
        <f>+'ACADEMIC SUPP 4yr'!O46+'STU SERVICES 4yr'!O46+'INST SUPPORT 4yr'!O46</f>
        <v>1095878.4350000001</v>
      </c>
      <c r="P46" s="47">
        <f>+'ACADEMIC SUPP 4yr'!P46+'STU SERVICES 4yr'!P46+'INST SUPPORT 4yr'!P46</f>
        <v>1076451.7319999998</v>
      </c>
      <c r="Q46" s="47">
        <f>+'ACADEMIC SUPP 4yr'!Q46+'STU SERVICES 4yr'!Q46+'INST SUPPORT 4yr'!Q46</f>
        <v>1115016.7509999999</v>
      </c>
      <c r="R46" s="47">
        <f>+'ACADEMIC SUPP 4yr'!R46+'STU SERVICES 4yr'!R46+'INST SUPPORT 4yr'!R46</f>
        <v>1180547.7220000001</v>
      </c>
      <c r="S46" s="47">
        <f>+'ACADEMIC SUPP 4yr'!S46+'STU SERVICES 4yr'!S46+'INST SUPPORT 4yr'!S46</f>
        <v>1218923.3799999999</v>
      </c>
      <c r="T46" s="47">
        <f>+'ACADEMIC SUPP 4yr'!T46+'STU SERVICES 4yr'!T46+'INST SUPPORT 4yr'!T46</f>
        <v>1622552.4959999998</v>
      </c>
      <c r="U46" s="47">
        <f>+'ACADEMIC SUPP 4yr'!U46+'STU SERVICES 4yr'!U46+'INST SUPPORT 4yr'!U46</f>
        <v>1733723.3289999999</v>
      </c>
      <c r="V46" s="47">
        <f>+'ACADEMIC SUPP 4yr'!V46+'STU SERVICES 4yr'!V46+'INST SUPPORT 4yr'!V46</f>
        <v>1795934.4350000001</v>
      </c>
      <c r="W46" s="47">
        <f>+'ACADEMIC SUPP 4yr'!W46+'STU SERVICES 4yr'!W46+'INST SUPPORT 4yr'!W46</f>
        <v>1822567.15</v>
      </c>
      <c r="X46" s="47">
        <f>+'ACADEMIC SUPP 4yr'!X46+'STU SERVICES 4yr'!X46+'INST SUPPORT 4yr'!X46</f>
        <v>1918149.9300000002</v>
      </c>
      <c r="Y46" s="47">
        <f>+'ACADEMIC SUPP 4yr'!Y46+'STU SERVICES 4yr'!Y46+'INST SUPPORT 4yr'!Y46</f>
        <v>1989130.4270000001</v>
      </c>
      <c r="Z46" s="47">
        <f>+'ACADEMIC SUPP 4yr'!Z46+'STU SERVICES 4yr'!Z46+'INST SUPPORT 4yr'!Z46</f>
        <v>2063417.5750000002</v>
      </c>
      <c r="AA46" s="47">
        <f>+'ACADEMIC SUPP 4yr'!AA46+'STU SERVICES 4yr'!AA46+'INST SUPPORT 4yr'!AA46</f>
        <v>2177279.9720000001</v>
      </c>
      <c r="AB46" s="47">
        <f>+'ACADEMIC SUPP 4yr'!AB46+'STU SERVICES 4yr'!AB46+'INST SUPPORT 4yr'!AB46</f>
        <v>2215475.6359999999</v>
      </c>
      <c r="AC46" s="47">
        <f>+'ACADEMIC SUPP 4yr'!AC46+'STU SERVICES 4yr'!AC46+'INST SUPPORT 4yr'!AC46</f>
        <v>2285235.4079999998</v>
      </c>
      <c r="AD46" s="47">
        <f>+'ACADEMIC SUPP 4yr'!AD46+'STU SERVICES 4yr'!AD46+'INST SUPPORT 4yr'!AD46</f>
        <v>0</v>
      </c>
      <c r="AE46" s="47">
        <f>+'ACADEMIC SUPP 4yr'!AE46+'STU SERVICES 4yr'!AE46+'INST SUPPORT 4yr'!AE46</f>
        <v>2542181.5290000001</v>
      </c>
    </row>
    <row r="47" spans="1:31">
      <c r="A47" s="1" t="s">
        <v>62</v>
      </c>
      <c r="B47" s="47">
        <f>+'ACADEMIC SUPP 4yr'!B47+'STU SERVICES 4yr'!B47+'INST SUPPORT 4yr'!B47</f>
        <v>0</v>
      </c>
      <c r="C47" s="47">
        <f>+'ACADEMIC SUPP 4yr'!C47+'STU SERVICES 4yr'!C47+'INST SUPPORT 4yr'!C47</f>
        <v>0</v>
      </c>
      <c r="D47" s="47">
        <f>+'ACADEMIC SUPP 4yr'!D47+'STU SERVICES 4yr'!D47+'INST SUPPORT 4yr'!D47</f>
        <v>0</v>
      </c>
      <c r="E47" s="47">
        <f>+'ACADEMIC SUPP 4yr'!E47+'STU SERVICES 4yr'!E47+'INST SUPPORT 4yr'!E47</f>
        <v>0</v>
      </c>
      <c r="F47" s="47">
        <f>+'ACADEMIC SUPP 4yr'!F47+'STU SERVICES 4yr'!F47+'INST SUPPORT 4yr'!F47</f>
        <v>332485.16099999996</v>
      </c>
      <c r="G47" s="47">
        <f>+'ACADEMIC SUPP 4yr'!G47+'STU SERVICES 4yr'!G47+'INST SUPPORT 4yr'!G47</f>
        <v>0</v>
      </c>
      <c r="H47" s="47">
        <f>+'ACADEMIC SUPP 4yr'!H47+'STU SERVICES 4yr'!H47+'INST SUPPORT 4yr'!H47</f>
        <v>0</v>
      </c>
      <c r="I47" s="47">
        <f>+'ACADEMIC SUPP 4yr'!I47+'STU SERVICES 4yr'!I47+'INST SUPPORT 4yr'!I47</f>
        <v>398945.63100000005</v>
      </c>
      <c r="J47" s="47">
        <f>+'ACADEMIC SUPP 4yr'!J47+'STU SERVICES 4yr'!J47+'INST SUPPORT 4yr'!J47</f>
        <v>0</v>
      </c>
      <c r="K47" s="47">
        <f>+'ACADEMIC SUPP 4yr'!K47+'STU SERVICES 4yr'!K47+'INST SUPPORT 4yr'!K47</f>
        <v>430675.7</v>
      </c>
      <c r="L47" s="47">
        <f>+'ACADEMIC SUPP 4yr'!L47+'STU SERVICES 4yr'!L47+'INST SUPPORT 4yr'!L47</f>
        <v>587514.16099999996</v>
      </c>
      <c r="M47" s="47">
        <f>+'ACADEMIC SUPP 4yr'!M47+'STU SERVICES 4yr'!M47+'INST SUPPORT 4yr'!M47</f>
        <v>586031.80200000003</v>
      </c>
      <c r="N47" s="47">
        <f>+'ACADEMIC SUPP 4yr'!N47+'STU SERVICES 4yr'!N47+'INST SUPPORT 4yr'!N47</f>
        <v>605153.70299999998</v>
      </c>
      <c r="O47" s="47">
        <f>+'ACADEMIC SUPP 4yr'!O47+'STU SERVICES 4yr'!O47+'INST SUPPORT 4yr'!O47</f>
        <v>643100.41999999993</v>
      </c>
      <c r="P47" s="47">
        <f>+'ACADEMIC SUPP 4yr'!P47+'STU SERVICES 4yr'!P47+'INST SUPPORT 4yr'!P47</f>
        <v>632060.83799999999</v>
      </c>
      <c r="Q47" s="47">
        <f>+'ACADEMIC SUPP 4yr'!Q47+'STU SERVICES 4yr'!Q47+'INST SUPPORT 4yr'!Q47</f>
        <v>653615.70699999994</v>
      </c>
      <c r="R47" s="47">
        <f>+'ACADEMIC SUPP 4yr'!R47+'STU SERVICES 4yr'!R47+'INST SUPPORT 4yr'!R47</f>
        <v>719529.62</v>
      </c>
      <c r="S47" s="47">
        <f>+'ACADEMIC SUPP 4yr'!S47+'STU SERVICES 4yr'!S47+'INST SUPPORT 4yr'!S47</f>
        <v>810783.11499999999</v>
      </c>
      <c r="T47" s="47">
        <f>+'ACADEMIC SUPP 4yr'!T47+'STU SERVICES 4yr'!T47+'INST SUPPORT 4yr'!T47</f>
        <v>868481.06099999999</v>
      </c>
      <c r="U47" s="47">
        <f>+'ACADEMIC SUPP 4yr'!U47+'STU SERVICES 4yr'!U47+'INST SUPPORT 4yr'!U47</f>
        <v>1115637.632</v>
      </c>
      <c r="V47" s="47">
        <f>+'ACADEMIC SUPP 4yr'!V47+'STU SERVICES 4yr'!V47+'INST SUPPORT 4yr'!V47</f>
        <v>1131814.693</v>
      </c>
      <c r="W47" s="47">
        <f>+'ACADEMIC SUPP 4yr'!W47+'STU SERVICES 4yr'!W47+'INST SUPPORT 4yr'!W47</f>
        <v>1096174.6259999999</v>
      </c>
      <c r="X47" s="47">
        <f>+'ACADEMIC SUPP 4yr'!X47+'STU SERVICES 4yr'!X47+'INST SUPPORT 4yr'!X47</f>
        <v>1103275.111</v>
      </c>
      <c r="Y47" s="47">
        <f>+'ACADEMIC SUPP 4yr'!Y47+'STU SERVICES 4yr'!Y47+'INST SUPPORT 4yr'!Y47</f>
        <v>1140495.03</v>
      </c>
      <c r="Z47" s="47">
        <f>+'ACADEMIC SUPP 4yr'!Z47+'STU SERVICES 4yr'!Z47+'INST SUPPORT 4yr'!Z47</f>
        <v>1264082.611</v>
      </c>
      <c r="AA47" s="47">
        <f>+'ACADEMIC SUPP 4yr'!AA47+'STU SERVICES 4yr'!AA47+'INST SUPPORT 4yr'!AA47</f>
        <v>1233554.6569999999</v>
      </c>
      <c r="AB47" s="47">
        <f>+'ACADEMIC SUPP 4yr'!AB47+'STU SERVICES 4yr'!AB47+'INST SUPPORT 4yr'!AB47</f>
        <v>1263021.389</v>
      </c>
      <c r="AC47" s="47">
        <f>+'ACADEMIC SUPP 4yr'!AC47+'STU SERVICES 4yr'!AC47+'INST SUPPORT 4yr'!AC47</f>
        <v>1317466.5829999999</v>
      </c>
      <c r="AD47" s="47">
        <f>+'ACADEMIC SUPP 4yr'!AD47+'STU SERVICES 4yr'!AD47+'INST SUPPORT 4yr'!AD47</f>
        <v>0</v>
      </c>
      <c r="AE47" s="47">
        <f>+'ACADEMIC SUPP 4yr'!AE47+'STU SERVICES 4yr'!AE47+'INST SUPPORT 4yr'!AE47</f>
        <v>1404419.0389999999</v>
      </c>
    </row>
    <row r="48" spans="1:31">
      <c r="A48" s="1" t="s">
        <v>63</v>
      </c>
      <c r="B48" s="47">
        <f>+'ACADEMIC SUPP 4yr'!B48+'STU SERVICES 4yr'!B48+'INST SUPPORT 4yr'!B48</f>
        <v>0</v>
      </c>
      <c r="C48" s="47">
        <f>+'ACADEMIC SUPP 4yr'!C48+'STU SERVICES 4yr'!C48+'INST SUPPORT 4yr'!C48</f>
        <v>0</v>
      </c>
      <c r="D48" s="47">
        <f>+'ACADEMIC SUPP 4yr'!D48+'STU SERVICES 4yr'!D48+'INST SUPPORT 4yr'!D48</f>
        <v>0</v>
      </c>
      <c r="E48" s="47">
        <f>+'ACADEMIC SUPP 4yr'!E48+'STU SERVICES 4yr'!E48+'INST SUPPORT 4yr'!E48</f>
        <v>0</v>
      </c>
      <c r="F48" s="47">
        <f>+'ACADEMIC SUPP 4yr'!F48+'STU SERVICES 4yr'!F48+'INST SUPPORT 4yr'!F48</f>
        <v>218127.74700000003</v>
      </c>
      <c r="G48" s="47">
        <f>+'ACADEMIC SUPP 4yr'!G48+'STU SERVICES 4yr'!G48+'INST SUPPORT 4yr'!G48</f>
        <v>0</v>
      </c>
      <c r="H48" s="47">
        <f>+'ACADEMIC SUPP 4yr'!H48+'STU SERVICES 4yr'!H48+'INST SUPPORT 4yr'!H48</f>
        <v>0</v>
      </c>
      <c r="I48" s="47">
        <f>+'ACADEMIC SUPP 4yr'!I48+'STU SERVICES 4yr'!I48+'INST SUPPORT 4yr'!I48</f>
        <v>263624.38199999998</v>
      </c>
      <c r="J48" s="47">
        <f>+'ACADEMIC SUPP 4yr'!J48+'STU SERVICES 4yr'!J48+'INST SUPPORT 4yr'!J48</f>
        <v>0</v>
      </c>
      <c r="K48" s="47">
        <f>+'ACADEMIC SUPP 4yr'!K48+'STU SERVICES 4yr'!K48+'INST SUPPORT 4yr'!K48</f>
        <v>323358.89899999998</v>
      </c>
      <c r="L48" s="47">
        <f>+'ACADEMIC SUPP 4yr'!L48+'STU SERVICES 4yr'!L48+'INST SUPPORT 4yr'!L48</f>
        <v>360631.54600000003</v>
      </c>
      <c r="M48" s="47">
        <f>+'ACADEMIC SUPP 4yr'!M48+'STU SERVICES 4yr'!M48+'INST SUPPORT 4yr'!M48</f>
        <v>511748.91099999996</v>
      </c>
      <c r="N48" s="47">
        <f>+'ACADEMIC SUPP 4yr'!N48+'STU SERVICES 4yr'!N48+'INST SUPPORT 4yr'!N48</f>
        <v>397072.45300000004</v>
      </c>
      <c r="O48" s="47">
        <f>+'ACADEMIC SUPP 4yr'!O48+'STU SERVICES 4yr'!O48+'INST SUPPORT 4yr'!O48</f>
        <v>378191.97200000007</v>
      </c>
      <c r="P48" s="47">
        <f>+'ACADEMIC SUPP 4yr'!P48+'STU SERVICES 4yr'!P48+'INST SUPPORT 4yr'!P48</f>
        <v>412750.88</v>
      </c>
      <c r="Q48" s="47">
        <f>+'ACADEMIC SUPP 4yr'!Q48+'STU SERVICES 4yr'!Q48+'INST SUPPORT 4yr'!Q48</f>
        <v>445123.67500000005</v>
      </c>
      <c r="R48" s="47">
        <f>+'ACADEMIC SUPP 4yr'!R48+'STU SERVICES 4yr'!R48+'INST SUPPORT 4yr'!R48</f>
        <v>450697.34700000001</v>
      </c>
      <c r="S48" s="47">
        <f>+'ACADEMIC SUPP 4yr'!S48+'STU SERVICES 4yr'!S48+'INST SUPPORT 4yr'!S48</f>
        <v>454026.76300000004</v>
      </c>
      <c r="T48" s="47">
        <f>+'ACADEMIC SUPP 4yr'!T48+'STU SERVICES 4yr'!T48+'INST SUPPORT 4yr'!T48</f>
        <v>511633.26300000004</v>
      </c>
      <c r="U48" s="47">
        <f>+'ACADEMIC SUPP 4yr'!U48+'STU SERVICES 4yr'!U48+'INST SUPPORT 4yr'!U48</f>
        <v>529049.902</v>
      </c>
      <c r="V48" s="47">
        <f>+'ACADEMIC SUPP 4yr'!V48+'STU SERVICES 4yr'!V48+'INST SUPPORT 4yr'!V48</f>
        <v>546913.60499999998</v>
      </c>
      <c r="W48" s="47">
        <f>+'ACADEMIC SUPP 4yr'!W48+'STU SERVICES 4yr'!W48+'INST SUPPORT 4yr'!W48</f>
        <v>590797.56099999999</v>
      </c>
      <c r="X48" s="47">
        <f>+'ACADEMIC SUPP 4yr'!X48+'STU SERVICES 4yr'!X48+'INST SUPPORT 4yr'!X48</f>
        <v>624922.43299999996</v>
      </c>
      <c r="Y48" s="47">
        <f>+'ACADEMIC SUPP 4yr'!Y48+'STU SERVICES 4yr'!Y48+'INST SUPPORT 4yr'!Y48</f>
        <v>621704.81200000003</v>
      </c>
      <c r="Z48" s="47">
        <f>+'ACADEMIC SUPP 4yr'!Z48+'STU SERVICES 4yr'!Z48+'INST SUPPORT 4yr'!Z48</f>
        <v>659827.43900000001</v>
      </c>
      <c r="AA48" s="47">
        <f>+'ACADEMIC SUPP 4yr'!AA48+'STU SERVICES 4yr'!AA48+'INST SUPPORT 4yr'!AA48</f>
        <v>704131.31499999994</v>
      </c>
      <c r="AB48" s="47">
        <f>+'ACADEMIC SUPP 4yr'!AB48+'STU SERVICES 4yr'!AB48+'INST SUPPORT 4yr'!AB48</f>
        <v>736053.66399999999</v>
      </c>
      <c r="AC48" s="47">
        <f>+'ACADEMIC SUPP 4yr'!AC48+'STU SERVICES 4yr'!AC48+'INST SUPPORT 4yr'!AC48</f>
        <v>732419.65599999996</v>
      </c>
      <c r="AD48" s="47">
        <f>+'ACADEMIC SUPP 4yr'!AD48+'STU SERVICES 4yr'!AD48+'INST SUPPORT 4yr'!AD48</f>
        <v>0</v>
      </c>
      <c r="AE48" s="47">
        <f>+'ACADEMIC SUPP 4yr'!AE48+'STU SERVICES 4yr'!AE48+'INST SUPPORT 4yr'!AE48</f>
        <v>709761.06699999992</v>
      </c>
    </row>
    <row r="49" spans="1:31">
      <c r="A49" s="1" t="s">
        <v>64</v>
      </c>
      <c r="B49" s="47">
        <f>+'ACADEMIC SUPP 4yr'!B49+'STU SERVICES 4yr'!B49+'INST SUPPORT 4yr'!B49</f>
        <v>0</v>
      </c>
      <c r="C49" s="47">
        <f>+'ACADEMIC SUPP 4yr'!C49+'STU SERVICES 4yr'!C49+'INST SUPPORT 4yr'!C49</f>
        <v>0</v>
      </c>
      <c r="D49" s="47">
        <f>+'ACADEMIC SUPP 4yr'!D49+'STU SERVICES 4yr'!D49+'INST SUPPORT 4yr'!D49</f>
        <v>0</v>
      </c>
      <c r="E49" s="47">
        <f>+'ACADEMIC SUPP 4yr'!E49+'STU SERVICES 4yr'!E49+'INST SUPPORT 4yr'!E49</f>
        <v>0</v>
      </c>
      <c r="F49" s="47">
        <f>+'ACADEMIC SUPP 4yr'!F49+'STU SERVICES 4yr'!F49+'INST SUPPORT 4yr'!F49</f>
        <v>111719.201</v>
      </c>
      <c r="G49" s="47">
        <f>+'ACADEMIC SUPP 4yr'!G49+'STU SERVICES 4yr'!G49+'INST SUPPORT 4yr'!G49</f>
        <v>0</v>
      </c>
      <c r="H49" s="47">
        <f>+'ACADEMIC SUPP 4yr'!H49+'STU SERVICES 4yr'!H49+'INST SUPPORT 4yr'!H49</f>
        <v>0</v>
      </c>
      <c r="I49" s="47">
        <f>+'ACADEMIC SUPP 4yr'!I49+'STU SERVICES 4yr'!I49+'INST SUPPORT 4yr'!I49</f>
        <v>124821.448</v>
      </c>
      <c r="J49" s="47">
        <f>+'ACADEMIC SUPP 4yr'!J49+'STU SERVICES 4yr'!J49+'INST SUPPORT 4yr'!J49</f>
        <v>0</v>
      </c>
      <c r="K49" s="47">
        <f>+'ACADEMIC SUPP 4yr'!K49+'STU SERVICES 4yr'!K49+'INST SUPPORT 4yr'!K49</f>
        <v>146638.43599999999</v>
      </c>
      <c r="L49" s="47">
        <f>+'ACADEMIC SUPP 4yr'!L49+'STU SERVICES 4yr'!L49+'INST SUPPORT 4yr'!L49</f>
        <v>159091.79399999999</v>
      </c>
      <c r="M49" s="47">
        <f>+'ACADEMIC SUPP 4yr'!M49+'STU SERVICES 4yr'!M49+'INST SUPPORT 4yr'!M49</f>
        <v>168066.573</v>
      </c>
      <c r="N49" s="47">
        <f>+'ACADEMIC SUPP 4yr'!N49+'STU SERVICES 4yr'!N49+'INST SUPPORT 4yr'!N49</f>
        <v>177342.50299999997</v>
      </c>
      <c r="O49" s="47">
        <f>+'ACADEMIC SUPP 4yr'!O49+'STU SERVICES 4yr'!O49+'INST SUPPORT 4yr'!O49</f>
        <v>180574.50900000002</v>
      </c>
      <c r="P49" s="47">
        <f>+'ACADEMIC SUPP 4yr'!P49+'STU SERVICES 4yr'!P49+'INST SUPPORT 4yr'!P49</f>
        <v>186300.91600000003</v>
      </c>
      <c r="Q49" s="47">
        <f>+'ACADEMIC SUPP 4yr'!Q49+'STU SERVICES 4yr'!Q49+'INST SUPPORT 4yr'!Q49</f>
        <v>199702.022</v>
      </c>
      <c r="R49" s="47">
        <f>+'ACADEMIC SUPP 4yr'!R49+'STU SERVICES 4yr'!R49+'INST SUPPORT 4yr'!R49</f>
        <v>206826.25300000003</v>
      </c>
      <c r="S49" s="47">
        <f>+'ACADEMIC SUPP 4yr'!S49+'STU SERVICES 4yr'!S49+'INST SUPPORT 4yr'!S49</f>
        <v>214627.59500000003</v>
      </c>
      <c r="T49" s="47">
        <f>+'ACADEMIC SUPP 4yr'!T49+'STU SERVICES 4yr'!T49+'INST SUPPORT 4yr'!T49</f>
        <v>236209.85000000003</v>
      </c>
      <c r="U49" s="47">
        <f>+'ACADEMIC SUPP 4yr'!U49+'STU SERVICES 4yr'!U49+'INST SUPPORT 4yr'!U49</f>
        <v>192757.36300000001</v>
      </c>
      <c r="V49" s="47">
        <f>+'ACADEMIC SUPP 4yr'!V49+'STU SERVICES 4yr'!V49+'INST SUPPORT 4yr'!V49</f>
        <v>274664.09900000005</v>
      </c>
      <c r="W49" s="47">
        <f>+'ACADEMIC SUPP 4yr'!W49+'STU SERVICES 4yr'!W49+'INST SUPPORT 4yr'!W49</f>
        <v>297681.24300000002</v>
      </c>
      <c r="X49" s="47">
        <f>+'ACADEMIC SUPP 4yr'!X49+'STU SERVICES 4yr'!X49+'INST SUPPORT 4yr'!X49</f>
        <v>311923.10499999998</v>
      </c>
      <c r="Y49" s="47">
        <f>+'ACADEMIC SUPP 4yr'!Y49+'STU SERVICES 4yr'!Y49+'INST SUPPORT 4yr'!Y49</f>
        <v>318367.255</v>
      </c>
      <c r="Z49" s="47">
        <f>+'ACADEMIC SUPP 4yr'!Z49+'STU SERVICES 4yr'!Z49+'INST SUPPORT 4yr'!Z49</f>
        <v>333082.163</v>
      </c>
      <c r="AA49" s="47">
        <f>+'ACADEMIC SUPP 4yr'!AA49+'STU SERVICES 4yr'!AA49+'INST SUPPORT 4yr'!AA49</f>
        <v>360810.424</v>
      </c>
      <c r="AB49" s="47">
        <f>+'ACADEMIC SUPP 4yr'!AB49+'STU SERVICES 4yr'!AB49+'INST SUPPORT 4yr'!AB49</f>
        <v>359118.02899999998</v>
      </c>
      <c r="AC49" s="47">
        <f>+'ACADEMIC SUPP 4yr'!AC49+'STU SERVICES 4yr'!AC49+'INST SUPPORT 4yr'!AC49</f>
        <v>382684.06700000004</v>
      </c>
      <c r="AD49" s="47">
        <f>+'ACADEMIC SUPP 4yr'!AD49+'STU SERVICES 4yr'!AD49+'INST SUPPORT 4yr'!AD49</f>
        <v>0</v>
      </c>
      <c r="AE49" s="47">
        <f>+'ACADEMIC SUPP 4yr'!AE49+'STU SERVICES 4yr'!AE49+'INST SUPPORT 4yr'!AE49</f>
        <v>388888.16500000004</v>
      </c>
    </row>
    <row r="50" spans="1:31">
      <c r="A50" s="1" t="s">
        <v>65</v>
      </c>
      <c r="B50" s="47">
        <f>+'ACADEMIC SUPP 4yr'!B50+'STU SERVICES 4yr'!B50+'INST SUPPORT 4yr'!B50</f>
        <v>0</v>
      </c>
      <c r="C50" s="47">
        <f>+'ACADEMIC SUPP 4yr'!C50+'STU SERVICES 4yr'!C50+'INST SUPPORT 4yr'!C50</f>
        <v>0</v>
      </c>
      <c r="D50" s="47">
        <f>+'ACADEMIC SUPP 4yr'!D50+'STU SERVICES 4yr'!D50+'INST SUPPORT 4yr'!D50</f>
        <v>0</v>
      </c>
      <c r="E50" s="47">
        <f>+'ACADEMIC SUPP 4yr'!E50+'STU SERVICES 4yr'!E50+'INST SUPPORT 4yr'!E50</f>
        <v>0</v>
      </c>
      <c r="F50" s="47">
        <f>+'ACADEMIC SUPP 4yr'!F50+'STU SERVICES 4yr'!F50+'INST SUPPORT 4yr'!F50</f>
        <v>61555.686999999998</v>
      </c>
      <c r="G50" s="47">
        <f>+'ACADEMIC SUPP 4yr'!G50+'STU SERVICES 4yr'!G50+'INST SUPPORT 4yr'!G50</f>
        <v>0</v>
      </c>
      <c r="H50" s="47">
        <f>+'ACADEMIC SUPP 4yr'!H50+'STU SERVICES 4yr'!H50+'INST SUPPORT 4yr'!H50</f>
        <v>0</v>
      </c>
      <c r="I50" s="47">
        <f>+'ACADEMIC SUPP 4yr'!I50+'STU SERVICES 4yr'!I50+'INST SUPPORT 4yr'!I50</f>
        <v>65785.176999999996</v>
      </c>
      <c r="J50" s="47">
        <f>+'ACADEMIC SUPP 4yr'!J50+'STU SERVICES 4yr'!J50+'INST SUPPORT 4yr'!J50</f>
        <v>0</v>
      </c>
      <c r="K50" s="47">
        <f>+'ACADEMIC SUPP 4yr'!K50+'STU SERVICES 4yr'!K50+'INST SUPPORT 4yr'!K50</f>
        <v>72616.019</v>
      </c>
      <c r="L50" s="47">
        <f>+'ACADEMIC SUPP 4yr'!L50+'STU SERVICES 4yr'!L50+'INST SUPPORT 4yr'!L50</f>
        <v>76940.475000000006</v>
      </c>
      <c r="M50" s="47">
        <f>+'ACADEMIC SUPP 4yr'!M50+'STU SERVICES 4yr'!M50+'INST SUPPORT 4yr'!M50</f>
        <v>86194.66</v>
      </c>
      <c r="N50" s="47">
        <f>+'ACADEMIC SUPP 4yr'!N50+'STU SERVICES 4yr'!N50+'INST SUPPORT 4yr'!N50</f>
        <v>92249.19</v>
      </c>
      <c r="O50" s="47">
        <f>+'ACADEMIC SUPP 4yr'!O50+'STU SERVICES 4yr'!O50+'INST SUPPORT 4yr'!O50</f>
        <v>95894.181000000011</v>
      </c>
      <c r="P50" s="47">
        <f>+'ACADEMIC SUPP 4yr'!P50+'STU SERVICES 4yr'!P50+'INST SUPPORT 4yr'!P50</f>
        <v>103018.011</v>
      </c>
      <c r="Q50" s="47">
        <f>+'ACADEMIC SUPP 4yr'!Q50+'STU SERVICES 4yr'!Q50+'INST SUPPORT 4yr'!Q50</f>
        <v>121292.16700000002</v>
      </c>
      <c r="R50" s="47">
        <f>+'ACADEMIC SUPP 4yr'!R50+'STU SERVICES 4yr'!R50+'INST SUPPORT 4yr'!R50</f>
        <v>125168.726</v>
      </c>
      <c r="S50" s="47">
        <f>+'ACADEMIC SUPP 4yr'!S50+'STU SERVICES 4yr'!S50+'INST SUPPORT 4yr'!S50</f>
        <v>131206.59400000001</v>
      </c>
      <c r="T50" s="47">
        <f>+'ACADEMIC SUPP 4yr'!T50+'STU SERVICES 4yr'!T50+'INST SUPPORT 4yr'!T50</f>
        <v>144954.448</v>
      </c>
      <c r="U50" s="47">
        <f>+'ACADEMIC SUPP 4yr'!U50+'STU SERVICES 4yr'!U50+'INST SUPPORT 4yr'!U50</f>
        <v>152367.04300000001</v>
      </c>
      <c r="V50" s="47">
        <f>+'ACADEMIC SUPP 4yr'!V50+'STU SERVICES 4yr'!V50+'INST SUPPORT 4yr'!V50</f>
        <v>173251.87699999998</v>
      </c>
      <c r="W50" s="47">
        <f>+'ACADEMIC SUPP 4yr'!W50+'STU SERVICES 4yr'!W50+'INST SUPPORT 4yr'!W50</f>
        <v>188886.21</v>
      </c>
      <c r="X50" s="47">
        <f>+'ACADEMIC SUPP 4yr'!X50+'STU SERVICES 4yr'!X50+'INST SUPPORT 4yr'!X50</f>
        <v>177368.99799999999</v>
      </c>
      <c r="Y50" s="47">
        <f>+'ACADEMIC SUPP 4yr'!Y50+'STU SERVICES 4yr'!Y50+'INST SUPPORT 4yr'!Y50</f>
        <v>185707.481</v>
      </c>
      <c r="Z50" s="47">
        <f>+'ACADEMIC SUPP 4yr'!Z50+'STU SERVICES 4yr'!Z50+'INST SUPPORT 4yr'!Z50</f>
        <v>231542.82</v>
      </c>
      <c r="AA50" s="47">
        <f>+'ACADEMIC SUPP 4yr'!AA50+'STU SERVICES 4yr'!AA50+'INST SUPPORT 4yr'!AA50</f>
        <v>247742.467</v>
      </c>
      <c r="AB50" s="47">
        <f>+'ACADEMIC SUPP 4yr'!AB50+'STU SERVICES 4yr'!AB50+'INST SUPPORT 4yr'!AB50</f>
        <v>250047.66100000002</v>
      </c>
      <c r="AC50" s="47">
        <f>+'ACADEMIC SUPP 4yr'!AC50+'STU SERVICES 4yr'!AC50+'INST SUPPORT 4yr'!AC50</f>
        <v>250861.88399999999</v>
      </c>
      <c r="AD50" s="47">
        <f>+'ACADEMIC SUPP 4yr'!AD50+'STU SERVICES 4yr'!AD50+'INST SUPPORT 4yr'!AD50</f>
        <v>0</v>
      </c>
      <c r="AE50" s="47">
        <f>+'ACADEMIC SUPP 4yr'!AE50+'STU SERVICES 4yr'!AE50+'INST SUPPORT 4yr'!AE50</f>
        <v>252209.03599999999</v>
      </c>
    </row>
    <row r="51" spans="1:31">
      <c r="A51" s="1" t="s">
        <v>66</v>
      </c>
      <c r="B51" s="47">
        <f>+'ACADEMIC SUPP 4yr'!B51+'STU SERVICES 4yr'!B51+'INST SUPPORT 4yr'!B51</f>
        <v>0</v>
      </c>
      <c r="C51" s="47">
        <f>+'ACADEMIC SUPP 4yr'!C51+'STU SERVICES 4yr'!C51+'INST SUPPORT 4yr'!C51</f>
        <v>0</v>
      </c>
      <c r="D51" s="47">
        <f>+'ACADEMIC SUPP 4yr'!D51+'STU SERVICES 4yr'!D51+'INST SUPPORT 4yr'!D51</f>
        <v>0</v>
      </c>
      <c r="E51" s="47">
        <f>+'ACADEMIC SUPP 4yr'!E51+'STU SERVICES 4yr'!E51+'INST SUPPORT 4yr'!E51</f>
        <v>0</v>
      </c>
      <c r="F51" s="47">
        <f>+'ACADEMIC SUPP 4yr'!F51+'STU SERVICES 4yr'!F51+'INST SUPPORT 4yr'!F51</f>
        <v>638792.30599999998</v>
      </c>
      <c r="G51" s="47">
        <f>+'ACADEMIC SUPP 4yr'!G51+'STU SERVICES 4yr'!G51+'INST SUPPORT 4yr'!G51</f>
        <v>0</v>
      </c>
      <c r="H51" s="47">
        <f>+'ACADEMIC SUPP 4yr'!H51+'STU SERVICES 4yr'!H51+'INST SUPPORT 4yr'!H51</f>
        <v>0</v>
      </c>
      <c r="I51" s="47">
        <f>+'ACADEMIC SUPP 4yr'!I51+'STU SERVICES 4yr'!I51+'INST SUPPORT 4yr'!I51</f>
        <v>699923.26600000006</v>
      </c>
      <c r="J51" s="47">
        <f>+'ACADEMIC SUPP 4yr'!J51+'STU SERVICES 4yr'!J51+'INST SUPPORT 4yr'!J51</f>
        <v>0</v>
      </c>
      <c r="K51" s="47">
        <f>+'ACADEMIC SUPP 4yr'!K51+'STU SERVICES 4yr'!K51+'INST SUPPORT 4yr'!K51</f>
        <v>798385.32899999991</v>
      </c>
      <c r="L51" s="47">
        <f>+'ACADEMIC SUPP 4yr'!L51+'STU SERVICES 4yr'!L51+'INST SUPPORT 4yr'!L51</f>
        <v>984073.31099999999</v>
      </c>
      <c r="M51" s="47">
        <f>+'ACADEMIC SUPP 4yr'!M51+'STU SERVICES 4yr'!M51+'INST SUPPORT 4yr'!M51</f>
        <v>1063382.4369999999</v>
      </c>
      <c r="N51" s="47">
        <f>+'ACADEMIC SUPP 4yr'!N51+'STU SERVICES 4yr'!N51+'INST SUPPORT 4yr'!N51</f>
        <v>1041495.586</v>
      </c>
      <c r="O51" s="47">
        <f>+'ACADEMIC SUPP 4yr'!O51+'STU SERVICES 4yr'!O51+'INST SUPPORT 4yr'!O51</f>
        <v>1109858.7830000001</v>
      </c>
      <c r="P51" s="47">
        <f>+'ACADEMIC SUPP 4yr'!P51+'STU SERVICES 4yr'!P51+'INST SUPPORT 4yr'!P51</f>
        <v>1189237.9010000001</v>
      </c>
      <c r="Q51" s="47">
        <f>+'ACADEMIC SUPP 4yr'!Q51+'STU SERVICES 4yr'!Q51+'INST SUPPORT 4yr'!Q51</f>
        <v>1203721.578</v>
      </c>
      <c r="R51" s="47">
        <f>+'ACADEMIC SUPP 4yr'!R51+'STU SERVICES 4yr'!R51+'INST SUPPORT 4yr'!R51</f>
        <v>1310580.246</v>
      </c>
      <c r="S51" s="47">
        <f>+'ACADEMIC SUPP 4yr'!S51+'STU SERVICES 4yr'!S51+'INST SUPPORT 4yr'!S51</f>
        <v>1383190.632</v>
      </c>
      <c r="T51" s="47">
        <f>+'ACADEMIC SUPP 4yr'!T51+'STU SERVICES 4yr'!T51+'INST SUPPORT 4yr'!T51</f>
        <v>1532607.0530000001</v>
      </c>
      <c r="U51" s="47">
        <f>+'ACADEMIC SUPP 4yr'!U51+'STU SERVICES 4yr'!U51+'INST SUPPORT 4yr'!U51</f>
        <v>1499299.4550000001</v>
      </c>
      <c r="V51" s="47">
        <f>+'ACADEMIC SUPP 4yr'!V51+'STU SERVICES 4yr'!V51+'INST SUPPORT 4yr'!V51</f>
        <v>1662802.4909999999</v>
      </c>
      <c r="W51" s="47">
        <f>+'ACADEMIC SUPP 4yr'!W51+'STU SERVICES 4yr'!W51+'INST SUPPORT 4yr'!W51</f>
        <v>1858050.754</v>
      </c>
      <c r="X51" s="47">
        <f>+'ACADEMIC SUPP 4yr'!X51+'STU SERVICES 4yr'!X51+'INST SUPPORT 4yr'!X51</f>
        <v>1849755.216</v>
      </c>
      <c r="Y51" s="47">
        <f>+'ACADEMIC SUPP 4yr'!Y51+'STU SERVICES 4yr'!Y51+'INST SUPPORT 4yr'!Y51</f>
        <v>1950173.9920000001</v>
      </c>
      <c r="Z51" s="47">
        <f>+'ACADEMIC SUPP 4yr'!Z51+'STU SERVICES 4yr'!Z51+'INST SUPPORT 4yr'!Z51</f>
        <v>2014834.497</v>
      </c>
      <c r="AA51" s="47">
        <f>+'ACADEMIC SUPP 4yr'!AA51+'STU SERVICES 4yr'!AA51+'INST SUPPORT 4yr'!AA51</f>
        <v>2012936.0499999998</v>
      </c>
      <c r="AB51" s="47">
        <f>+'ACADEMIC SUPP 4yr'!AB51+'STU SERVICES 4yr'!AB51+'INST SUPPORT 4yr'!AB51</f>
        <v>2138586.8160000001</v>
      </c>
      <c r="AC51" s="47">
        <f>+'ACADEMIC SUPP 4yr'!AC51+'STU SERVICES 4yr'!AC51+'INST SUPPORT 4yr'!AC51</f>
        <v>2317324.7829999998</v>
      </c>
      <c r="AD51" s="47">
        <f>+'ACADEMIC SUPP 4yr'!AD51+'STU SERVICES 4yr'!AD51+'INST SUPPORT 4yr'!AD51</f>
        <v>0</v>
      </c>
      <c r="AE51" s="47">
        <f>+'ACADEMIC SUPP 4yr'!AE51+'STU SERVICES 4yr'!AE51+'INST SUPPORT 4yr'!AE51</f>
        <v>2169739.3539999998</v>
      </c>
    </row>
    <row r="52" spans="1:31">
      <c r="A52" s="1" t="s">
        <v>67</v>
      </c>
      <c r="B52" s="47">
        <f>+'ACADEMIC SUPP 4yr'!B52+'STU SERVICES 4yr'!B52+'INST SUPPORT 4yr'!B52</f>
        <v>0</v>
      </c>
      <c r="C52" s="47">
        <f>+'ACADEMIC SUPP 4yr'!C52+'STU SERVICES 4yr'!C52+'INST SUPPORT 4yr'!C52</f>
        <v>0</v>
      </c>
      <c r="D52" s="47">
        <f>+'ACADEMIC SUPP 4yr'!D52+'STU SERVICES 4yr'!D52+'INST SUPPORT 4yr'!D52</f>
        <v>0</v>
      </c>
      <c r="E52" s="47">
        <f>+'ACADEMIC SUPP 4yr'!E52+'STU SERVICES 4yr'!E52+'INST SUPPORT 4yr'!E52</f>
        <v>0</v>
      </c>
      <c r="F52" s="47">
        <f>+'ACADEMIC SUPP 4yr'!F52+'STU SERVICES 4yr'!F52+'INST SUPPORT 4yr'!F52</f>
        <v>46147.740999999995</v>
      </c>
      <c r="G52" s="47">
        <f>+'ACADEMIC SUPP 4yr'!G52+'STU SERVICES 4yr'!G52+'INST SUPPORT 4yr'!G52</f>
        <v>0</v>
      </c>
      <c r="H52" s="47">
        <f>+'ACADEMIC SUPP 4yr'!H52+'STU SERVICES 4yr'!H52+'INST SUPPORT 4yr'!H52</f>
        <v>0</v>
      </c>
      <c r="I52" s="47">
        <f>+'ACADEMIC SUPP 4yr'!I52+'STU SERVICES 4yr'!I52+'INST SUPPORT 4yr'!I52</f>
        <v>60515.345000000001</v>
      </c>
      <c r="J52" s="47">
        <f>+'ACADEMIC SUPP 4yr'!J52+'STU SERVICES 4yr'!J52+'INST SUPPORT 4yr'!J52</f>
        <v>0</v>
      </c>
      <c r="K52" s="47">
        <f>+'ACADEMIC SUPP 4yr'!K52+'STU SERVICES 4yr'!K52+'INST SUPPORT 4yr'!K52</f>
        <v>65933.530339999998</v>
      </c>
      <c r="L52" s="47">
        <f>+'ACADEMIC SUPP 4yr'!L52+'STU SERVICES 4yr'!L52+'INST SUPPORT 4yr'!L52</f>
        <v>78344.152000000002</v>
      </c>
      <c r="M52" s="47">
        <f>+'ACADEMIC SUPP 4yr'!M52+'STU SERVICES 4yr'!M52+'INST SUPPORT 4yr'!M52</f>
        <v>83690.801000000007</v>
      </c>
      <c r="N52" s="47">
        <f>+'ACADEMIC SUPP 4yr'!N52+'STU SERVICES 4yr'!N52+'INST SUPPORT 4yr'!N52</f>
        <v>88826.152000000002</v>
      </c>
      <c r="O52" s="47">
        <f>+'ACADEMIC SUPP 4yr'!O52+'STU SERVICES 4yr'!O52+'INST SUPPORT 4yr'!O52</f>
        <v>93572.410999999993</v>
      </c>
      <c r="P52" s="47">
        <f>+'ACADEMIC SUPP 4yr'!P52+'STU SERVICES 4yr'!P52+'INST SUPPORT 4yr'!P52</f>
        <v>96376.866999999998</v>
      </c>
      <c r="Q52" s="47">
        <f>+'ACADEMIC SUPP 4yr'!Q52+'STU SERVICES 4yr'!Q52+'INST SUPPORT 4yr'!Q52</f>
        <v>106768.065</v>
      </c>
      <c r="R52" s="47">
        <f>+'ACADEMIC SUPP 4yr'!R52+'STU SERVICES 4yr'!R52+'INST SUPPORT 4yr'!R52</f>
        <v>107032.822</v>
      </c>
      <c r="S52" s="47">
        <f>+'ACADEMIC SUPP 4yr'!S52+'STU SERVICES 4yr'!S52+'INST SUPPORT 4yr'!S52</f>
        <v>121989.886</v>
      </c>
      <c r="T52" s="47">
        <f>+'ACADEMIC SUPP 4yr'!T52+'STU SERVICES 4yr'!T52+'INST SUPPORT 4yr'!T52</f>
        <v>135935.149</v>
      </c>
      <c r="U52" s="47">
        <f>+'ACADEMIC SUPP 4yr'!U52+'STU SERVICES 4yr'!U52+'INST SUPPORT 4yr'!U52</f>
        <v>132000.291</v>
      </c>
      <c r="V52" s="47">
        <f>+'ACADEMIC SUPP 4yr'!V52+'STU SERVICES 4yr'!V52+'INST SUPPORT 4yr'!V52</f>
        <v>160442.29399999999</v>
      </c>
      <c r="W52" s="47">
        <f>+'ACADEMIC SUPP 4yr'!W52+'STU SERVICES 4yr'!W52+'INST SUPPORT 4yr'!W52</f>
        <v>162198.99599999998</v>
      </c>
      <c r="X52" s="47">
        <f>+'ACADEMIC SUPP 4yr'!X52+'STU SERVICES 4yr'!X52+'INST SUPPORT 4yr'!X52</f>
        <v>181433.19500000001</v>
      </c>
      <c r="Y52" s="47">
        <f>+'ACADEMIC SUPP 4yr'!Y52+'STU SERVICES 4yr'!Y52+'INST SUPPORT 4yr'!Y52</f>
        <v>180253.15299999999</v>
      </c>
      <c r="Z52" s="47">
        <f>+'ACADEMIC SUPP 4yr'!Z52+'STU SERVICES 4yr'!Z52+'INST SUPPORT 4yr'!Z52</f>
        <v>188908.58000000002</v>
      </c>
      <c r="AA52" s="47">
        <f>+'ACADEMIC SUPP 4yr'!AA52+'STU SERVICES 4yr'!AA52+'INST SUPPORT 4yr'!AA52</f>
        <v>191926.00699999998</v>
      </c>
      <c r="AB52" s="47">
        <f>+'ACADEMIC SUPP 4yr'!AB52+'STU SERVICES 4yr'!AB52+'INST SUPPORT 4yr'!AB52</f>
        <v>198747.95300000001</v>
      </c>
      <c r="AC52" s="47">
        <f>+'ACADEMIC SUPP 4yr'!AC52+'STU SERVICES 4yr'!AC52+'INST SUPPORT 4yr'!AC52</f>
        <v>220276.70500000002</v>
      </c>
      <c r="AD52" s="47">
        <f>+'ACADEMIC SUPP 4yr'!AD52+'STU SERVICES 4yr'!AD52+'INST SUPPORT 4yr'!AD52</f>
        <v>0</v>
      </c>
      <c r="AE52" s="47">
        <f>+'ACADEMIC SUPP 4yr'!AE52+'STU SERVICES 4yr'!AE52+'INST SUPPORT 4yr'!AE52</f>
        <v>234024.48699999999</v>
      </c>
    </row>
    <row r="53" spans="1:31">
      <c r="A53" s="23" t="s">
        <v>68</v>
      </c>
      <c r="B53" s="49">
        <f>+'ACADEMIC SUPP 4yr'!B53+'STU SERVICES 4yr'!B53+'INST SUPPORT 4yr'!B53</f>
        <v>0</v>
      </c>
      <c r="C53" s="49">
        <f>+'ACADEMIC SUPP 4yr'!C53+'STU SERVICES 4yr'!C53+'INST SUPPORT 4yr'!C53</f>
        <v>0</v>
      </c>
      <c r="D53" s="49">
        <f>+'ACADEMIC SUPP 4yr'!D53+'STU SERVICES 4yr'!D53+'INST SUPPORT 4yr'!D53</f>
        <v>0</v>
      </c>
      <c r="E53" s="49">
        <f>+'ACADEMIC SUPP 4yr'!E53+'STU SERVICES 4yr'!E53+'INST SUPPORT 4yr'!E53</f>
        <v>0</v>
      </c>
      <c r="F53" s="49">
        <f>+'ACADEMIC SUPP 4yr'!F53+'STU SERVICES 4yr'!F53+'INST SUPPORT 4yr'!F53</f>
        <v>384294.86499999999</v>
      </c>
      <c r="G53" s="49">
        <f>+'ACADEMIC SUPP 4yr'!G53+'STU SERVICES 4yr'!G53+'INST SUPPORT 4yr'!G53</f>
        <v>0</v>
      </c>
      <c r="H53" s="49">
        <f>+'ACADEMIC SUPP 4yr'!H53+'STU SERVICES 4yr'!H53+'INST SUPPORT 4yr'!H53</f>
        <v>0</v>
      </c>
      <c r="I53" s="49">
        <f>+'ACADEMIC SUPP 4yr'!I53+'STU SERVICES 4yr'!I53+'INST SUPPORT 4yr'!I53</f>
        <v>414735.34899999999</v>
      </c>
      <c r="J53" s="49">
        <f>+'ACADEMIC SUPP 4yr'!J53+'STU SERVICES 4yr'!J53+'INST SUPPORT 4yr'!J53</f>
        <v>0</v>
      </c>
      <c r="K53" s="49">
        <f>+'ACADEMIC SUPP 4yr'!K53+'STU SERVICES 4yr'!K53+'INST SUPPORT 4yr'!K53</f>
        <v>462048.57400000002</v>
      </c>
      <c r="L53" s="49">
        <f>+'ACADEMIC SUPP 4yr'!L53+'STU SERVICES 4yr'!L53+'INST SUPPORT 4yr'!L53</f>
        <v>540239.24699999997</v>
      </c>
      <c r="M53" s="49">
        <f>+'ACADEMIC SUPP 4yr'!M53+'STU SERVICES 4yr'!M53+'INST SUPPORT 4yr'!M53</f>
        <v>605969.06000000006</v>
      </c>
      <c r="N53" s="49">
        <f>+'ACADEMIC SUPP 4yr'!N53+'STU SERVICES 4yr'!N53+'INST SUPPORT 4yr'!N53</f>
        <v>596777.87600000005</v>
      </c>
      <c r="O53" s="49">
        <f>+'ACADEMIC SUPP 4yr'!O53+'STU SERVICES 4yr'!O53+'INST SUPPORT 4yr'!O53</f>
        <v>632110.85</v>
      </c>
      <c r="P53" s="49">
        <f>+'ACADEMIC SUPP 4yr'!P53+'STU SERVICES 4yr'!P53+'INST SUPPORT 4yr'!P53</f>
        <v>652301.20500000007</v>
      </c>
      <c r="Q53" s="49">
        <f>+'ACADEMIC SUPP 4yr'!Q53+'STU SERVICES 4yr'!Q53+'INST SUPPORT 4yr'!Q53</f>
        <v>650392.80700000003</v>
      </c>
      <c r="R53" s="49">
        <f>+'ACADEMIC SUPP 4yr'!R53+'STU SERVICES 4yr'!R53+'INST SUPPORT 4yr'!R53</f>
        <v>662665.09899999993</v>
      </c>
      <c r="S53" s="49">
        <f>+'ACADEMIC SUPP 4yr'!S53+'STU SERVICES 4yr'!S53+'INST SUPPORT 4yr'!S53</f>
        <v>717816.29399999999</v>
      </c>
      <c r="T53" s="49">
        <f>+'ACADEMIC SUPP 4yr'!T53+'STU SERVICES 4yr'!T53+'INST SUPPORT 4yr'!T53</f>
        <v>743449.89500000002</v>
      </c>
      <c r="U53" s="49">
        <f>+'ACADEMIC SUPP 4yr'!U53+'STU SERVICES 4yr'!U53+'INST SUPPORT 4yr'!U53</f>
        <v>797007.47900000005</v>
      </c>
      <c r="V53" s="49">
        <f>+'ACADEMIC SUPP 4yr'!V53+'STU SERVICES 4yr'!V53+'INST SUPPORT 4yr'!V53</f>
        <v>880514.12899999996</v>
      </c>
      <c r="W53" s="49">
        <f>+'ACADEMIC SUPP 4yr'!W53+'STU SERVICES 4yr'!W53+'INST SUPPORT 4yr'!W53</f>
        <v>921231.75600000005</v>
      </c>
      <c r="X53" s="49">
        <f>+'ACADEMIC SUPP 4yr'!X53+'STU SERVICES 4yr'!X53+'INST SUPPORT 4yr'!X53</f>
        <v>963487.24099999992</v>
      </c>
      <c r="Y53" s="49">
        <f>+'ACADEMIC SUPP 4yr'!Y53+'STU SERVICES 4yr'!Y53+'INST SUPPORT 4yr'!Y53</f>
        <v>994178.54099999997</v>
      </c>
      <c r="Z53" s="49">
        <f>+'ACADEMIC SUPP 4yr'!Z53+'STU SERVICES 4yr'!Z53+'INST SUPPORT 4yr'!Z53</f>
        <v>1056809.4070000001</v>
      </c>
      <c r="AA53" s="49">
        <f>+'ACADEMIC SUPP 4yr'!AA53+'STU SERVICES 4yr'!AA53+'INST SUPPORT 4yr'!AA53</f>
        <v>1084673.3740000001</v>
      </c>
      <c r="AB53" s="49">
        <f>+'ACADEMIC SUPP 4yr'!AB53+'STU SERVICES 4yr'!AB53+'INST SUPPORT 4yr'!AB53</f>
        <v>1039212.297</v>
      </c>
      <c r="AC53" s="49">
        <f>+'ACADEMIC SUPP 4yr'!AC53+'STU SERVICES 4yr'!AC53+'INST SUPPORT 4yr'!AC53</f>
        <v>1050364.905</v>
      </c>
      <c r="AD53" s="49">
        <f>+'ACADEMIC SUPP 4yr'!AD53+'STU SERVICES 4yr'!AD53+'INST SUPPORT 4yr'!AD53</f>
        <v>0</v>
      </c>
      <c r="AE53" s="49">
        <f>+'ACADEMIC SUPP 4yr'!AE53+'STU SERVICES 4yr'!AE53+'INST SUPPORT 4yr'!AE53</f>
        <v>1217648.1030000001</v>
      </c>
    </row>
    <row r="54" spans="1:31">
      <c r="A54" s="7" t="s">
        <v>69</v>
      </c>
      <c r="B54" s="47">
        <f>+'ACADEMIC SUPP 4yr'!B54+'STU SERVICES 4yr'!B54+'INST SUPPORT 4yr'!B54</f>
        <v>0</v>
      </c>
      <c r="C54" s="47">
        <f>+'ACADEMIC SUPP 4yr'!C54+'STU SERVICES 4yr'!C54+'INST SUPPORT 4yr'!C54</f>
        <v>0</v>
      </c>
      <c r="D54" s="47">
        <f>+'ACADEMIC SUPP 4yr'!D54+'STU SERVICES 4yr'!D54+'INST SUPPORT 4yr'!D54</f>
        <v>0</v>
      </c>
      <c r="E54" s="47">
        <f>+'ACADEMIC SUPP 4yr'!E54+'STU SERVICES 4yr'!E54+'INST SUPPORT 4yr'!E54</f>
        <v>0</v>
      </c>
      <c r="F54" s="47">
        <f>+'ACADEMIC SUPP 4yr'!F54+'STU SERVICES 4yr'!F54+'INST SUPPORT 4yr'!F54</f>
        <v>2417934.5080000004</v>
      </c>
      <c r="G54" s="47">
        <f>+'ACADEMIC SUPP 4yr'!G54+'STU SERVICES 4yr'!G54+'INST SUPPORT 4yr'!G54</f>
        <v>0</v>
      </c>
      <c r="H54" s="47">
        <f>+'ACADEMIC SUPP 4yr'!H54+'STU SERVICES 4yr'!H54+'INST SUPPORT 4yr'!H54</f>
        <v>0</v>
      </c>
      <c r="I54" s="47">
        <f>+'ACADEMIC SUPP 4yr'!I54+'STU SERVICES 4yr'!I54+'INST SUPPORT 4yr'!I54</f>
        <v>2840333.5389999999</v>
      </c>
      <c r="J54" s="47">
        <f>+'ACADEMIC SUPP 4yr'!J54+'STU SERVICES 4yr'!J54+'INST SUPPORT 4yr'!J54</f>
        <v>0</v>
      </c>
      <c r="K54" s="47">
        <f>+'ACADEMIC SUPP 4yr'!K54+'STU SERVICES 4yr'!K54+'INST SUPPORT 4yr'!K54</f>
        <v>3445790.1710000001</v>
      </c>
      <c r="L54" s="47">
        <f>+'ACADEMIC SUPP 4yr'!L54+'STU SERVICES 4yr'!L54+'INST SUPPORT 4yr'!L54</f>
        <v>3703836.0619999999</v>
      </c>
      <c r="M54" s="47">
        <f>+'ACADEMIC SUPP 4yr'!M54+'STU SERVICES 4yr'!M54+'INST SUPPORT 4yr'!M54</f>
        <v>3716609.6869999999</v>
      </c>
      <c r="N54" s="47">
        <f>+'ACADEMIC SUPP 4yr'!N54+'STU SERVICES 4yr'!N54+'INST SUPPORT 4yr'!N54</f>
        <v>3537366.6560000004</v>
      </c>
      <c r="O54" s="47">
        <f>+'ACADEMIC SUPP 4yr'!O54+'STU SERVICES 4yr'!O54+'INST SUPPORT 4yr'!O54</f>
        <v>3254534.1469999999</v>
      </c>
      <c r="P54" s="47">
        <f>+'ACADEMIC SUPP 4yr'!P54+'STU SERVICES 4yr'!P54+'INST SUPPORT 4yr'!P54</f>
        <v>3452140.57</v>
      </c>
      <c r="Q54" s="47">
        <f>+'ACADEMIC SUPP 4yr'!Q54+'STU SERVICES 4yr'!Q54+'INST SUPPORT 4yr'!Q54</f>
        <v>4229958.3550000004</v>
      </c>
      <c r="R54" s="47">
        <f>+'ACADEMIC SUPP 4yr'!R54+'STU SERVICES 4yr'!R54+'INST SUPPORT 4yr'!R54</f>
        <v>4177120.8770000003</v>
      </c>
      <c r="S54" s="47">
        <f>+'ACADEMIC SUPP 4yr'!S54+'STU SERVICES 4yr'!S54+'INST SUPPORT 4yr'!S54</f>
        <v>4534481.8159999996</v>
      </c>
      <c r="T54" s="47">
        <f>+'ACADEMIC SUPP 4yr'!T54+'STU SERVICES 4yr'!T54+'INST SUPPORT 4yr'!T54</f>
        <v>5181500.7569999993</v>
      </c>
      <c r="U54" s="47">
        <f>+'ACADEMIC SUPP 4yr'!U54+'STU SERVICES 4yr'!U54+'INST SUPPORT 4yr'!U54</f>
        <v>5095534.08</v>
      </c>
      <c r="V54" s="47">
        <f>+'ACADEMIC SUPP 4yr'!V54+'STU SERVICES 4yr'!V54+'INST SUPPORT 4yr'!V54</f>
        <v>6459678.334999999</v>
      </c>
      <c r="W54" s="47">
        <f>+'ACADEMIC SUPP 4yr'!W54+'STU SERVICES 4yr'!W54+'INST SUPPORT 4yr'!W54</f>
        <v>6743226.5329999998</v>
      </c>
      <c r="X54" s="47">
        <f>+'ACADEMIC SUPP 4yr'!X54+'STU SERVICES 4yr'!X54+'INST SUPPORT 4yr'!X54</f>
        <v>6962262.8809999991</v>
      </c>
      <c r="Y54" s="47">
        <f>+'ACADEMIC SUPP 4yr'!Y54+'STU SERVICES 4yr'!Y54+'INST SUPPORT 4yr'!Y54</f>
        <v>6903847.686999999</v>
      </c>
      <c r="Z54" s="47">
        <f>+'ACADEMIC SUPP 4yr'!Z54+'STU SERVICES 4yr'!Z54+'INST SUPPORT 4yr'!Z54</f>
        <v>7421577.8149999995</v>
      </c>
      <c r="AA54" s="47">
        <f>+'ACADEMIC SUPP 4yr'!AA54+'STU SERVICES 4yr'!AA54+'INST SUPPORT 4yr'!AA54</f>
        <v>7401935.7670000009</v>
      </c>
      <c r="AB54" s="47">
        <f>+'ACADEMIC SUPP 4yr'!AB54+'STU SERVICES 4yr'!AB54+'INST SUPPORT 4yr'!AB54</f>
        <v>8095212.6809999999</v>
      </c>
      <c r="AC54" s="47">
        <f>+'ACADEMIC SUPP 4yr'!AC54+'STU SERVICES 4yr'!AC54+'INST SUPPORT 4yr'!AC54</f>
        <v>8505385.1659999993</v>
      </c>
      <c r="AD54" s="47">
        <f>+'ACADEMIC SUPP 4yr'!AD54+'STU SERVICES 4yr'!AD54+'INST SUPPORT 4yr'!AD54</f>
        <v>0</v>
      </c>
      <c r="AE54" s="47">
        <f>+'ACADEMIC SUPP 4yr'!AE54+'STU SERVICES 4yr'!AE54+'INST SUPPORT 4yr'!AE54</f>
        <v>8721603.0969999991</v>
      </c>
    </row>
    <row r="55" spans="1:31">
      <c r="A55" s="7" t="s">
        <v>97</v>
      </c>
      <c r="B55" s="47">
        <f>+'ACADEMIC SUPP 4yr'!B55+'STU SERVICES 4yr'!B55+'INST SUPPORT 4yr'!B55</f>
        <v>0</v>
      </c>
      <c r="C55" s="47">
        <f>+'ACADEMIC SUPP 4yr'!C55+'STU SERVICES 4yr'!C55+'INST SUPPORT 4yr'!C55</f>
        <v>0</v>
      </c>
      <c r="D55" s="47">
        <f>+'ACADEMIC SUPP 4yr'!D55+'STU SERVICES 4yr'!D55+'INST SUPPORT 4yr'!D55</f>
        <v>0</v>
      </c>
      <c r="E55" s="47">
        <f>+'ACADEMIC SUPP 4yr'!E55+'STU SERVICES 4yr'!E55+'INST SUPPORT 4yr'!E55</f>
        <v>0</v>
      </c>
      <c r="F55" s="47">
        <f>+'ACADEMIC SUPP 4yr'!F55+'STU SERVICES 4yr'!F55+'INST SUPPORT 4yr'!F55</f>
        <v>0</v>
      </c>
      <c r="G55" s="47">
        <f>+'ACADEMIC SUPP 4yr'!G55+'STU SERVICES 4yr'!G55+'INST SUPPORT 4yr'!G55</f>
        <v>0</v>
      </c>
      <c r="H55" s="47">
        <f>+'ACADEMIC SUPP 4yr'!H55+'STU SERVICES 4yr'!H55+'INST SUPPORT 4yr'!H55</f>
        <v>0</v>
      </c>
      <c r="I55" s="47">
        <f>+'ACADEMIC SUPP 4yr'!I55+'STU SERVICES 4yr'!I55+'INST SUPPORT 4yr'!I55</f>
        <v>0</v>
      </c>
      <c r="J55" s="47">
        <f>+'ACADEMIC SUPP 4yr'!J55+'STU SERVICES 4yr'!J55+'INST SUPPORT 4yr'!J55</f>
        <v>0</v>
      </c>
      <c r="K55" s="47">
        <f>+'ACADEMIC SUPP 4yr'!K55+'STU SERVICES 4yr'!K55+'INST SUPPORT 4yr'!K55</f>
        <v>0</v>
      </c>
      <c r="L55" s="47">
        <f>+'ACADEMIC SUPP 4yr'!L55+'STU SERVICES 4yr'!L55+'INST SUPPORT 4yr'!L55</f>
        <v>0</v>
      </c>
      <c r="M55" s="47">
        <f>+'ACADEMIC SUPP 4yr'!M55+'STU SERVICES 4yr'!M55+'INST SUPPORT 4yr'!M55</f>
        <v>0</v>
      </c>
      <c r="N55" s="47">
        <f>+'ACADEMIC SUPP 4yr'!N55+'STU SERVICES 4yr'!N55+'INST SUPPORT 4yr'!N55</f>
        <v>0</v>
      </c>
      <c r="O55" s="47">
        <f>+'ACADEMIC SUPP 4yr'!O55+'STU SERVICES 4yr'!O55+'INST SUPPORT 4yr'!O55</f>
        <v>0</v>
      </c>
      <c r="P55" s="47">
        <f>+'ACADEMIC SUPP 4yr'!P55+'STU SERVICES 4yr'!P55+'INST SUPPORT 4yr'!P55</f>
        <v>0</v>
      </c>
      <c r="Q55" s="47">
        <f>+'ACADEMIC SUPP 4yr'!Q55+'STU SERVICES 4yr'!Q55+'INST SUPPORT 4yr'!Q55</f>
        <v>0</v>
      </c>
      <c r="R55" s="47">
        <f>+'ACADEMIC SUPP 4yr'!R55+'STU SERVICES 4yr'!R55+'INST SUPPORT 4yr'!R55</f>
        <v>0</v>
      </c>
      <c r="S55" s="47">
        <f>+'ACADEMIC SUPP 4yr'!S55+'STU SERVICES 4yr'!S55+'INST SUPPORT 4yr'!S55</f>
        <v>0</v>
      </c>
      <c r="T55" s="47">
        <f>+'ACADEMIC SUPP 4yr'!T55+'STU SERVICES 4yr'!T55+'INST SUPPORT 4yr'!T55</f>
        <v>0</v>
      </c>
      <c r="U55" s="47">
        <f>+'ACADEMIC SUPP 4yr'!U55+'STU SERVICES 4yr'!U55+'INST SUPPORT 4yr'!U55</f>
        <v>0</v>
      </c>
      <c r="V55" s="47">
        <f>+'ACADEMIC SUPP 4yr'!V55+'STU SERVICES 4yr'!V55+'INST SUPPORT 4yr'!V55</f>
        <v>0</v>
      </c>
      <c r="W55" s="47">
        <f>+'ACADEMIC SUPP 4yr'!W55+'STU SERVICES 4yr'!W55+'INST SUPPORT 4yr'!W55</f>
        <v>0</v>
      </c>
      <c r="X55" s="47">
        <f>+'ACADEMIC SUPP 4yr'!X55+'STU SERVICES 4yr'!X55+'INST SUPPORT 4yr'!X55</f>
        <v>0</v>
      </c>
      <c r="Y55" s="47"/>
      <c r="Z55" s="47"/>
      <c r="AA55" s="47"/>
      <c r="AB55" s="47"/>
      <c r="AC55" s="47"/>
      <c r="AD55" s="47"/>
      <c r="AE55" s="47"/>
    </row>
    <row r="56" spans="1:31">
      <c r="A56" s="1" t="s">
        <v>70</v>
      </c>
      <c r="B56" s="47">
        <f>+'ACADEMIC SUPP 4yr'!B56+'STU SERVICES 4yr'!B56+'INST SUPPORT 4yr'!B56</f>
        <v>0</v>
      </c>
      <c r="C56" s="47">
        <f>+'ACADEMIC SUPP 4yr'!C56+'STU SERVICES 4yr'!C56+'INST SUPPORT 4yr'!C56</f>
        <v>0</v>
      </c>
      <c r="D56" s="47">
        <f>+'ACADEMIC SUPP 4yr'!D56+'STU SERVICES 4yr'!D56+'INST SUPPORT 4yr'!D56</f>
        <v>0</v>
      </c>
      <c r="E56" s="47">
        <f>+'ACADEMIC SUPP 4yr'!E56+'STU SERVICES 4yr'!E56+'INST SUPPORT 4yr'!E56</f>
        <v>0</v>
      </c>
      <c r="F56" s="47">
        <f>+'ACADEMIC SUPP 4yr'!F56+'STU SERVICES 4yr'!F56+'INST SUPPORT 4yr'!F56</f>
        <v>187518.70300000001</v>
      </c>
      <c r="G56" s="47"/>
      <c r="H56" s="47">
        <f>+'ACADEMIC SUPP 4yr'!H56+'STU SERVICES 4yr'!H56+'INST SUPPORT 4yr'!H56</f>
        <v>0</v>
      </c>
      <c r="I56" s="47">
        <f>+'ACADEMIC SUPP 4yr'!I56+'STU SERVICES 4yr'!I56+'INST SUPPORT 4yr'!I56</f>
        <v>202237.44199999998</v>
      </c>
      <c r="J56" s="47">
        <f>+'ACADEMIC SUPP 4yr'!J56+'STU SERVICES 4yr'!J56+'INST SUPPORT 4yr'!J56</f>
        <v>0</v>
      </c>
      <c r="K56" s="47">
        <f>+'ACADEMIC SUPP 4yr'!K56+'STU SERVICES 4yr'!K56+'INST SUPPORT 4yr'!K56</f>
        <v>225983.24900000001</v>
      </c>
      <c r="L56" s="47">
        <f>+'ACADEMIC SUPP 4yr'!L56+'STU SERVICES 4yr'!L56+'INST SUPPORT 4yr'!L56</f>
        <v>295751.48</v>
      </c>
      <c r="M56" s="47">
        <f>+'ACADEMIC SUPP 4yr'!M56+'STU SERVICES 4yr'!M56+'INST SUPPORT 4yr'!M56</f>
        <v>294953.98099999997</v>
      </c>
      <c r="N56" s="47">
        <f>+'ACADEMIC SUPP 4yr'!N56+'STU SERVICES 4yr'!N56+'INST SUPPORT 4yr'!N56</f>
        <v>332423.179</v>
      </c>
      <c r="O56" s="47">
        <f>+'ACADEMIC SUPP 4yr'!O56+'STU SERVICES 4yr'!O56+'INST SUPPORT 4yr'!O56</f>
        <v>340701.554</v>
      </c>
      <c r="P56" s="47">
        <f>+'ACADEMIC SUPP 4yr'!P56+'STU SERVICES 4yr'!P56+'INST SUPPORT 4yr'!P56</f>
        <v>357777.13799999998</v>
      </c>
      <c r="Q56" s="47">
        <f>+'ACADEMIC SUPP 4yr'!Q56+'STU SERVICES 4yr'!Q56+'INST SUPPORT 4yr'!Q56</f>
        <v>414972.37699999998</v>
      </c>
      <c r="R56" s="47">
        <f>+'ACADEMIC SUPP 4yr'!R56+'STU SERVICES 4yr'!R56+'INST SUPPORT 4yr'!R56</f>
        <v>409573.47100000002</v>
      </c>
      <c r="S56" s="47">
        <f>+'ACADEMIC SUPP 4yr'!S56+'STU SERVICES 4yr'!S56+'INST SUPPORT 4yr'!S56</f>
        <v>445977.97900000005</v>
      </c>
      <c r="T56" s="47">
        <f>+'ACADEMIC SUPP 4yr'!T56+'STU SERVICES 4yr'!T56+'INST SUPPORT 4yr'!T56</f>
        <v>518981.82500000007</v>
      </c>
      <c r="U56" s="47">
        <f>+'ACADEMIC SUPP 4yr'!U56+'STU SERVICES 4yr'!U56+'INST SUPPORT 4yr'!U56</f>
        <v>575088.51500000001</v>
      </c>
      <c r="V56" s="47">
        <f>+'ACADEMIC SUPP 4yr'!V56+'STU SERVICES 4yr'!V56+'INST SUPPORT 4yr'!V56</f>
        <v>614587.81299999997</v>
      </c>
      <c r="W56" s="47">
        <f>+'ACADEMIC SUPP 4yr'!W56+'STU SERVICES 4yr'!W56+'INST SUPPORT 4yr'!W56</f>
        <v>643485.01600000006</v>
      </c>
      <c r="X56" s="47">
        <f>+'ACADEMIC SUPP 4yr'!X56+'STU SERVICES 4yr'!X56+'INST SUPPORT 4yr'!X56</f>
        <v>624765.12299999991</v>
      </c>
      <c r="Y56" s="47">
        <f>+'ACADEMIC SUPP 4yr'!Y56+'STU SERVICES 4yr'!Y56+'INST SUPPORT 4yr'!Y56</f>
        <v>621049.47699999996</v>
      </c>
      <c r="Z56" s="47">
        <f>+'ACADEMIC SUPP 4yr'!Z56+'STU SERVICES 4yr'!Z56+'INST SUPPORT 4yr'!Z56</f>
        <v>665741.85600000003</v>
      </c>
      <c r="AA56" s="47">
        <f>+'ACADEMIC SUPP 4yr'!AA56+'STU SERVICES 4yr'!AA56+'INST SUPPORT 4yr'!AA56</f>
        <v>741329.91299999994</v>
      </c>
      <c r="AB56" s="47">
        <f>+'ACADEMIC SUPP 4yr'!AB56+'STU SERVICES 4yr'!AB56+'INST SUPPORT 4yr'!AB56</f>
        <v>761861.91399999987</v>
      </c>
      <c r="AC56" s="47">
        <f>+'ACADEMIC SUPP 4yr'!AC56+'STU SERVICES 4yr'!AC56+'INST SUPPORT 4yr'!AC56</f>
        <v>648850.32900000003</v>
      </c>
      <c r="AD56" s="47">
        <f>+'ACADEMIC SUPP 4yr'!AD56+'STU SERVICES 4yr'!AD56+'INST SUPPORT 4yr'!AD56</f>
        <v>0</v>
      </c>
      <c r="AE56" s="47">
        <f>+'ACADEMIC SUPP 4yr'!AE56+'STU SERVICES 4yr'!AE56+'INST SUPPORT 4yr'!AE56</f>
        <v>689630.37800000003</v>
      </c>
    </row>
    <row r="57" spans="1:31">
      <c r="A57" s="1" t="s">
        <v>71</v>
      </c>
      <c r="B57" s="47">
        <f>+'ACADEMIC SUPP 4yr'!B57+'STU SERVICES 4yr'!B57+'INST SUPPORT 4yr'!B57</f>
        <v>0</v>
      </c>
      <c r="C57" s="47">
        <f>+'ACADEMIC SUPP 4yr'!C57+'STU SERVICES 4yr'!C57+'INST SUPPORT 4yr'!C57</f>
        <v>0</v>
      </c>
      <c r="D57" s="47">
        <f>+'ACADEMIC SUPP 4yr'!D57+'STU SERVICES 4yr'!D57+'INST SUPPORT 4yr'!D57</f>
        <v>0</v>
      </c>
      <c r="E57" s="47">
        <f>+'ACADEMIC SUPP 4yr'!E57+'STU SERVICES 4yr'!E57+'INST SUPPORT 4yr'!E57</f>
        <v>0</v>
      </c>
      <c r="F57" s="47">
        <f>+'ACADEMIC SUPP 4yr'!F57+'STU SERVICES 4yr'!F57+'INST SUPPORT 4yr'!F57</f>
        <v>74092.464000000007</v>
      </c>
      <c r="G57" s="47">
        <f>+'ACADEMIC SUPP 4yr'!G57+'STU SERVICES 4yr'!G57+'INST SUPPORT 4yr'!G57</f>
        <v>0</v>
      </c>
      <c r="H57" s="47">
        <f>+'ACADEMIC SUPP 4yr'!H57+'STU SERVICES 4yr'!H57+'INST SUPPORT 4yr'!H57</f>
        <v>0</v>
      </c>
      <c r="I57" s="47">
        <f>+'ACADEMIC SUPP 4yr'!I57+'STU SERVICES 4yr'!I57+'INST SUPPORT 4yr'!I57</f>
        <v>78577.027000000002</v>
      </c>
      <c r="J57" s="47">
        <f>+'ACADEMIC SUPP 4yr'!J57+'STU SERVICES 4yr'!J57+'INST SUPPORT 4yr'!J57</f>
        <v>0</v>
      </c>
      <c r="K57" s="47">
        <f>+'ACADEMIC SUPP 4yr'!K57+'STU SERVICES 4yr'!K57+'INST SUPPORT 4yr'!K57</f>
        <v>103913.372</v>
      </c>
      <c r="L57" s="47">
        <f>+'ACADEMIC SUPP 4yr'!L57+'STU SERVICES 4yr'!L57+'INST SUPPORT 4yr'!L57</f>
        <v>99171.974999999991</v>
      </c>
      <c r="M57" s="47">
        <f>+'ACADEMIC SUPP 4yr'!M57+'STU SERVICES 4yr'!M57+'INST SUPPORT 4yr'!M57</f>
        <v>107677.30800000002</v>
      </c>
      <c r="N57" s="47">
        <f>+'ACADEMIC SUPP 4yr'!N57+'STU SERVICES 4yr'!N57+'INST SUPPORT 4yr'!N57</f>
        <v>114098.67599999999</v>
      </c>
      <c r="O57" s="47">
        <f>+'ACADEMIC SUPP 4yr'!O57+'STU SERVICES 4yr'!O57+'INST SUPPORT 4yr'!O57</f>
        <v>120638.042</v>
      </c>
      <c r="P57" s="47">
        <f>+'ACADEMIC SUPP 4yr'!P57+'STU SERVICES 4yr'!P57+'INST SUPPORT 4yr'!P57</f>
        <v>133477.568</v>
      </c>
      <c r="Q57" s="47">
        <f>+'ACADEMIC SUPP 4yr'!Q57+'STU SERVICES 4yr'!Q57+'INST SUPPORT 4yr'!Q57</f>
        <v>137141.88999999998</v>
      </c>
      <c r="R57" s="47">
        <f>+'ACADEMIC SUPP 4yr'!R57+'STU SERVICES 4yr'!R57+'INST SUPPORT 4yr'!R57</f>
        <v>136412.745</v>
      </c>
      <c r="S57" s="47">
        <f>+'ACADEMIC SUPP 4yr'!S57+'STU SERVICES 4yr'!S57+'INST SUPPORT 4yr'!S57</f>
        <v>146999.984</v>
      </c>
      <c r="T57" s="47">
        <f>+'ACADEMIC SUPP 4yr'!T57+'STU SERVICES 4yr'!T57+'INST SUPPORT 4yr'!T57</f>
        <v>157884.22</v>
      </c>
      <c r="U57" s="47">
        <f>+'ACADEMIC SUPP 4yr'!U57+'STU SERVICES 4yr'!U57+'INST SUPPORT 4yr'!U57</f>
        <v>163516.95799999998</v>
      </c>
      <c r="V57" s="47">
        <f>+'ACADEMIC SUPP 4yr'!V57+'STU SERVICES 4yr'!V57+'INST SUPPORT 4yr'!V57</f>
        <v>188817.44999999998</v>
      </c>
      <c r="W57" s="47">
        <f>+'ACADEMIC SUPP 4yr'!W57+'STU SERVICES 4yr'!W57+'INST SUPPORT 4yr'!W57</f>
        <v>193123.98799999998</v>
      </c>
      <c r="X57" s="47">
        <f>+'ACADEMIC SUPP 4yr'!X57+'STU SERVICES 4yr'!X57+'INST SUPPORT 4yr'!X57</f>
        <v>198196.663</v>
      </c>
      <c r="Y57" s="47">
        <f>+'ACADEMIC SUPP 4yr'!Y57+'STU SERVICES 4yr'!Y57+'INST SUPPORT 4yr'!Y57</f>
        <v>201067.995</v>
      </c>
      <c r="Z57" s="47">
        <f>+'ACADEMIC SUPP 4yr'!Z57+'STU SERVICES 4yr'!Z57+'INST SUPPORT 4yr'!Z57</f>
        <v>200568.163</v>
      </c>
      <c r="AA57" s="47">
        <f>+'ACADEMIC SUPP 4yr'!AA57+'STU SERVICES 4yr'!AA57+'INST SUPPORT 4yr'!AA57</f>
        <v>202856.75399999996</v>
      </c>
      <c r="AB57" s="47">
        <f>+'ACADEMIC SUPP 4yr'!AB57+'STU SERVICES 4yr'!AB57+'INST SUPPORT 4yr'!AB57</f>
        <v>216121.09299999999</v>
      </c>
      <c r="AC57" s="47">
        <f>+'ACADEMIC SUPP 4yr'!AC57+'STU SERVICES 4yr'!AC57+'INST SUPPORT 4yr'!AC57</f>
        <v>227438.74800000002</v>
      </c>
      <c r="AD57" s="47">
        <f>+'ACADEMIC SUPP 4yr'!AD57+'STU SERVICES 4yr'!AD57+'INST SUPPORT 4yr'!AD57</f>
        <v>0</v>
      </c>
      <c r="AE57" s="47">
        <f>+'ACADEMIC SUPP 4yr'!AE57+'STU SERVICES 4yr'!AE57+'INST SUPPORT 4yr'!AE57</f>
        <v>238826.47899999999</v>
      </c>
    </row>
    <row r="58" spans="1:31" s="11" customFormat="1">
      <c r="A58" s="1" t="s">
        <v>72</v>
      </c>
      <c r="B58" s="47">
        <f>+'ACADEMIC SUPP 4yr'!B58+'STU SERVICES 4yr'!B58+'INST SUPPORT 4yr'!B58</f>
        <v>0</v>
      </c>
      <c r="C58" s="47">
        <f>+'ACADEMIC SUPP 4yr'!C58+'STU SERVICES 4yr'!C58+'INST SUPPORT 4yr'!C58</f>
        <v>0</v>
      </c>
      <c r="D58" s="47">
        <f>+'ACADEMIC SUPP 4yr'!D58+'STU SERVICES 4yr'!D58+'INST SUPPORT 4yr'!D58</f>
        <v>0</v>
      </c>
      <c r="E58" s="47">
        <f>+'ACADEMIC SUPP 4yr'!E58+'STU SERVICES 4yr'!E58+'INST SUPPORT 4yr'!E58</f>
        <v>0</v>
      </c>
      <c r="F58" s="47">
        <f>+'ACADEMIC SUPP 4yr'!F58+'STU SERVICES 4yr'!F58+'INST SUPPORT 4yr'!F58</f>
        <v>222564.26799999998</v>
      </c>
      <c r="G58" s="47">
        <f>+'ACADEMIC SUPP 4yr'!G58+'STU SERVICES 4yr'!G58+'INST SUPPORT 4yr'!G58</f>
        <v>0</v>
      </c>
      <c r="H58" s="47">
        <f>+'ACADEMIC SUPP 4yr'!H58+'STU SERVICES 4yr'!H58+'INST SUPPORT 4yr'!H58</f>
        <v>0</v>
      </c>
      <c r="I58" s="47">
        <f>+'ACADEMIC SUPP 4yr'!I58+'STU SERVICES 4yr'!I58+'INST SUPPORT 4yr'!I58</f>
        <v>299403.37700000004</v>
      </c>
      <c r="J58" s="47">
        <f>+'ACADEMIC SUPP 4yr'!J58+'STU SERVICES 4yr'!J58+'INST SUPPORT 4yr'!J58</f>
        <v>0</v>
      </c>
      <c r="K58" s="47">
        <f>+'ACADEMIC SUPP 4yr'!K58+'STU SERVICES 4yr'!K58+'INST SUPPORT 4yr'!K58</f>
        <v>353045.20499999996</v>
      </c>
      <c r="L58" s="47">
        <f>+'ACADEMIC SUPP 4yr'!L58+'STU SERVICES 4yr'!L58+'INST SUPPORT 4yr'!L58</f>
        <v>411288.33699999994</v>
      </c>
      <c r="M58" s="47">
        <f>+'ACADEMIC SUPP 4yr'!M58+'STU SERVICES 4yr'!M58+'INST SUPPORT 4yr'!M58</f>
        <v>436659.71400000004</v>
      </c>
      <c r="N58" s="47">
        <f>+'ACADEMIC SUPP 4yr'!N58+'STU SERVICES 4yr'!N58+'INST SUPPORT 4yr'!N58</f>
        <v>423381.56</v>
      </c>
      <c r="O58" s="47">
        <f>+'ACADEMIC SUPP 4yr'!O58+'STU SERVICES 4yr'!O58+'INST SUPPORT 4yr'!O58</f>
        <v>417152.92700000003</v>
      </c>
      <c r="P58" s="47">
        <f>+'ACADEMIC SUPP 4yr'!P58+'STU SERVICES 4yr'!P58+'INST SUPPORT 4yr'!P58</f>
        <v>430114.83799999999</v>
      </c>
      <c r="Q58" s="47">
        <f>+'ACADEMIC SUPP 4yr'!Q58+'STU SERVICES 4yr'!Q58+'INST SUPPORT 4yr'!Q58</f>
        <v>491568.22199999995</v>
      </c>
      <c r="R58" s="47">
        <f>+'ACADEMIC SUPP 4yr'!R58+'STU SERVICES 4yr'!R58+'INST SUPPORT 4yr'!R58</f>
        <v>528015.91</v>
      </c>
      <c r="S58" s="47">
        <f>+'ACADEMIC SUPP 4yr'!S58+'STU SERVICES 4yr'!S58+'INST SUPPORT 4yr'!S58</f>
        <v>570635.40599999996</v>
      </c>
      <c r="T58" s="47">
        <f>+'ACADEMIC SUPP 4yr'!T58+'STU SERVICES 4yr'!T58+'INST SUPPORT 4yr'!T58</f>
        <v>622255.76500000001</v>
      </c>
      <c r="U58" s="47">
        <f>+'ACADEMIC SUPP 4yr'!U58+'STU SERVICES 4yr'!U58+'INST SUPPORT 4yr'!U58</f>
        <v>501960.14299999998</v>
      </c>
      <c r="V58" s="47">
        <f>+'ACADEMIC SUPP 4yr'!V58+'STU SERVICES 4yr'!V58+'INST SUPPORT 4yr'!V58</f>
        <v>711834.647</v>
      </c>
      <c r="W58" s="47">
        <f>+'ACADEMIC SUPP 4yr'!W58+'STU SERVICES 4yr'!W58+'INST SUPPORT 4yr'!W58</f>
        <v>776384.76300000004</v>
      </c>
      <c r="X58" s="47">
        <f>+'ACADEMIC SUPP 4yr'!X58+'STU SERVICES 4yr'!X58+'INST SUPPORT 4yr'!X58</f>
        <v>835997.87100000004</v>
      </c>
      <c r="Y58" s="47">
        <f>+'ACADEMIC SUPP 4yr'!Y58+'STU SERVICES 4yr'!Y58+'INST SUPPORT 4yr'!Y58</f>
        <v>851038.55700000003</v>
      </c>
      <c r="Z58" s="47">
        <f>+'ACADEMIC SUPP 4yr'!Z58+'STU SERVICES 4yr'!Z58+'INST SUPPORT 4yr'!Z58</f>
        <v>915020.78300000005</v>
      </c>
      <c r="AA58" s="47">
        <f>+'ACADEMIC SUPP 4yr'!AA58+'STU SERVICES 4yr'!AA58+'INST SUPPORT 4yr'!AA58</f>
        <v>986314.777</v>
      </c>
      <c r="AB58" s="47">
        <f>+'ACADEMIC SUPP 4yr'!AB58+'STU SERVICES 4yr'!AB58+'INST SUPPORT 4yr'!AB58</f>
        <v>1039842.768</v>
      </c>
      <c r="AC58" s="47">
        <f>+'ACADEMIC SUPP 4yr'!AC58+'STU SERVICES 4yr'!AC58+'INST SUPPORT 4yr'!AC58</f>
        <v>1068059.3689999999</v>
      </c>
      <c r="AD58" s="47">
        <f>+'ACADEMIC SUPP 4yr'!AD58+'STU SERVICES 4yr'!AD58+'INST SUPPORT 4yr'!AD58</f>
        <v>0</v>
      </c>
      <c r="AE58" s="47">
        <f>+'ACADEMIC SUPP 4yr'!AE58+'STU SERVICES 4yr'!AE58+'INST SUPPORT 4yr'!AE58</f>
        <v>1133171.2780000002</v>
      </c>
    </row>
    <row r="59" spans="1:31">
      <c r="A59" s="1" t="s">
        <v>73</v>
      </c>
      <c r="B59" s="47">
        <f>+'ACADEMIC SUPP 4yr'!B59+'STU SERVICES 4yr'!B59+'INST SUPPORT 4yr'!B59</f>
        <v>0</v>
      </c>
      <c r="C59" s="47">
        <f>+'ACADEMIC SUPP 4yr'!C59+'STU SERVICES 4yr'!C59+'INST SUPPORT 4yr'!C59</f>
        <v>0</v>
      </c>
      <c r="D59" s="47">
        <f>+'ACADEMIC SUPP 4yr'!D59+'STU SERVICES 4yr'!D59+'INST SUPPORT 4yr'!D59</f>
        <v>0</v>
      </c>
      <c r="E59" s="47">
        <f>+'ACADEMIC SUPP 4yr'!E59+'STU SERVICES 4yr'!E59+'INST SUPPORT 4yr'!E59</f>
        <v>0</v>
      </c>
      <c r="F59" s="47">
        <f>+'ACADEMIC SUPP 4yr'!F59+'STU SERVICES 4yr'!F59+'INST SUPPORT 4yr'!F59</f>
        <v>57029.687999999995</v>
      </c>
      <c r="G59" s="47">
        <f>+'ACADEMIC SUPP 4yr'!G59+'STU SERVICES 4yr'!G59+'INST SUPPORT 4yr'!G59</f>
        <v>0</v>
      </c>
      <c r="H59" s="47">
        <f>+'ACADEMIC SUPP 4yr'!H59+'STU SERVICES 4yr'!H59+'INST SUPPORT 4yr'!H59</f>
        <v>0</v>
      </c>
      <c r="I59" s="47">
        <f>+'ACADEMIC SUPP 4yr'!I59+'STU SERVICES 4yr'!I59+'INST SUPPORT 4yr'!I59</f>
        <v>63353.940999999992</v>
      </c>
      <c r="J59" s="47">
        <f>+'ACADEMIC SUPP 4yr'!J59+'STU SERVICES 4yr'!J59+'INST SUPPORT 4yr'!J59</f>
        <v>0</v>
      </c>
      <c r="K59" s="47">
        <f>+'ACADEMIC SUPP 4yr'!K59+'STU SERVICES 4yr'!K59+'INST SUPPORT 4yr'!K59</f>
        <v>70748.885000000009</v>
      </c>
      <c r="L59" s="47">
        <f>+'ACADEMIC SUPP 4yr'!L59+'STU SERVICES 4yr'!L59+'INST SUPPORT 4yr'!L59</f>
        <v>77093.133000000002</v>
      </c>
      <c r="M59" s="47">
        <f>+'ACADEMIC SUPP 4yr'!M59+'STU SERVICES 4yr'!M59+'INST SUPPORT 4yr'!M59</f>
        <v>79956.997000000003</v>
      </c>
      <c r="N59" s="47">
        <f>+'ACADEMIC SUPP 4yr'!N59+'STU SERVICES 4yr'!N59+'INST SUPPORT 4yr'!N59</f>
        <v>90486.010000000009</v>
      </c>
      <c r="O59" s="47">
        <f>+'ACADEMIC SUPP 4yr'!O59+'STU SERVICES 4yr'!O59+'INST SUPPORT 4yr'!O59</f>
        <v>99712.933000000005</v>
      </c>
      <c r="P59" s="47">
        <f>+'ACADEMIC SUPP 4yr'!P59+'STU SERVICES 4yr'!P59+'INST SUPPORT 4yr'!P59</f>
        <v>104895.117</v>
      </c>
      <c r="Q59" s="47">
        <f>+'ACADEMIC SUPP 4yr'!Q59+'STU SERVICES 4yr'!Q59+'INST SUPPORT 4yr'!Q59</f>
        <v>109810.30299999999</v>
      </c>
      <c r="R59" s="47">
        <f>+'ACADEMIC SUPP 4yr'!R59+'STU SERVICES 4yr'!R59+'INST SUPPORT 4yr'!R59</f>
        <v>113808.96300000002</v>
      </c>
      <c r="S59" s="47">
        <f>+'ACADEMIC SUPP 4yr'!S59+'STU SERVICES 4yr'!S59+'INST SUPPORT 4yr'!S59</f>
        <v>114048.62700000001</v>
      </c>
      <c r="T59" s="47">
        <f>+'ACADEMIC SUPP 4yr'!T59+'STU SERVICES 4yr'!T59+'INST SUPPORT 4yr'!T59</f>
        <v>140664.37199999997</v>
      </c>
      <c r="U59" s="47">
        <f>+'ACADEMIC SUPP 4yr'!U59+'STU SERVICES 4yr'!U59+'INST SUPPORT 4yr'!U59</f>
        <v>150755.07799999998</v>
      </c>
      <c r="V59" s="47">
        <f>+'ACADEMIC SUPP 4yr'!V59+'STU SERVICES 4yr'!V59+'INST SUPPORT 4yr'!V59</f>
        <v>154096.92600000001</v>
      </c>
      <c r="W59" s="47">
        <f>+'ACADEMIC SUPP 4yr'!W59+'STU SERVICES 4yr'!W59+'INST SUPPORT 4yr'!W59</f>
        <v>160049.394</v>
      </c>
      <c r="X59" s="47">
        <f>+'ACADEMIC SUPP 4yr'!X59+'STU SERVICES 4yr'!X59+'INST SUPPORT 4yr'!X59</f>
        <v>156607.62099999998</v>
      </c>
      <c r="Y59" s="47">
        <f>+'ACADEMIC SUPP 4yr'!Y59+'STU SERVICES 4yr'!Y59+'INST SUPPORT 4yr'!Y59</f>
        <v>168646.85100000002</v>
      </c>
      <c r="Z59" s="47">
        <f>+'ACADEMIC SUPP 4yr'!Z59+'STU SERVICES 4yr'!Z59+'INST SUPPORT 4yr'!Z59</f>
        <v>169109.742</v>
      </c>
      <c r="AA59" s="47">
        <f>+'ACADEMIC SUPP 4yr'!AA59+'STU SERVICES 4yr'!AA59+'INST SUPPORT 4yr'!AA59</f>
        <v>180800.55300000001</v>
      </c>
      <c r="AB59" s="47">
        <f>+'ACADEMIC SUPP 4yr'!AB59+'STU SERVICES 4yr'!AB59+'INST SUPPORT 4yr'!AB59</f>
        <v>199728.27599999998</v>
      </c>
      <c r="AC59" s="47">
        <f>+'ACADEMIC SUPP 4yr'!AC59+'STU SERVICES 4yr'!AC59+'INST SUPPORT 4yr'!AC59</f>
        <v>204387.022</v>
      </c>
      <c r="AD59" s="47">
        <f>+'ACADEMIC SUPP 4yr'!AD59+'STU SERVICES 4yr'!AD59+'INST SUPPORT 4yr'!AD59</f>
        <v>0</v>
      </c>
      <c r="AE59" s="47">
        <f>+'ACADEMIC SUPP 4yr'!AE59+'STU SERVICES 4yr'!AE59+'INST SUPPORT 4yr'!AE59</f>
        <v>235502.06099999999</v>
      </c>
    </row>
    <row r="60" spans="1:31">
      <c r="A60" s="1" t="s">
        <v>74</v>
      </c>
      <c r="B60" s="47">
        <f>+'ACADEMIC SUPP 4yr'!B60+'STU SERVICES 4yr'!B60+'INST SUPPORT 4yr'!B60</f>
        <v>0</v>
      </c>
      <c r="C60" s="47">
        <f>+'ACADEMIC SUPP 4yr'!C60+'STU SERVICES 4yr'!C60+'INST SUPPORT 4yr'!C60</f>
        <v>0</v>
      </c>
      <c r="D60" s="47">
        <f>+'ACADEMIC SUPP 4yr'!D60+'STU SERVICES 4yr'!D60+'INST SUPPORT 4yr'!D60</f>
        <v>0</v>
      </c>
      <c r="E60" s="47">
        <f>+'ACADEMIC SUPP 4yr'!E60+'STU SERVICES 4yr'!E60+'INST SUPPORT 4yr'!E60</f>
        <v>0</v>
      </c>
      <c r="F60" s="47">
        <f>+'ACADEMIC SUPP 4yr'!F60+'STU SERVICES 4yr'!F60+'INST SUPPORT 4yr'!F60</f>
        <v>245351.399</v>
      </c>
      <c r="G60" s="47">
        <f>+'ACADEMIC SUPP 4yr'!G60+'STU SERVICES 4yr'!G60+'INST SUPPORT 4yr'!G60</f>
        <v>0</v>
      </c>
      <c r="H60" s="47">
        <f>+'ACADEMIC SUPP 4yr'!H60+'STU SERVICES 4yr'!H60+'INST SUPPORT 4yr'!H60</f>
        <v>0</v>
      </c>
      <c r="I60" s="47">
        <f>+'ACADEMIC SUPP 4yr'!I60+'STU SERVICES 4yr'!I60+'INST SUPPORT 4yr'!I60</f>
        <v>284486.65399999998</v>
      </c>
      <c r="J60" s="47">
        <f>+'ACADEMIC SUPP 4yr'!J60+'STU SERVICES 4yr'!J60+'INST SUPPORT 4yr'!J60</f>
        <v>0</v>
      </c>
      <c r="K60" s="47">
        <f>+'ACADEMIC SUPP 4yr'!K60+'STU SERVICES 4yr'!K60+'INST SUPPORT 4yr'!K60</f>
        <v>494899.97899999999</v>
      </c>
      <c r="L60" s="47">
        <f>+'ACADEMIC SUPP 4yr'!L60+'STU SERVICES 4yr'!L60+'INST SUPPORT 4yr'!L60</f>
        <v>409543.451</v>
      </c>
      <c r="M60" s="47">
        <f>+'ACADEMIC SUPP 4yr'!M60+'STU SERVICES 4yr'!M60+'INST SUPPORT 4yr'!M60</f>
        <v>424651.38</v>
      </c>
      <c r="N60" s="47">
        <f>+'ACADEMIC SUPP 4yr'!N60+'STU SERVICES 4yr'!N60+'INST SUPPORT 4yr'!N60</f>
        <v>446303.39600000001</v>
      </c>
      <c r="O60" s="47">
        <f>+'ACADEMIC SUPP 4yr'!O60+'STU SERVICES 4yr'!O60+'INST SUPPORT 4yr'!O60</f>
        <v>445101.33</v>
      </c>
      <c r="P60" s="47">
        <f>+'ACADEMIC SUPP 4yr'!P60+'STU SERVICES 4yr'!P60+'INST SUPPORT 4yr'!P60</f>
        <v>485751.67300000001</v>
      </c>
      <c r="Q60" s="47">
        <f>+'ACADEMIC SUPP 4yr'!Q60+'STU SERVICES 4yr'!Q60+'INST SUPPORT 4yr'!Q60</f>
        <v>807455.60499999998</v>
      </c>
      <c r="R60" s="47">
        <f>+'ACADEMIC SUPP 4yr'!R60+'STU SERVICES 4yr'!R60+'INST SUPPORT 4yr'!R60</f>
        <v>807065.049</v>
      </c>
      <c r="S60" s="47">
        <f>+'ACADEMIC SUPP 4yr'!S60+'STU SERVICES 4yr'!S60+'INST SUPPORT 4yr'!S60</f>
        <v>848327.59900000005</v>
      </c>
      <c r="T60" s="47">
        <f>+'ACADEMIC SUPP 4yr'!T60+'STU SERVICES 4yr'!T60+'INST SUPPORT 4yr'!T60</f>
        <v>1073725.1310000001</v>
      </c>
      <c r="U60" s="47">
        <f>+'ACADEMIC SUPP 4yr'!U60+'STU SERVICES 4yr'!U60+'INST SUPPORT 4yr'!U60</f>
        <v>849941.50200000009</v>
      </c>
      <c r="V60" s="47">
        <f>+'ACADEMIC SUPP 4yr'!V60+'STU SERVICES 4yr'!V60+'INST SUPPORT 4yr'!V60</f>
        <v>1099695.0550000002</v>
      </c>
      <c r="W60" s="47">
        <f>+'ACADEMIC SUPP 4yr'!W60+'STU SERVICES 4yr'!W60+'INST SUPPORT 4yr'!W60</f>
        <v>1129235.9129999999</v>
      </c>
      <c r="X60" s="47">
        <f>+'ACADEMIC SUPP 4yr'!X60+'STU SERVICES 4yr'!X60+'INST SUPPORT 4yr'!X60</f>
        <v>1217546.0249999999</v>
      </c>
      <c r="Y60" s="47">
        <f>+'ACADEMIC SUPP 4yr'!Y60+'STU SERVICES 4yr'!Y60+'INST SUPPORT 4yr'!Y60</f>
        <v>1135674.3389999999</v>
      </c>
      <c r="Z60" s="47">
        <f>+'ACADEMIC SUPP 4yr'!Z60+'STU SERVICES 4yr'!Z60+'INST SUPPORT 4yr'!Z60</f>
        <v>1427577.5970000001</v>
      </c>
      <c r="AA60" s="47">
        <f>+'ACADEMIC SUPP 4yr'!AA60+'STU SERVICES 4yr'!AA60+'INST SUPPORT 4yr'!AA60</f>
        <v>1412534.92</v>
      </c>
      <c r="AB60" s="47">
        <f>+'ACADEMIC SUPP 4yr'!AB60+'STU SERVICES 4yr'!AB60+'INST SUPPORT 4yr'!AB60</f>
        <v>1523163.3939999999</v>
      </c>
      <c r="AC60" s="47">
        <f>+'ACADEMIC SUPP 4yr'!AC60+'STU SERVICES 4yr'!AC60+'INST SUPPORT 4yr'!AC60</f>
        <v>1913462.3149999999</v>
      </c>
      <c r="AD60" s="47">
        <f>+'ACADEMIC SUPP 4yr'!AD60+'STU SERVICES 4yr'!AD60+'INST SUPPORT 4yr'!AD60</f>
        <v>0</v>
      </c>
      <c r="AE60" s="47">
        <f>+'ACADEMIC SUPP 4yr'!AE60+'STU SERVICES 4yr'!AE60+'INST SUPPORT 4yr'!AE60</f>
        <v>2068916.0760000001</v>
      </c>
    </row>
    <row r="61" spans="1:31">
      <c r="A61" s="1" t="s">
        <v>75</v>
      </c>
      <c r="B61" s="47">
        <f>+'ACADEMIC SUPP 4yr'!B61+'STU SERVICES 4yr'!B61+'INST SUPPORT 4yr'!B61</f>
        <v>0</v>
      </c>
      <c r="C61" s="47">
        <f>+'ACADEMIC SUPP 4yr'!C61+'STU SERVICES 4yr'!C61+'INST SUPPORT 4yr'!C61</f>
        <v>0</v>
      </c>
      <c r="D61" s="47">
        <f>+'ACADEMIC SUPP 4yr'!D61+'STU SERVICES 4yr'!D61+'INST SUPPORT 4yr'!D61</f>
        <v>0</v>
      </c>
      <c r="E61" s="47">
        <f>+'ACADEMIC SUPP 4yr'!E61+'STU SERVICES 4yr'!E61+'INST SUPPORT 4yr'!E61</f>
        <v>0</v>
      </c>
      <c r="F61" s="47">
        <f>+'ACADEMIC SUPP 4yr'!F61+'STU SERVICES 4yr'!F61+'INST SUPPORT 4yr'!F61</f>
        <v>794102.21799999999</v>
      </c>
      <c r="G61" s="47">
        <f>+'ACADEMIC SUPP 4yr'!G61+'STU SERVICES 4yr'!G61+'INST SUPPORT 4yr'!G61</f>
        <v>0</v>
      </c>
      <c r="H61" s="47">
        <f>+'ACADEMIC SUPP 4yr'!H61+'STU SERVICES 4yr'!H61+'INST SUPPORT 4yr'!H61</f>
        <v>0</v>
      </c>
      <c r="I61" s="47">
        <f>+'ACADEMIC SUPP 4yr'!I61+'STU SERVICES 4yr'!I61+'INST SUPPORT 4yr'!I61</f>
        <v>935283.13</v>
      </c>
      <c r="J61" s="47">
        <f>+'ACADEMIC SUPP 4yr'!J61+'STU SERVICES 4yr'!J61+'INST SUPPORT 4yr'!J61</f>
        <v>0</v>
      </c>
      <c r="K61" s="47">
        <f>+'ACADEMIC SUPP 4yr'!K61+'STU SERVICES 4yr'!K61+'INST SUPPORT 4yr'!K61</f>
        <v>1115389.301</v>
      </c>
      <c r="L61" s="47">
        <f>+'ACADEMIC SUPP 4yr'!L61+'STU SERVICES 4yr'!L61+'INST SUPPORT 4yr'!L61</f>
        <v>1106549.5389999999</v>
      </c>
      <c r="M61" s="47">
        <f>+'ACADEMIC SUPP 4yr'!M61+'STU SERVICES 4yr'!M61+'INST SUPPORT 4yr'!M61</f>
        <v>1208986.466</v>
      </c>
      <c r="N61" s="47">
        <f>+'ACADEMIC SUPP 4yr'!N61+'STU SERVICES 4yr'!N61+'INST SUPPORT 4yr'!N61</f>
        <v>1302843.3900000001</v>
      </c>
      <c r="O61" s="47">
        <f>+'ACADEMIC SUPP 4yr'!O61+'STU SERVICES 4yr'!O61+'INST SUPPORT 4yr'!O61</f>
        <v>1233171.5560000001</v>
      </c>
      <c r="P61" s="47">
        <f>+'ACADEMIC SUPP 4yr'!P61+'STU SERVICES 4yr'!P61+'INST SUPPORT 4yr'!P61</f>
        <v>1267440.2450000001</v>
      </c>
      <c r="Q61" s="47">
        <f>+'ACADEMIC SUPP 4yr'!Q61+'STU SERVICES 4yr'!Q61+'INST SUPPORT 4yr'!Q61</f>
        <v>1589455.6880000001</v>
      </c>
      <c r="R61" s="47">
        <f>+'ACADEMIC SUPP 4yr'!R61+'STU SERVICES 4yr'!R61+'INST SUPPORT 4yr'!R61</f>
        <v>1475984.1600000001</v>
      </c>
      <c r="S61" s="47">
        <f>+'ACADEMIC SUPP 4yr'!S61+'STU SERVICES 4yr'!S61+'INST SUPPORT 4yr'!S61</f>
        <v>1646668.7680000002</v>
      </c>
      <c r="T61" s="47">
        <f>+'ACADEMIC SUPP 4yr'!T61+'STU SERVICES 4yr'!T61+'INST SUPPORT 4yr'!T61</f>
        <v>1815901.709</v>
      </c>
      <c r="U61" s="47">
        <f>+'ACADEMIC SUPP 4yr'!U61+'STU SERVICES 4yr'!U61+'INST SUPPORT 4yr'!U61</f>
        <v>2000662.4709999999</v>
      </c>
      <c r="V61" s="47">
        <f>+'ACADEMIC SUPP 4yr'!V61+'STU SERVICES 4yr'!V61+'INST SUPPORT 4yr'!V61</f>
        <v>2648438.4879999999</v>
      </c>
      <c r="W61" s="47">
        <f>+'ACADEMIC SUPP 4yr'!W61+'STU SERVICES 4yr'!W61+'INST SUPPORT 4yr'!W61</f>
        <v>2788256.0759999999</v>
      </c>
      <c r="X61" s="47">
        <f>+'ACADEMIC SUPP 4yr'!X61+'STU SERVICES 4yr'!X61+'INST SUPPORT 4yr'!X61</f>
        <v>2848809.9160000002</v>
      </c>
      <c r="Y61" s="47">
        <f>+'ACADEMIC SUPP 4yr'!Y61+'STU SERVICES 4yr'!Y61+'INST SUPPORT 4yr'!Y61</f>
        <v>2833228.9680000003</v>
      </c>
      <c r="Z61" s="47">
        <f>+'ACADEMIC SUPP 4yr'!Z61+'STU SERVICES 4yr'!Z61+'INST SUPPORT 4yr'!Z61</f>
        <v>2916139.122</v>
      </c>
      <c r="AA61" s="47">
        <f>+'ACADEMIC SUPP 4yr'!AA61+'STU SERVICES 4yr'!AA61+'INST SUPPORT 4yr'!AA61</f>
        <v>2765189.1009999998</v>
      </c>
      <c r="AB61" s="47">
        <f>+'ACADEMIC SUPP 4yr'!AB61+'STU SERVICES 4yr'!AB61+'INST SUPPORT 4yr'!AB61</f>
        <v>3191538.5190000003</v>
      </c>
      <c r="AC61" s="47">
        <f>+'ACADEMIC SUPP 4yr'!AC61+'STU SERVICES 4yr'!AC61+'INST SUPPORT 4yr'!AC61</f>
        <v>3258428.4350000001</v>
      </c>
      <c r="AD61" s="47">
        <f>+'ACADEMIC SUPP 4yr'!AD61+'STU SERVICES 4yr'!AD61+'INST SUPPORT 4yr'!AD61</f>
        <v>0</v>
      </c>
      <c r="AE61" s="47">
        <f>+'ACADEMIC SUPP 4yr'!AE61+'STU SERVICES 4yr'!AE61+'INST SUPPORT 4yr'!AE61</f>
        <v>3201152.909</v>
      </c>
    </row>
    <row r="62" spans="1:31">
      <c r="A62" s="1" t="s">
        <v>76</v>
      </c>
      <c r="B62" s="47">
        <f>+'ACADEMIC SUPP 4yr'!B62+'STU SERVICES 4yr'!B62+'INST SUPPORT 4yr'!B62</f>
        <v>0</v>
      </c>
      <c r="C62" s="47">
        <f>+'ACADEMIC SUPP 4yr'!C62+'STU SERVICES 4yr'!C62+'INST SUPPORT 4yr'!C62</f>
        <v>0</v>
      </c>
      <c r="D62" s="47">
        <f>+'ACADEMIC SUPP 4yr'!D62+'STU SERVICES 4yr'!D62+'INST SUPPORT 4yr'!D62</f>
        <v>0</v>
      </c>
      <c r="E62" s="47">
        <f>+'ACADEMIC SUPP 4yr'!E62+'STU SERVICES 4yr'!E62+'INST SUPPORT 4yr'!E62</f>
        <v>0</v>
      </c>
      <c r="F62" s="47">
        <f>+'ACADEMIC SUPP 4yr'!F62+'STU SERVICES 4yr'!F62+'INST SUPPORT 4yr'!F62</f>
        <v>711432.28700000001</v>
      </c>
      <c r="G62" s="47">
        <f>+'ACADEMIC SUPP 4yr'!G62+'STU SERVICES 4yr'!G62+'INST SUPPORT 4yr'!G62</f>
        <v>0</v>
      </c>
      <c r="H62" s="47">
        <f>+'ACADEMIC SUPP 4yr'!H62+'STU SERVICES 4yr'!H62+'INST SUPPORT 4yr'!H62</f>
        <v>0</v>
      </c>
      <c r="I62" s="47">
        <f>+'ACADEMIC SUPP 4yr'!I62+'STU SERVICES 4yr'!I62+'INST SUPPORT 4yr'!I62</f>
        <v>834927.05499999993</v>
      </c>
      <c r="J62" s="47">
        <f>+'ACADEMIC SUPP 4yr'!J62+'STU SERVICES 4yr'!J62+'INST SUPPORT 4yr'!J62</f>
        <v>0</v>
      </c>
      <c r="K62" s="47">
        <f>+'ACADEMIC SUPP 4yr'!K62+'STU SERVICES 4yr'!K62+'INST SUPPORT 4yr'!K62</f>
        <v>912716.31900000002</v>
      </c>
      <c r="L62" s="47">
        <f>+'ACADEMIC SUPP 4yr'!L62+'STU SERVICES 4yr'!L62+'INST SUPPORT 4yr'!L62</f>
        <v>1105200.598</v>
      </c>
      <c r="M62" s="47">
        <f>+'ACADEMIC SUPP 4yr'!M62+'STU SERVICES 4yr'!M62+'INST SUPPORT 4yr'!M62</f>
        <v>973125.04799999995</v>
      </c>
      <c r="N62" s="47">
        <f>+'ACADEMIC SUPP 4yr'!N62+'STU SERVICES 4yr'!N62+'INST SUPPORT 4yr'!N62</f>
        <v>626527.88199999998</v>
      </c>
      <c r="O62" s="47">
        <f>+'ACADEMIC SUPP 4yr'!O62+'STU SERVICES 4yr'!O62+'INST SUPPORT 4yr'!O62</f>
        <v>413703.29800000001</v>
      </c>
      <c r="P62" s="47">
        <f>+'ACADEMIC SUPP 4yr'!P62+'STU SERVICES 4yr'!P62+'INST SUPPORT 4yr'!P62</f>
        <v>439884.47100000002</v>
      </c>
      <c r="Q62" s="47">
        <f>+'ACADEMIC SUPP 4yr'!Q62+'STU SERVICES 4yr'!Q62+'INST SUPPORT 4yr'!Q62</f>
        <v>428650.72600000002</v>
      </c>
      <c r="R62" s="47">
        <f>+'ACADEMIC SUPP 4yr'!R62+'STU SERVICES 4yr'!R62+'INST SUPPORT 4yr'!R62</f>
        <v>446337.228</v>
      </c>
      <c r="S62" s="47">
        <f>+'ACADEMIC SUPP 4yr'!S62+'STU SERVICES 4yr'!S62+'INST SUPPORT 4yr'!S62</f>
        <v>481041.86399999994</v>
      </c>
      <c r="T62" s="47">
        <f>+'ACADEMIC SUPP 4yr'!T62+'STU SERVICES 4yr'!T62+'INST SUPPORT 4yr'!T62</f>
        <v>521145.24699999997</v>
      </c>
      <c r="U62" s="47">
        <f>+'ACADEMIC SUPP 4yr'!U62+'STU SERVICES 4yr'!U62+'INST SUPPORT 4yr'!U62</f>
        <v>546725.00199999998</v>
      </c>
      <c r="V62" s="47">
        <f>+'ACADEMIC SUPP 4yr'!V62+'STU SERVICES 4yr'!V62+'INST SUPPORT 4yr'!V62</f>
        <v>663404.995</v>
      </c>
      <c r="W62" s="47">
        <f>+'ACADEMIC SUPP 4yr'!W62+'STU SERVICES 4yr'!W62+'INST SUPPORT 4yr'!W62</f>
        <v>668082.41599999997</v>
      </c>
      <c r="X62" s="47">
        <f>+'ACADEMIC SUPP 4yr'!X62+'STU SERVICES 4yr'!X62+'INST SUPPORT 4yr'!X62</f>
        <v>682257.38699999999</v>
      </c>
      <c r="Y62" s="47">
        <f>+'ACADEMIC SUPP 4yr'!Y62+'STU SERVICES 4yr'!Y62+'INST SUPPORT 4yr'!Y62</f>
        <v>709128.80899999989</v>
      </c>
      <c r="Z62" s="47">
        <f>+'ACADEMIC SUPP 4yr'!Z62+'STU SERVICES 4yr'!Z62+'INST SUPPORT 4yr'!Z62</f>
        <v>727330.87399999995</v>
      </c>
      <c r="AA62" s="47">
        <f>+'ACADEMIC SUPP 4yr'!AA62+'STU SERVICES 4yr'!AA62+'INST SUPPORT 4yr'!AA62</f>
        <v>722804.23699999996</v>
      </c>
      <c r="AB62" s="47">
        <f>+'ACADEMIC SUPP 4yr'!AB62+'STU SERVICES 4yr'!AB62+'INST SUPPORT 4yr'!AB62</f>
        <v>744158.94800000009</v>
      </c>
      <c r="AC62" s="47">
        <f>+'ACADEMIC SUPP 4yr'!AC62+'STU SERVICES 4yr'!AC62+'INST SUPPORT 4yr'!AC62</f>
        <v>752093.35</v>
      </c>
      <c r="AD62" s="47">
        <f>+'ACADEMIC SUPP 4yr'!AD62+'STU SERVICES 4yr'!AD62+'INST SUPPORT 4yr'!AD62</f>
        <v>0</v>
      </c>
      <c r="AE62" s="47">
        <f>+'ACADEMIC SUPP 4yr'!AE62+'STU SERVICES 4yr'!AE62+'INST SUPPORT 4yr'!AE62</f>
        <v>709721.71</v>
      </c>
    </row>
    <row r="63" spans="1:31">
      <c r="A63" s="1" t="s">
        <v>77</v>
      </c>
      <c r="B63" s="47">
        <f>+'ACADEMIC SUPP 4yr'!B63+'STU SERVICES 4yr'!B63+'INST SUPPORT 4yr'!B63</f>
        <v>0</v>
      </c>
      <c r="C63" s="47">
        <f>+'ACADEMIC SUPP 4yr'!C63+'STU SERVICES 4yr'!C63+'INST SUPPORT 4yr'!C63</f>
        <v>0</v>
      </c>
      <c r="D63" s="47">
        <f>+'ACADEMIC SUPP 4yr'!D63+'STU SERVICES 4yr'!D63+'INST SUPPORT 4yr'!D63</f>
        <v>0</v>
      </c>
      <c r="E63" s="47">
        <f>+'ACADEMIC SUPP 4yr'!E63+'STU SERVICES 4yr'!E63+'INST SUPPORT 4yr'!E63</f>
        <v>0</v>
      </c>
      <c r="F63" s="47">
        <f>+'ACADEMIC SUPP 4yr'!F63+'STU SERVICES 4yr'!F63+'INST SUPPORT 4yr'!F63</f>
        <v>63892.110999999997</v>
      </c>
      <c r="G63" s="47">
        <f>+'ACADEMIC SUPP 4yr'!G63+'STU SERVICES 4yr'!G63+'INST SUPPORT 4yr'!G63</f>
        <v>0</v>
      </c>
      <c r="H63" s="47">
        <f>+'ACADEMIC SUPP 4yr'!H63+'STU SERVICES 4yr'!H63+'INST SUPPORT 4yr'!H63</f>
        <v>0</v>
      </c>
      <c r="I63" s="47">
        <f>+'ACADEMIC SUPP 4yr'!I63+'STU SERVICES 4yr'!I63+'INST SUPPORT 4yr'!I63</f>
        <v>69938.016000000003</v>
      </c>
      <c r="J63" s="47">
        <f>+'ACADEMIC SUPP 4yr'!J63+'STU SERVICES 4yr'!J63+'INST SUPPORT 4yr'!J63</f>
        <v>0</v>
      </c>
      <c r="K63" s="47">
        <f>+'ACADEMIC SUPP 4yr'!K63+'STU SERVICES 4yr'!K63+'INST SUPPORT 4yr'!K63</f>
        <v>81611.686000000002</v>
      </c>
      <c r="L63" s="47">
        <f>+'ACADEMIC SUPP 4yr'!L63+'STU SERVICES 4yr'!L63+'INST SUPPORT 4yr'!L63</f>
        <v>95689.515000000014</v>
      </c>
      <c r="M63" s="47">
        <f>+'ACADEMIC SUPP 4yr'!M63+'STU SERVICES 4yr'!M63+'INST SUPPORT 4yr'!M63</f>
        <v>97529.788</v>
      </c>
      <c r="N63" s="47">
        <f>+'ACADEMIC SUPP 4yr'!N63+'STU SERVICES 4yr'!N63+'INST SUPPORT 4yr'!N63</f>
        <v>98166.991000000009</v>
      </c>
      <c r="O63" s="47">
        <f>+'ACADEMIC SUPP 4yr'!O63+'STU SERVICES 4yr'!O63+'INST SUPPORT 4yr'!O63</f>
        <v>106805.503</v>
      </c>
      <c r="P63" s="47">
        <f>+'ACADEMIC SUPP 4yr'!P63+'STU SERVICES 4yr'!P63+'INST SUPPORT 4yr'!P63</f>
        <v>115416.63400000001</v>
      </c>
      <c r="Q63" s="47">
        <f>+'ACADEMIC SUPP 4yr'!Q63+'STU SERVICES 4yr'!Q63+'INST SUPPORT 4yr'!Q63</f>
        <v>125262.579</v>
      </c>
      <c r="R63" s="47">
        <f>+'ACADEMIC SUPP 4yr'!R63+'STU SERVICES 4yr'!R63+'INST SUPPORT 4yr'!R63</f>
        <v>127472.97900000001</v>
      </c>
      <c r="S63" s="47">
        <f>+'ACADEMIC SUPP 4yr'!S63+'STU SERVICES 4yr'!S63+'INST SUPPORT 4yr'!S63</f>
        <v>132539.842</v>
      </c>
      <c r="T63" s="47">
        <f>+'ACADEMIC SUPP 4yr'!T63+'STU SERVICES 4yr'!T63+'INST SUPPORT 4yr'!T63</f>
        <v>144787.261</v>
      </c>
      <c r="U63" s="47">
        <f>+'ACADEMIC SUPP 4yr'!U63+'STU SERVICES 4yr'!U63+'INST SUPPORT 4yr'!U63</f>
        <v>140875.05600000001</v>
      </c>
      <c r="V63" s="47">
        <f>+'ACADEMIC SUPP 4yr'!V63+'STU SERVICES 4yr'!V63+'INST SUPPORT 4yr'!V63</f>
        <v>166457.34399999998</v>
      </c>
      <c r="W63" s="47">
        <f>+'ACADEMIC SUPP 4yr'!W63+'STU SERVICES 4yr'!W63+'INST SUPPORT 4yr'!W63</f>
        <v>168943.06200000001</v>
      </c>
      <c r="X63" s="47">
        <f>+'ACADEMIC SUPP 4yr'!X63+'STU SERVICES 4yr'!X63+'INST SUPPORT 4yr'!X63</f>
        <v>178021.68699999998</v>
      </c>
      <c r="Y63" s="47">
        <f>+'ACADEMIC SUPP 4yr'!Y63+'STU SERVICES 4yr'!Y63+'INST SUPPORT 4yr'!Y63</f>
        <v>176796.391</v>
      </c>
      <c r="Z63" s="47">
        <f>+'ACADEMIC SUPP 4yr'!Z63+'STU SERVICES 4yr'!Z63+'INST SUPPORT 4yr'!Z63</f>
        <v>178008.348</v>
      </c>
      <c r="AA63" s="47">
        <f>+'ACADEMIC SUPP 4yr'!AA63+'STU SERVICES 4yr'!AA63+'INST SUPPORT 4yr'!AA63</f>
        <v>172724.09</v>
      </c>
      <c r="AB63" s="47">
        <f>+'ACADEMIC SUPP 4yr'!AB63+'STU SERVICES 4yr'!AB63+'INST SUPPORT 4yr'!AB63</f>
        <v>190902.20399999997</v>
      </c>
      <c r="AC63" s="47">
        <f>+'ACADEMIC SUPP 4yr'!AC63+'STU SERVICES 4yr'!AC63+'INST SUPPORT 4yr'!AC63</f>
        <v>197052.36599999998</v>
      </c>
      <c r="AD63" s="47">
        <f>+'ACADEMIC SUPP 4yr'!AD63+'STU SERVICES 4yr'!AD63+'INST SUPPORT 4yr'!AD63</f>
        <v>0</v>
      </c>
      <c r="AE63" s="47">
        <f>+'ACADEMIC SUPP 4yr'!AE63+'STU SERVICES 4yr'!AE63+'INST SUPPORT 4yr'!AE63</f>
        <v>200121.71600000001</v>
      </c>
    </row>
    <row r="64" spans="1:31">
      <c r="A64" s="23" t="s">
        <v>78</v>
      </c>
      <c r="B64" s="49">
        <f>+'ACADEMIC SUPP 4yr'!B64+'STU SERVICES 4yr'!B64+'INST SUPPORT 4yr'!B64</f>
        <v>0</v>
      </c>
      <c r="C64" s="49">
        <f>+'ACADEMIC SUPP 4yr'!C64+'STU SERVICES 4yr'!C64+'INST SUPPORT 4yr'!C64</f>
        <v>0</v>
      </c>
      <c r="D64" s="49">
        <f>+'ACADEMIC SUPP 4yr'!D64+'STU SERVICES 4yr'!D64+'INST SUPPORT 4yr'!D64</f>
        <v>0</v>
      </c>
      <c r="E64" s="49">
        <f>+'ACADEMIC SUPP 4yr'!E64+'STU SERVICES 4yr'!E64+'INST SUPPORT 4yr'!E64</f>
        <v>0</v>
      </c>
      <c r="F64" s="49">
        <f>+'ACADEMIC SUPP 4yr'!F64+'STU SERVICES 4yr'!F64+'INST SUPPORT 4yr'!F64</f>
        <v>61951.37</v>
      </c>
      <c r="G64" s="49">
        <f>+'ACADEMIC SUPP 4yr'!G64+'STU SERVICES 4yr'!G64+'INST SUPPORT 4yr'!G64</f>
        <v>0</v>
      </c>
      <c r="H64" s="49">
        <f>+'ACADEMIC SUPP 4yr'!H64+'STU SERVICES 4yr'!H64+'INST SUPPORT 4yr'!H64</f>
        <v>0</v>
      </c>
      <c r="I64" s="49">
        <f>+'ACADEMIC SUPP 4yr'!I64+'STU SERVICES 4yr'!I64+'INST SUPPORT 4yr'!I64</f>
        <v>72126.896999999997</v>
      </c>
      <c r="J64" s="49">
        <f>+'ACADEMIC SUPP 4yr'!J64+'STU SERVICES 4yr'!J64+'INST SUPPORT 4yr'!J64</f>
        <v>0</v>
      </c>
      <c r="K64" s="49">
        <f>+'ACADEMIC SUPP 4yr'!K64+'STU SERVICES 4yr'!K64+'INST SUPPORT 4yr'!K64</f>
        <v>87482.175000000003</v>
      </c>
      <c r="L64" s="49">
        <f>+'ACADEMIC SUPP 4yr'!L64+'STU SERVICES 4yr'!L64+'INST SUPPORT 4yr'!L64</f>
        <v>103548.034</v>
      </c>
      <c r="M64" s="49">
        <f>+'ACADEMIC SUPP 4yr'!M64+'STU SERVICES 4yr'!M64+'INST SUPPORT 4yr'!M64</f>
        <v>93069.005000000005</v>
      </c>
      <c r="N64" s="49">
        <f>+'ACADEMIC SUPP 4yr'!N64+'STU SERVICES 4yr'!N64+'INST SUPPORT 4yr'!N64</f>
        <v>103135.57199999999</v>
      </c>
      <c r="O64" s="49">
        <f>+'ACADEMIC SUPP 4yr'!O64+'STU SERVICES 4yr'!O64+'INST SUPPORT 4yr'!O64</f>
        <v>77547.004000000001</v>
      </c>
      <c r="P64" s="49">
        <f>+'ACADEMIC SUPP 4yr'!P64+'STU SERVICES 4yr'!P64+'INST SUPPORT 4yr'!P64</f>
        <v>117382.886</v>
      </c>
      <c r="Q64" s="49">
        <f>+'ACADEMIC SUPP 4yr'!Q64+'STU SERVICES 4yr'!Q64+'INST SUPPORT 4yr'!Q64</f>
        <v>125640.965</v>
      </c>
      <c r="R64" s="49">
        <f>+'ACADEMIC SUPP 4yr'!R64+'STU SERVICES 4yr'!R64+'INST SUPPORT 4yr'!R64</f>
        <v>132450.372</v>
      </c>
      <c r="S64" s="49">
        <f>+'ACADEMIC SUPP 4yr'!S64+'STU SERVICES 4yr'!S64+'INST SUPPORT 4yr'!S64</f>
        <v>148241.74699999997</v>
      </c>
      <c r="T64" s="49">
        <f>+'ACADEMIC SUPP 4yr'!T64+'STU SERVICES 4yr'!T64+'INST SUPPORT 4yr'!T64</f>
        <v>186155.22700000001</v>
      </c>
      <c r="U64" s="49">
        <f>+'ACADEMIC SUPP 4yr'!U64+'STU SERVICES 4yr'!U64+'INST SUPPORT 4yr'!U64</f>
        <v>166009.35499999998</v>
      </c>
      <c r="V64" s="49">
        <f>+'ACADEMIC SUPP 4yr'!V64+'STU SERVICES 4yr'!V64+'INST SUPPORT 4yr'!V64</f>
        <v>212345.617</v>
      </c>
      <c r="W64" s="49">
        <f>+'ACADEMIC SUPP 4yr'!W64+'STU SERVICES 4yr'!W64+'INST SUPPORT 4yr'!W64</f>
        <v>215665.90499999997</v>
      </c>
      <c r="X64" s="49">
        <f>+'ACADEMIC SUPP 4yr'!X64+'STU SERVICES 4yr'!X64+'INST SUPPORT 4yr'!X64</f>
        <v>220060.58799999999</v>
      </c>
      <c r="Y64" s="49">
        <f>+'ACADEMIC SUPP 4yr'!Y64+'STU SERVICES 4yr'!Y64+'INST SUPPORT 4yr'!Y64</f>
        <v>207216.3</v>
      </c>
      <c r="Z64" s="49">
        <f>+'ACADEMIC SUPP 4yr'!Z64+'STU SERVICES 4yr'!Z64+'INST SUPPORT 4yr'!Z64</f>
        <v>222081.33000000002</v>
      </c>
      <c r="AA64" s="49">
        <f>+'ACADEMIC SUPP 4yr'!AA64+'STU SERVICES 4yr'!AA64+'INST SUPPORT 4yr'!AA64</f>
        <v>217381.42200000002</v>
      </c>
      <c r="AB64" s="49">
        <f>+'ACADEMIC SUPP 4yr'!AB64+'STU SERVICES 4yr'!AB64+'INST SUPPORT 4yr'!AB64</f>
        <v>227895.565</v>
      </c>
      <c r="AC64" s="49">
        <f>+'ACADEMIC SUPP 4yr'!AC64+'STU SERVICES 4yr'!AC64+'INST SUPPORT 4yr'!AC64</f>
        <v>235613.23199999999</v>
      </c>
      <c r="AD64" s="49">
        <f>+'ACADEMIC SUPP 4yr'!AD64+'STU SERVICES 4yr'!AD64+'INST SUPPORT 4yr'!AD64</f>
        <v>0</v>
      </c>
      <c r="AE64" s="49">
        <f>+'ACADEMIC SUPP 4yr'!AE64+'STU SERVICES 4yr'!AE64+'INST SUPPORT 4yr'!AE64</f>
        <v>244560.49000000002</v>
      </c>
    </row>
    <row r="65" spans="1:31">
      <c r="A65" s="45" t="s">
        <v>79</v>
      </c>
      <c r="B65" s="50">
        <f>+'ACADEMIC SUPP 4yr'!B65+'STU SERVICES 4yr'!B65+'INST SUPPORT 4yr'!B65</f>
        <v>0</v>
      </c>
      <c r="C65" s="50">
        <f>+'ACADEMIC SUPP 4yr'!C65+'STU SERVICES 4yr'!C65+'INST SUPPORT 4yr'!C65</f>
        <v>0</v>
      </c>
      <c r="D65" s="50">
        <f>+'ACADEMIC SUPP 4yr'!D65+'STU SERVICES 4yr'!D65+'INST SUPPORT 4yr'!D65</f>
        <v>0</v>
      </c>
      <c r="E65" s="50">
        <f>+'ACADEMIC SUPP 4yr'!E65+'STU SERVICES 4yr'!E65+'INST SUPPORT 4yr'!E65</f>
        <v>0</v>
      </c>
      <c r="F65" s="50">
        <f>+'ACADEMIC SUPP 4yr'!F65+'STU SERVICES 4yr'!F65+'INST SUPPORT 4yr'!F65</f>
        <v>37951.983999999997</v>
      </c>
      <c r="G65" s="50">
        <f>+'ACADEMIC SUPP 4yr'!G65+'STU SERVICES 4yr'!G65+'INST SUPPORT 4yr'!G65</f>
        <v>0</v>
      </c>
      <c r="H65" s="50">
        <f>+'ACADEMIC SUPP 4yr'!H65+'STU SERVICES 4yr'!H65+'INST SUPPORT 4yr'!H65</f>
        <v>0</v>
      </c>
      <c r="I65" s="50">
        <f>+'ACADEMIC SUPP 4yr'!I65+'STU SERVICES 4yr'!I65+'INST SUPPORT 4yr'!I65</f>
        <v>22890.483</v>
      </c>
      <c r="J65" s="50">
        <f>+'ACADEMIC SUPP 4yr'!J65+'STU SERVICES 4yr'!J65+'INST SUPPORT 4yr'!J65</f>
        <v>0</v>
      </c>
      <c r="K65" s="50">
        <f>+'ACADEMIC SUPP 4yr'!K65+'STU SERVICES 4yr'!K65+'INST SUPPORT 4yr'!K65</f>
        <v>26590.244140000003</v>
      </c>
      <c r="L65" s="50">
        <f>+'ACADEMIC SUPP 4yr'!L65+'STU SERVICES 4yr'!L65+'INST SUPPORT 4yr'!L65</f>
        <v>31861.194</v>
      </c>
      <c r="M65" s="50">
        <f>+'ACADEMIC SUPP 4yr'!M65+'STU SERVICES 4yr'!M65+'INST SUPPORT 4yr'!M65</f>
        <v>33133.017999999996</v>
      </c>
      <c r="N65" s="50">
        <f>+'ACADEMIC SUPP 4yr'!N65+'STU SERVICES 4yr'!N65+'INST SUPPORT 4yr'!N65</f>
        <v>34492.665999999997</v>
      </c>
      <c r="O65" s="50">
        <f>+'ACADEMIC SUPP 4yr'!O65+'STU SERVICES 4yr'!O65+'INST SUPPORT 4yr'!O65</f>
        <v>37342.918000000005</v>
      </c>
      <c r="P65" s="50">
        <f>+'ACADEMIC SUPP 4yr'!P65+'STU SERVICES 4yr'!P65+'INST SUPPORT 4yr'!P65</f>
        <v>31443.593999999997</v>
      </c>
      <c r="Q65" s="50">
        <f>+'ACADEMIC SUPP 4yr'!Q65+'STU SERVICES 4yr'!Q65+'INST SUPPORT 4yr'!Q65</f>
        <v>30523.652999999998</v>
      </c>
      <c r="R65" s="50">
        <f>+'ACADEMIC SUPP 4yr'!R65+'STU SERVICES 4yr'!R65+'INST SUPPORT 4yr'!R65</f>
        <v>43765.770000000004</v>
      </c>
      <c r="S65" s="50">
        <f>+'ACADEMIC SUPP 4yr'!S65+'STU SERVICES 4yr'!S65+'INST SUPPORT 4yr'!S65</f>
        <v>45967.834999999999</v>
      </c>
      <c r="T65" s="50">
        <f>+'ACADEMIC SUPP 4yr'!T65+'STU SERVICES 4yr'!T65+'INST SUPPORT 4yr'!T65</f>
        <v>51217.588499999998</v>
      </c>
      <c r="U65" s="50">
        <f>+'ACADEMIC SUPP 4yr'!U65+'STU SERVICES 4yr'!U65+'INST SUPPORT 4yr'!U65</f>
        <v>43885.665999999997</v>
      </c>
      <c r="V65" s="50">
        <f>+'ACADEMIC SUPP 4yr'!V65+'STU SERVICES 4yr'!V65+'INST SUPPORT 4yr'!V65</f>
        <v>48992</v>
      </c>
      <c r="W65" s="50">
        <f>+'ACADEMIC SUPP 4yr'!W65+'STU SERVICES 4yr'!W65+'INST SUPPORT 4yr'!W65</f>
        <v>54667.047000000006</v>
      </c>
      <c r="X65" s="50">
        <f>+'ACADEMIC SUPP 4yr'!X65+'STU SERVICES 4yr'!X65+'INST SUPPORT 4yr'!X65</f>
        <v>46493.322</v>
      </c>
      <c r="Y65" s="50">
        <f>+'ACADEMIC SUPP 4yr'!Y65+'STU SERVICES 4yr'!Y65+'INST SUPPORT 4yr'!Y65</f>
        <v>53895.373999999996</v>
      </c>
      <c r="Z65" s="50">
        <f>+'ACADEMIC SUPP 4yr'!Z65+'STU SERVICES 4yr'!Z65+'INST SUPPORT 4yr'!Z65</f>
        <v>43709.917000000001</v>
      </c>
      <c r="AA65" s="50">
        <f>+'ACADEMIC SUPP 4yr'!AA65+'STU SERVICES 4yr'!AA65+'INST SUPPORT 4yr'!AA65</f>
        <v>47797.368000000002</v>
      </c>
      <c r="AB65" s="50">
        <f>+'ACADEMIC SUPP 4yr'!AB65+'STU SERVICES 4yr'!AB65+'INST SUPPORT 4yr'!AB65</f>
        <v>53513.769</v>
      </c>
      <c r="AC65" s="50">
        <f>+'ACADEMIC SUPP 4yr'!AC65+'STU SERVICES 4yr'!AC65+'INST SUPPORT 4yr'!AC65</f>
        <v>52803.076000000001</v>
      </c>
      <c r="AD65" s="50">
        <f>+'ACADEMIC SUPP 4yr'!AD65+'STU SERVICES 4yr'!AD65+'INST SUPPORT 4yr'!AD65</f>
        <v>0</v>
      </c>
      <c r="AE65" s="50">
        <f>+'ACADEMIC SUPP 4yr'!AE65+'STU SERVICES 4yr'!AE65+'INST SUPPORT 4yr'!AE65</f>
        <v>72594.290999999997</v>
      </c>
    </row>
    <row r="67" spans="1:31">
      <c r="I67" s="1" t="s">
        <v>99</v>
      </c>
      <c r="P67" s="1" t="s">
        <v>99</v>
      </c>
      <c r="Q67" s="1" t="s">
        <v>99</v>
      </c>
      <c r="R67" s="1" t="s">
        <v>99</v>
      </c>
      <c r="S67" s="1" t="s">
        <v>99</v>
      </c>
      <c r="T67" s="1" t="s">
        <v>99</v>
      </c>
    </row>
    <row r="68" spans="1:31">
      <c r="I68" s="1" t="s">
        <v>102</v>
      </c>
      <c r="P68" s="1" t="s">
        <v>102</v>
      </c>
      <c r="Q68" s="1" t="s">
        <v>102</v>
      </c>
      <c r="R68" s="1" t="s">
        <v>102</v>
      </c>
      <c r="S68" s="1" t="s">
        <v>102</v>
      </c>
      <c r="T68" s="1" t="s">
        <v>102</v>
      </c>
    </row>
    <row r="69" spans="1:31">
      <c r="I69" s="1" t="s">
        <v>105</v>
      </c>
      <c r="P69" s="1" t="s">
        <v>105</v>
      </c>
      <c r="Q69" s="1" t="s">
        <v>105</v>
      </c>
      <c r="R69" s="1" t="s">
        <v>105</v>
      </c>
      <c r="S69" s="1" t="s">
        <v>105</v>
      </c>
      <c r="T69" s="1" t="s">
        <v>105</v>
      </c>
    </row>
  </sheetData>
  <phoneticPr fontId="6" type="noConversion"/>
  <pageMargins left="0.5" right="0.5" top="0.5" bottom="0.55000000000000004" header="0.5" footer="0.5"/>
  <pageSetup scale="76" orientation="landscape" verticalDpi="300" r:id="rId1"/>
  <headerFooter alignWithMargins="0">
    <oddFooter>&amp;LSREB Fact Book 1996/1997&amp;CUpdate&amp;R&amp;D</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codeName="Sheet6">
    <tabColor indexed="58"/>
  </sheetPr>
  <dimension ref="A1:AE69"/>
  <sheetViews>
    <sheetView showZeros="0" zoomScale="80" zoomScaleNormal="80" workbookViewId="0">
      <pane xSplit="1" ySplit="5" topLeftCell="T6" activePane="bottomRight" state="frozen"/>
      <selection pane="topRight" activeCell="B52" sqref="B52"/>
      <selection pane="bottomLeft" activeCell="B52" sqref="B52"/>
      <selection pane="bottomRight" activeCell="AC6" sqref="AC6:AE64"/>
    </sheetView>
  </sheetViews>
  <sheetFormatPr defaultColWidth="9.85546875" defaultRowHeight="12.75"/>
  <cols>
    <col min="1" max="1" width="23.42578125" style="43" customWidth="1"/>
    <col min="2" max="20" width="12.42578125" style="1" customWidth="1"/>
    <col min="21" max="21" width="12.5703125" style="1" customWidth="1"/>
    <col min="22" max="25" width="11.5703125" style="1" bestFit="1" customWidth="1"/>
    <col min="26" max="27" width="11.5703125" style="1" customWidth="1"/>
    <col min="28" max="29" width="9.85546875" style="1"/>
    <col min="30" max="31" width="12.42578125" style="1" customWidth="1"/>
    <col min="32" max="16384" width="9.85546875" style="1"/>
  </cols>
  <sheetData>
    <row r="1" spans="1:31">
      <c r="A1" s="7" t="s">
        <v>94</v>
      </c>
      <c r="B1"/>
      <c r="C1"/>
      <c r="D1"/>
      <c r="E1"/>
      <c r="F1"/>
      <c r="G1"/>
      <c r="H1"/>
      <c r="I1"/>
      <c r="J1"/>
      <c r="K1"/>
      <c r="L1"/>
      <c r="M1"/>
      <c r="N1"/>
      <c r="O1"/>
      <c r="P1"/>
      <c r="Q1"/>
      <c r="R1"/>
      <c r="S1"/>
      <c r="T1"/>
    </row>
    <row r="2" spans="1:31">
      <c r="A2" s="7" t="s">
        <v>131</v>
      </c>
      <c r="C2" s="9"/>
      <c r="D2" s="9"/>
      <c r="E2" s="9"/>
      <c r="F2" s="9"/>
    </row>
    <row r="3" spans="1:31">
      <c r="A3" s="1" t="s">
        <v>132</v>
      </c>
    </row>
    <row r="4" spans="1:31" s="32" customFormat="1">
      <c r="A4" s="33" t="s">
        <v>133</v>
      </c>
      <c r="B4" s="32">
        <v>1984</v>
      </c>
      <c r="C4" s="32">
        <v>1985</v>
      </c>
      <c r="D4" s="32">
        <v>1986</v>
      </c>
      <c r="E4" s="32">
        <v>1991</v>
      </c>
      <c r="F4" s="32">
        <v>1992</v>
      </c>
      <c r="G4" s="32">
        <v>1993</v>
      </c>
      <c r="H4" s="32">
        <v>1994</v>
      </c>
      <c r="I4" s="32">
        <v>1995</v>
      </c>
      <c r="J4" s="32">
        <v>1996</v>
      </c>
      <c r="K4" s="32">
        <v>1997</v>
      </c>
      <c r="L4" s="32">
        <v>2000</v>
      </c>
      <c r="M4" s="39">
        <v>2001</v>
      </c>
      <c r="N4" s="39">
        <v>2002</v>
      </c>
      <c r="O4" s="39">
        <v>2003</v>
      </c>
      <c r="P4" s="39">
        <v>2004</v>
      </c>
      <c r="Q4" s="39">
        <v>2005</v>
      </c>
      <c r="R4" s="39">
        <v>2006</v>
      </c>
      <c r="S4" s="39">
        <v>2007</v>
      </c>
      <c r="T4" s="39">
        <v>2008</v>
      </c>
      <c r="U4" s="39">
        <v>2009</v>
      </c>
      <c r="V4" s="39">
        <v>2010</v>
      </c>
      <c r="W4" s="39">
        <v>2011</v>
      </c>
      <c r="X4" s="32" t="s">
        <v>111</v>
      </c>
      <c r="Y4" s="32" t="s">
        <v>112</v>
      </c>
      <c r="Z4" s="32" t="s">
        <v>113</v>
      </c>
      <c r="AA4" s="32" t="s">
        <v>114</v>
      </c>
      <c r="AB4" s="95" t="s">
        <v>115</v>
      </c>
      <c r="AC4" s="95" t="s">
        <v>116</v>
      </c>
      <c r="AD4" s="96">
        <v>2018</v>
      </c>
      <c r="AE4" s="96">
        <v>2019</v>
      </c>
    </row>
    <row r="5" spans="1:31">
      <c r="B5" s="8" t="s">
        <v>109</v>
      </c>
      <c r="C5" s="8" t="s">
        <v>109</v>
      </c>
      <c r="D5" s="8" t="s">
        <v>109</v>
      </c>
      <c r="E5" s="8" t="s">
        <v>109</v>
      </c>
      <c r="F5" s="8" t="s">
        <v>109</v>
      </c>
      <c r="G5" s="8" t="s">
        <v>109</v>
      </c>
      <c r="H5" s="8" t="s">
        <v>109</v>
      </c>
      <c r="I5" s="8" t="s">
        <v>109</v>
      </c>
      <c r="J5" s="8" t="s">
        <v>109</v>
      </c>
      <c r="K5" s="8" t="s">
        <v>109</v>
      </c>
      <c r="L5" s="8" t="s">
        <v>109</v>
      </c>
      <c r="M5" s="8" t="s">
        <v>109</v>
      </c>
      <c r="N5" s="8" t="s">
        <v>109</v>
      </c>
      <c r="O5" s="8" t="s">
        <v>109</v>
      </c>
      <c r="P5" s="8" t="s">
        <v>109</v>
      </c>
      <c r="Q5" s="8" t="s">
        <v>109</v>
      </c>
      <c r="R5" s="8" t="s">
        <v>109</v>
      </c>
      <c r="S5" s="8" t="s">
        <v>109</v>
      </c>
      <c r="T5" s="8" t="s">
        <v>109</v>
      </c>
      <c r="U5" s="8" t="s">
        <v>109</v>
      </c>
      <c r="V5" s="8" t="s">
        <v>109</v>
      </c>
      <c r="W5" s="8" t="s">
        <v>109</v>
      </c>
      <c r="X5" s="8" t="s">
        <v>109</v>
      </c>
      <c r="Y5" s="8" t="s">
        <v>109</v>
      </c>
      <c r="Z5" s="8" t="s">
        <v>109</v>
      </c>
      <c r="AA5" s="8" t="s">
        <v>109</v>
      </c>
      <c r="AB5" s="8" t="s">
        <v>109</v>
      </c>
      <c r="AC5" s="8" t="s">
        <v>109</v>
      </c>
      <c r="AD5" s="8" t="s">
        <v>109</v>
      </c>
      <c r="AE5" s="8" t="s">
        <v>109</v>
      </c>
    </row>
    <row r="6" spans="1:31">
      <c r="A6" s="23" t="s">
        <v>24</v>
      </c>
      <c r="B6" s="51">
        <f>'ACADEMIC SUPP 2yr'!B6+'STU SERVICES 2yr'!B6+'INST SUPPORT 2yr'!B6</f>
        <v>2787252</v>
      </c>
      <c r="C6" s="51">
        <f>'ACADEMIC SUPP 2yr'!C6+'STU SERVICES 2yr'!C6+'INST SUPPORT 2yr'!C6</f>
        <v>3053627</v>
      </c>
      <c r="D6" s="51">
        <f>'ACADEMIC SUPP 2yr'!D6+'STU SERVICES 2yr'!D6+'INST SUPPORT 2yr'!D6</f>
        <v>3339217</v>
      </c>
      <c r="E6" s="51">
        <f>'ACADEMIC SUPP 2yr'!E6+'STU SERVICES 2yr'!E6+'INST SUPPORT 2yr'!E6</f>
        <v>5132308.8670000006</v>
      </c>
      <c r="F6" s="51">
        <f>'ACADEMIC SUPP 2yr'!F6+'STU SERVICES 2yr'!F6+'INST SUPPORT 2yr'!F6</f>
        <v>5214282.0650000013</v>
      </c>
      <c r="G6" s="51">
        <f>'ACADEMIC SUPP 2yr'!G6+'STU SERVICES 2yr'!G6+'INST SUPPORT 2yr'!G6</f>
        <v>5787215.5019999994</v>
      </c>
      <c r="H6" s="51">
        <f>'ACADEMIC SUPP 2yr'!H6+'STU SERVICES 2yr'!H6+'INST SUPPORT 2yr'!H6</f>
        <v>6189371.7060000002</v>
      </c>
      <c r="I6" s="51">
        <f>'ACADEMIC SUPP 2yr'!I6+'STU SERVICES 2yr'!I6+'INST SUPPORT 2yr'!I6</f>
        <v>6128270.6939999992</v>
      </c>
      <c r="J6" s="51">
        <f>'ACADEMIC SUPP 2yr'!J6+'STU SERVICES 2yr'!J6+'INST SUPPORT 2yr'!J6</f>
        <v>6996385.0970000001</v>
      </c>
      <c r="K6" s="51">
        <f>'ACADEMIC SUPP 2yr'!K6+'STU SERVICES 2yr'!K6+'INST SUPPORT 2yr'!K6</f>
        <v>7429471.3381200004</v>
      </c>
      <c r="L6" s="51">
        <f>'ACADEMIC SUPP 2yr'!L6+'STU SERVICES 2yr'!L6+'INST SUPPORT 2yr'!L6</f>
        <v>8437518.9019999988</v>
      </c>
      <c r="M6" s="51">
        <f>'ACADEMIC SUPP 2yr'!M6+'STU SERVICES 2yr'!M6+'INST SUPPORT 2yr'!M6</f>
        <v>9268626.2359999996</v>
      </c>
      <c r="N6" s="51">
        <f>'ACADEMIC SUPP 2yr'!N6+'STU SERVICES 2yr'!N6+'INST SUPPORT 2yr'!N6</f>
        <v>9409403.0780000016</v>
      </c>
      <c r="O6" s="51">
        <f>'ACADEMIC SUPP 2yr'!O6+'STU SERVICES 2yr'!O6+'INST SUPPORT 2yr'!O6</f>
        <v>9487852.9459999986</v>
      </c>
      <c r="P6" s="51">
        <f>'ACADEMIC SUPP 2yr'!P6+'STU SERVICES 2yr'!P6+'INST SUPPORT 2yr'!P6</f>
        <v>9913356.7170000002</v>
      </c>
      <c r="Q6" s="51">
        <f>'ACADEMIC SUPP 2yr'!Q6+'STU SERVICES 2yr'!Q6+'INST SUPPORT 2yr'!Q6</f>
        <v>11015688.735000001</v>
      </c>
      <c r="R6" s="51">
        <f>'ACADEMIC SUPP 2yr'!R6+'STU SERVICES 2yr'!R6+'INST SUPPORT 2yr'!R6</f>
        <v>11671747.359999999</v>
      </c>
      <c r="S6" s="51">
        <f>'ACADEMIC SUPP 2yr'!S6+'STU SERVICES 2yr'!S6+'INST SUPPORT 2yr'!S6</f>
        <v>12493130.104</v>
      </c>
      <c r="T6" s="51">
        <f>'ACADEMIC SUPP 2yr'!T6+'STU SERVICES 2yr'!T6+'INST SUPPORT 2yr'!T6</f>
        <v>13803569.07</v>
      </c>
      <c r="U6" s="51">
        <f>'ACADEMIC SUPP 2yr'!U6+'STU SERVICES 2yr'!U6+'INST SUPPORT 2yr'!U6</f>
        <v>15142029.221999999</v>
      </c>
      <c r="V6" s="51">
        <f>'ACADEMIC SUPP 2yr'!V6+'STU SERVICES 2yr'!V6+'INST SUPPORT 2yr'!V6</f>
        <v>17577328.846999999</v>
      </c>
      <c r="W6" s="51">
        <f>'ACADEMIC SUPP 2yr'!W6+'STU SERVICES 2yr'!W6+'INST SUPPORT 2yr'!W6</f>
        <v>18459798.427999999</v>
      </c>
      <c r="X6" s="51">
        <f>'ACADEMIC SUPP 2yr'!X6+'STU SERVICES 2yr'!X6+'INST SUPPORT 2yr'!X6</f>
        <v>18866601.881999999</v>
      </c>
      <c r="Y6" s="51">
        <f>'ACADEMIC SUPP 2yr'!Y6+'STU SERVICES 2yr'!Y6+'INST SUPPORT 2yr'!Y6</f>
        <v>16465393.261</v>
      </c>
      <c r="Z6" s="51">
        <f>'ACADEMIC SUPP 2yr'!Z6+'STU SERVICES 2yr'!Z6+'INST SUPPORT 2yr'!Z6</f>
        <v>17201668.078000002</v>
      </c>
      <c r="AA6" s="51">
        <f>'ACADEMIC SUPP 2yr'!AA6+'STU SERVICES 2yr'!AA6+'INST SUPPORT 2yr'!AA6</f>
        <v>17519576.095999997</v>
      </c>
      <c r="AB6" s="51">
        <f>'ACADEMIC SUPP 2yr'!AB6+'STU SERVICES 2yr'!AB6+'INST SUPPORT 2yr'!AB6</f>
        <v>21036333.013</v>
      </c>
      <c r="AC6" s="51">
        <f>'ACADEMIC SUPP 2yr'!AC6+'STU SERVICES 2yr'!AC6+'INST SUPPORT 2yr'!AC6</f>
        <v>21384630.829999998</v>
      </c>
      <c r="AD6" s="51">
        <f>'ACADEMIC SUPP 2yr'!AD6+'STU SERVICES 2yr'!AD6+'INST SUPPORT 2yr'!AD6</f>
        <v>0</v>
      </c>
      <c r="AE6" s="51">
        <f>'ACADEMIC SUPP 2yr'!AE6+'STU SERVICES 2yr'!AE6+'INST SUPPORT 2yr'!AE6</f>
        <v>22333033.094000001</v>
      </c>
    </row>
    <row r="7" spans="1:31">
      <c r="A7" s="1" t="s">
        <v>25</v>
      </c>
      <c r="B7" s="47">
        <f>'ACADEMIC SUPP 2yr'!B7+'STU SERVICES 2yr'!B7+'INST SUPPORT 2yr'!B7</f>
        <v>843581</v>
      </c>
      <c r="C7" s="47">
        <f>'ACADEMIC SUPP 2yr'!C7+'STU SERVICES 2yr'!C7+'INST SUPPORT 2yr'!C7</f>
        <v>927311</v>
      </c>
      <c r="D7" s="47">
        <f>'ACADEMIC SUPP 2yr'!D7+'STU SERVICES 2yr'!D7+'INST SUPPORT 2yr'!D7</f>
        <v>994871</v>
      </c>
      <c r="E7" s="47">
        <f>'ACADEMIC SUPP 2yr'!E7+'STU SERVICES 2yr'!E7+'INST SUPPORT 2yr'!E7</f>
        <v>1536749.8310000002</v>
      </c>
      <c r="F7" s="47">
        <f>'ACADEMIC SUPP 2yr'!F7+'STU SERVICES 2yr'!F7+'INST SUPPORT 2yr'!F7</f>
        <v>1564985.9120000002</v>
      </c>
      <c r="G7" s="47">
        <f>'ACADEMIC SUPP 2yr'!G7+'STU SERVICES 2yr'!G7+'INST SUPPORT 2yr'!G7</f>
        <v>1686210.1410000001</v>
      </c>
      <c r="H7" s="47">
        <f>'ACADEMIC SUPP 2yr'!H7+'STU SERVICES 2yr'!H7+'INST SUPPORT 2yr'!H7</f>
        <v>1835494.4800000002</v>
      </c>
      <c r="I7" s="47">
        <f>'ACADEMIC SUPP 2yr'!I7+'STU SERVICES 2yr'!I7+'INST SUPPORT 2yr'!I7</f>
        <v>1915316.06</v>
      </c>
      <c r="J7" s="47">
        <f>'ACADEMIC SUPP 2yr'!J7+'STU SERVICES 2yr'!J7+'INST SUPPORT 2yr'!J7</f>
        <v>2047141.0729999999</v>
      </c>
      <c r="K7" s="47">
        <f>'ACADEMIC SUPP 2yr'!K7+'STU SERVICES 2yr'!K7+'INST SUPPORT 2yr'!K7</f>
        <v>2147628.9709100001</v>
      </c>
      <c r="L7" s="47">
        <f>'ACADEMIC SUPP 2yr'!L7+'STU SERVICES 2yr'!L7+'INST SUPPORT 2yr'!L7</f>
        <v>2714539.3669999996</v>
      </c>
      <c r="M7" s="47">
        <f>'ACADEMIC SUPP 2yr'!M7+'STU SERVICES 2yr'!M7+'INST SUPPORT 2yr'!M7</f>
        <v>3057998.3569999998</v>
      </c>
      <c r="N7" s="47">
        <f>'ACADEMIC SUPP 2yr'!N7+'STU SERVICES 2yr'!N7+'INST SUPPORT 2yr'!N7</f>
        <v>2961333.7009999999</v>
      </c>
      <c r="O7" s="47">
        <f>'ACADEMIC SUPP 2yr'!O7+'STU SERVICES 2yr'!O7+'INST SUPPORT 2yr'!O7</f>
        <v>3006436.3480000002</v>
      </c>
      <c r="P7" s="47">
        <f>'ACADEMIC SUPP 2yr'!P7+'STU SERVICES 2yr'!P7+'INST SUPPORT 2yr'!P7</f>
        <v>3162518.8509999998</v>
      </c>
      <c r="Q7" s="47">
        <f>'ACADEMIC SUPP 2yr'!Q7+'STU SERVICES 2yr'!Q7+'INST SUPPORT 2yr'!Q7</f>
        <v>3501683.827</v>
      </c>
      <c r="R7" s="47">
        <f>'ACADEMIC SUPP 2yr'!R7+'STU SERVICES 2yr'!R7+'INST SUPPORT 2yr'!R7</f>
        <v>3702903.4399999995</v>
      </c>
      <c r="S7" s="47">
        <f>'ACADEMIC SUPP 2yr'!S7+'STU SERVICES 2yr'!S7+'INST SUPPORT 2yr'!S7</f>
        <v>4044443.531</v>
      </c>
      <c r="T7" s="47">
        <f>'ACADEMIC SUPP 2yr'!T7+'STU SERVICES 2yr'!T7+'INST SUPPORT 2yr'!T7</f>
        <v>4486109.8229999999</v>
      </c>
      <c r="U7" s="47">
        <f>'ACADEMIC SUPP 2yr'!U7+'STU SERVICES 2yr'!U7+'INST SUPPORT 2yr'!U7</f>
        <v>4921304.5389999999</v>
      </c>
      <c r="V7" s="47">
        <f>'ACADEMIC SUPP 2yr'!V7+'STU SERVICES 2yr'!V7+'INST SUPPORT 2yr'!V7</f>
        <v>5861889.0879999995</v>
      </c>
      <c r="W7" s="47">
        <f>'ACADEMIC SUPP 2yr'!W7+'STU SERVICES 2yr'!W7+'INST SUPPORT 2yr'!W7</f>
        <v>6215543.3229999999</v>
      </c>
      <c r="X7" s="47">
        <f>'ACADEMIC SUPP 2yr'!X7+'STU SERVICES 2yr'!X7+'INST SUPPORT 2yr'!X7</f>
        <v>6396906.1799999997</v>
      </c>
      <c r="Y7" s="47">
        <f>'ACADEMIC SUPP 2yr'!Y7+'STU SERVICES 2yr'!Y7+'INST SUPPORT 2yr'!Y7</f>
        <v>6232584.5989999995</v>
      </c>
      <c r="Z7" s="47">
        <f>'ACADEMIC SUPP 2yr'!Z7+'STU SERVICES 2yr'!Z7+'INST SUPPORT 2yr'!Z7</f>
        <v>6515607.0640000002</v>
      </c>
      <c r="AA7" s="47">
        <f>'ACADEMIC SUPP 2yr'!AA7+'STU SERVICES 2yr'!AA7+'INST SUPPORT 2yr'!AA7</f>
        <v>6589801.6729999986</v>
      </c>
      <c r="AB7" s="47">
        <f>'ACADEMIC SUPP 2yr'!AB7+'STU SERVICES 2yr'!AB7+'INST SUPPORT 2yr'!AB7</f>
        <v>7050353.3180000009</v>
      </c>
      <c r="AC7" s="47">
        <f>'ACADEMIC SUPP 2yr'!AC7+'STU SERVICES 2yr'!AC7+'INST SUPPORT 2yr'!AC7</f>
        <v>6825215.5690000001</v>
      </c>
      <c r="AD7" s="47">
        <f>'ACADEMIC SUPP 2yr'!AD7+'STU SERVICES 2yr'!AD7+'INST SUPPORT 2yr'!AD7</f>
        <v>0</v>
      </c>
      <c r="AE7" s="47">
        <f>'ACADEMIC SUPP 2yr'!AE7+'STU SERVICES 2yr'!AE7+'INST SUPPORT 2yr'!AE7</f>
        <v>7079414.8549999995</v>
      </c>
    </row>
    <row r="8" spans="1:31">
      <c r="A8" s="7" t="s">
        <v>97</v>
      </c>
      <c r="B8" s="47">
        <f>'ACADEMIC SUPP 2yr'!B8+'STU SERVICES 2yr'!B8+'INST SUPPORT 2yr'!B8</f>
        <v>0</v>
      </c>
      <c r="C8" s="47">
        <f>'ACADEMIC SUPP 2yr'!C8+'STU SERVICES 2yr'!C8+'INST SUPPORT 2yr'!C8</f>
        <v>0</v>
      </c>
      <c r="D8" s="47">
        <f>'ACADEMIC SUPP 2yr'!D8+'STU SERVICES 2yr'!D8+'INST SUPPORT 2yr'!D8</f>
        <v>0</v>
      </c>
      <c r="E8" s="47">
        <f>'ACADEMIC SUPP 2yr'!E8+'STU SERVICES 2yr'!E8+'INST SUPPORT 2yr'!E8</f>
        <v>0</v>
      </c>
      <c r="F8" s="47">
        <f>'ACADEMIC SUPP 2yr'!F8+'STU SERVICES 2yr'!F8+'INST SUPPORT 2yr'!F8</f>
        <v>0</v>
      </c>
      <c r="G8" s="47">
        <f>'ACADEMIC SUPP 2yr'!G8+'STU SERVICES 2yr'!G8+'INST SUPPORT 2yr'!G8</f>
        <v>0</v>
      </c>
      <c r="H8" s="47">
        <f>'ACADEMIC SUPP 2yr'!H8+'STU SERVICES 2yr'!H8+'INST SUPPORT 2yr'!H8</f>
        <v>0</v>
      </c>
      <c r="I8" s="47">
        <f>'ACADEMIC SUPP 2yr'!I8+'STU SERVICES 2yr'!I8+'INST SUPPORT 2yr'!I8</f>
        <v>0</v>
      </c>
      <c r="J8" s="47">
        <f>'ACADEMIC SUPP 2yr'!J8+'STU SERVICES 2yr'!J8+'INST SUPPORT 2yr'!J8</f>
        <v>0</v>
      </c>
      <c r="K8" s="47">
        <f>'ACADEMIC SUPP 2yr'!K8+'STU SERVICES 2yr'!K8+'INST SUPPORT 2yr'!K8</f>
        <v>0</v>
      </c>
      <c r="L8" s="47">
        <f>'ACADEMIC SUPP 2yr'!L8+'STU SERVICES 2yr'!L8+'INST SUPPORT 2yr'!L8</f>
        <v>0</v>
      </c>
      <c r="M8" s="47">
        <f>'ACADEMIC SUPP 2yr'!M8+'STU SERVICES 2yr'!M8+'INST SUPPORT 2yr'!M8</f>
        <v>0</v>
      </c>
      <c r="N8" s="47">
        <f>'ACADEMIC SUPP 2yr'!N8+'STU SERVICES 2yr'!N8+'INST SUPPORT 2yr'!N8</f>
        <v>0</v>
      </c>
      <c r="O8" s="47">
        <f>'ACADEMIC SUPP 2yr'!O8+'STU SERVICES 2yr'!O8+'INST SUPPORT 2yr'!O8</f>
        <v>0</v>
      </c>
      <c r="P8" s="47">
        <f>'ACADEMIC SUPP 2yr'!P8+'STU SERVICES 2yr'!P8+'INST SUPPORT 2yr'!P8</f>
        <v>0</v>
      </c>
      <c r="Q8" s="47">
        <f>'ACADEMIC SUPP 2yr'!Q8+'STU SERVICES 2yr'!Q8+'INST SUPPORT 2yr'!Q8</f>
        <v>0</v>
      </c>
      <c r="R8" s="47">
        <f>'ACADEMIC SUPP 2yr'!R8+'STU SERVICES 2yr'!R8+'INST SUPPORT 2yr'!R8</f>
        <v>0</v>
      </c>
      <c r="S8" s="47">
        <f>'ACADEMIC SUPP 2yr'!S8+'STU SERVICES 2yr'!S8+'INST SUPPORT 2yr'!S8</f>
        <v>0</v>
      </c>
      <c r="T8" s="47">
        <f>'ACADEMIC SUPP 2yr'!T8+'STU SERVICES 2yr'!T8+'INST SUPPORT 2yr'!T8</f>
        <v>0</v>
      </c>
      <c r="U8" s="47">
        <f>'ACADEMIC SUPP 2yr'!U8+'STU SERVICES 2yr'!U8+'INST SUPPORT 2yr'!U8</f>
        <v>0</v>
      </c>
      <c r="V8" s="47">
        <f>'ACADEMIC SUPP 2yr'!V8+'STU SERVICES 2yr'!V8+'INST SUPPORT 2yr'!V8</f>
        <v>0</v>
      </c>
      <c r="W8" s="47">
        <f>'ACADEMIC SUPP 2yr'!W8+'STU SERVICES 2yr'!W8+'INST SUPPORT 2yr'!W8</f>
        <v>0</v>
      </c>
      <c r="X8" s="47">
        <f>'ACADEMIC SUPP 2yr'!X8+'STU SERVICES 2yr'!X8+'INST SUPPORT 2yr'!X8</f>
        <v>0</v>
      </c>
      <c r="Y8" s="47">
        <f>'ACADEMIC SUPP 2yr'!Y8+'STU SERVICES 2yr'!Y8+'INST SUPPORT 2yr'!Y8</f>
        <v>0</v>
      </c>
      <c r="Z8" s="47">
        <f>'ACADEMIC SUPP 2yr'!Z8+'STU SERVICES 2yr'!Z8+'INST SUPPORT 2yr'!Z8</f>
        <v>0</v>
      </c>
      <c r="AA8" s="47">
        <f>'ACADEMIC SUPP 2yr'!AA8+'STU SERVICES 2yr'!AA8+'INST SUPPORT 2yr'!AA8</f>
        <v>0</v>
      </c>
      <c r="AB8" s="47">
        <f>'ACADEMIC SUPP 2yr'!AB8+'STU SERVICES 2yr'!AB8+'INST SUPPORT 2yr'!AB8</f>
        <v>0</v>
      </c>
      <c r="AC8" s="47">
        <f>'ACADEMIC SUPP 2yr'!AC8+'STU SERVICES 2yr'!AC8+'INST SUPPORT 2yr'!AC8</f>
        <v>0</v>
      </c>
      <c r="AD8" s="47">
        <f>'ACADEMIC SUPP 2yr'!AD8+'STU SERVICES 2yr'!AD8+'INST SUPPORT 2yr'!AD8</f>
        <v>0</v>
      </c>
      <c r="AE8" s="47">
        <f>'ACADEMIC SUPP 2yr'!AE8+'STU SERVICES 2yr'!AE8+'INST SUPPORT 2yr'!AE8</f>
        <v>0</v>
      </c>
    </row>
    <row r="9" spans="1:31">
      <c r="A9" s="1" t="s">
        <v>26</v>
      </c>
      <c r="B9" s="47">
        <f>'ACADEMIC SUPP 2yr'!B9+'STU SERVICES 2yr'!B9+'INST SUPPORT 2yr'!B9</f>
        <v>30675</v>
      </c>
      <c r="C9" s="47">
        <f>'ACADEMIC SUPP 2yr'!C9+'STU SERVICES 2yr'!C9+'INST SUPPORT 2yr'!C9</f>
        <v>40774</v>
      </c>
      <c r="D9" s="47">
        <f>'ACADEMIC SUPP 2yr'!D9+'STU SERVICES 2yr'!D9+'INST SUPPORT 2yr'!D9</f>
        <v>48430</v>
      </c>
      <c r="E9" s="47">
        <f>'ACADEMIC SUPP 2yr'!E9+'STU SERVICES 2yr'!E9+'INST SUPPORT 2yr'!E9</f>
        <v>76591.108999999997</v>
      </c>
      <c r="F9" s="47">
        <f>'ACADEMIC SUPP 2yr'!F9+'STU SERVICES 2yr'!F9+'INST SUPPORT 2yr'!F9</f>
        <v>76455.417000000001</v>
      </c>
      <c r="G9" s="47">
        <f>'ACADEMIC SUPP 2yr'!G9+'STU SERVICES 2yr'!G9+'INST SUPPORT 2yr'!G9</f>
        <v>85746.786999999997</v>
      </c>
      <c r="H9" s="47">
        <f>'ACADEMIC SUPP 2yr'!H9+'STU SERVICES 2yr'!H9+'INST SUPPORT 2yr'!H9</f>
        <v>96011.627999999997</v>
      </c>
      <c r="I9" s="47">
        <f>'ACADEMIC SUPP 2yr'!I9+'STU SERVICES 2yr'!I9+'INST SUPPORT 2yr'!I9</f>
        <v>96734.657000000007</v>
      </c>
      <c r="J9" s="47">
        <f>'ACADEMIC SUPP 2yr'!J9+'STU SERVICES 2yr'!J9+'INST SUPPORT 2yr'!J9</f>
        <v>101311.315</v>
      </c>
      <c r="K9" s="47">
        <f>'ACADEMIC SUPP 2yr'!K9+'STU SERVICES 2yr'!K9+'INST SUPPORT 2yr'!K9</f>
        <v>100103.79354000001</v>
      </c>
      <c r="L9" s="47">
        <f>'ACADEMIC SUPP 2yr'!L9+'STU SERVICES 2yr'!L9+'INST SUPPORT 2yr'!L9</f>
        <v>124625.39500000002</v>
      </c>
      <c r="M9" s="47">
        <f>'ACADEMIC SUPP 2yr'!M9+'STU SERVICES 2yr'!M9+'INST SUPPORT 2yr'!M9</f>
        <v>132675.84</v>
      </c>
      <c r="N9" s="47">
        <f>'ACADEMIC SUPP 2yr'!N9+'STU SERVICES 2yr'!N9+'INST SUPPORT 2yr'!N9</f>
        <v>131429.33000000002</v>
      </c>
      <c r="O9" s="47">
        <f>'ACADEMIC SUPP 2yr'!O9+'STU SERVICES 2yr'!O9+'INST SUPPORT 2yr'!O9</f>
        <v>141433.25599999999</v>
      </c>
      <c r="P9" s="47">
        <f>'ACADEMIC SUPP 2yr'!P9+'STU SERVICES 2yr'!P9+'INST SUPPORT 2yr'!P9</f>
        <v>144492.995</v>
      </c>
      <c r="Q9" s="47">
        <f>'ACADEMIC SUPP 2yr'!Q9+'STU SERVICES 2yr'!Q9+'INST SUPPORT 2yr'!Q9</f>
        <v>157034.53999999998</v>
      </c>
      <c r="R9" s="47">
        <f>'ACADEMIC SUPP 2yr'!R9+'STU SERVICES 2yr'!R9+'INST SUPPORT 2yr'!R9</f>
        <v>173834.47</v>
      </c>
      <c r="S9" s="47">
        <f>'ACADEMIC SUPP 2yr'!S9+'STU SERVICES 2yr'!S9+'INST SUPPORT 2yr'!S9</f>
        <v>187566.821</v>
      </c>
      <c r="T9" s="47">
        <f>'ACADEMIC SUPP 2yr'!T9+'STU SERVICES 2yr'!T9+'INST SUPPORT 2yr'!T9</f>
        <v>248733.44400000002</v>
      </c>
      <c r="U9" s="47">
        <f>'ACADEMIC SUPP 2yr'!U9+'STU SERVICES 2yr'!U9+'INST SUPPORT 2yr'!U9</f>
        <v>229801.291</v>
      </c>
      <c r="V9" s="47">
        <f>'ACADEMIC SUPP 2yr'!V9+'STU SERVICES 2yr'!V9+'INST SUPPORT 2yr'!V9</f>
        <v>259334.09100000001</v>
      </c>
      <c r="W9" s="47">
        <f>'ACADEMIC SUPP 2yr'!W9+'STU SERVICES 2yr'!W9+'INST SUPPORT 2yr'!W9</f>
        <v>263577.57</v>
      </c>
      <c r="X9" s="47">
        <f>'ACADEMIC SUPP 2yr'!X9+'STU SERVICES 2yr'!X9+'INST SUPPORT 2yr'!X9</f>
        <v>261672.65000000002</v>
      </c>
      <c r="Y9" s="47">
        <f>'ACADEMIC SUPP 2yr'!Y9+'STU SERVICES 2yr'!Y9+'INST SUPPORT 2yr'!Y9</f>
        <v>252673.79600000003</v>
      </c>
      <c r="Z9" s="47">
        <f>'ACADEMIC SUPP 2yr'!Z9+'STU SERVICES 2yr'!Z9+'INST SUPPORT 2yr'!Z9</f>
        <v>257997.00599999999</v>
      </c>
      <c r="AA9" s="47">
        <f>'ACADEMIC SUPP 2yr'!AA9+'STU SERVICES 2yr'!AA9+'INST SUPPORT 2yr'!AA9</f>
        <v>260201.709</v>
      </c>
      <c r="AB9" s="47">
        <f>'ACADEMIC SUPP 2yr'!AB9+'STU SERVICES 2yr'!AB9+'INST SUPPORT 2yr'!AB9</f>
        <v>261183.43099999998</v>
      </c>
      <c r="AC9" s="47">
        <f>'ACADEMIC SUPP 2yr'!AC9+'STU SERVICES 2yr'!AC9+'INST SUPPORT 2yr'!AC9</f>
        <v>248101.38399999999</v>
      </c>
      <c r="AD9" s="47">
        <f>'ACADEMIC SUPP 2yr'!AD9+'STU SERVICES 2yr'!AD9+'INST SUPPORT 2yr'!AD9</f>
        <v>0</v>
      </c>
      <c r="AE9" s="47">
        <f>'ACADEMIC SUPP 2yr'!AE9+'STU SERVICES 2yr'!AE9+'INST SUPPORT 2yr'!AE9</f>
        <v>243455.94199999998</v>
      </c>
    </row>
    <row r="10" spans="1:31">
      <c r="A10" s="1" t="s">
        <v>27</v>
      </c>
      <c r="B10" s="47">
        <f>'ACADEMIC SUPP 2yr'!B10+'STU SERVICES 2yr'!B10+'INST SUPPORT 2yr'!B10</f>
        <v>10589</v>
      </c>
      <c r="C10" s="47">
        <f>'ACADEMIC SUPP 2yr'!C10+'STU SERVICES 2yr'!C10+'INST SUPPORT 2yr'!C10</f>
        <v>11935</v>
      </c>
      <c r="D10" s="47">
        <f>'ACADEMIC SUPP 2yr'!D10+'STU SERVICES 2yr'!D10+'INST SUPPORT 2yr'!D10</f>
        <v>13374</v>
      </c>
      <c r="E10" s="47">
        <f>'ACADEMIC SUPP 2yr'!E10+'STU SERVICES 2yr'!E10+'INST SUPPORT 2yr'!E10</f>
        <v>17215.648999999998</v>
      </c>
      <c r="F10" s="47">
        <f>'ACADEMIC SUPP 2yr'!F10+'STU SERVICES 2yr'!F10+'INST SUPPORT 2yr'!F10</f>
        <v>20001.353000000003</v>
      </c>
      <c r="G10" s="47">
        <f>'ACADEMIC SUPP 2yr'!G10+'STU SERVICES 2yr'!G10+'INST SUPPORT 2yr'!G10</f>
        <v>24892.997000000003</v>
      </c>
      <c r="H10" s="47">
        <f>'ACADEMIC SUPP 2yr'!H10+'STU SERVICES 2yr'!H10+'INST SUPPORT 2yr'!H10</f>
        <v>28210.932999999997</v>
      </c>
      <c r="I10" s="47">
        <f>'ACADEMIC SUPP 2yr'!I10+'STU SERVICES 2yr'!I10+'INST SUPPORT 2yr'!I10</f>
        <v>32051.107</v>
      </c>
      <c r="J10" s="47">
        <f>'ACADEMIC SUPP 2yr'!J10+'STU SERVICES 2yr'!J10+'INST SUPPORT 2yr'!J10</f>
        <v>45417.91</v>
      </c>
      <c r="K10" s="47">
        <f>'ACADEMIC SUPP 2yr'!K10+'STU SERVICES 2yr'!K10+'INST SUPPORT 2yr'!K10</f>
        <v>41427.921999999999</v>
      </c>
      <c r="L10" s="47">
        <f>'ACADEMIC SUPP 2yr'!L10+'STU SERVICES 2yr'!L10+'INST SUPPORT 2yr'!L10</f>
        <v>59882.127</v>
      </c>
      <c r="M10" s="47">
        <f>'ACADEMIC SUPP 2yr'!M10+'STU SERVICES 2yr'!M10+'INST SUPPORT 2yr'!M10</f>
        <v>67542.790999999997</v>
      </c>
      <c r="N10" s="47">
        <f>'ACADEMIC SUPP 2yr'!N10+'STU SERVICES 2yr'!N10+'INST SUPPORT 2yr'!N10</f>
        <v>65058.625</v>
      </c>
      <c r="O10" s="47">
        <f>'ACADEMIC SUPP 2yr'!O10+'STU SERVICES 2yr'!O10+'INST SUPPORT 2yr'!O10</f>
        <v>68843.255000000005</v>
      </c>
      <c r="P10" s="47">
        <f>'ACADEMIC SUPP 2yr'!P10+'STU SERVICES 2yr'!P10+'INST SUPPORT 2yr'!P10</f>
        <v>77688.417000000001</v>
      </c>
      <c r="Q10" s="47">
        <f>'ACADEMIC SUPP 2yr'!Q10+'STU SERVICES 2yr'!Q10+'INST SUPPORT 2yr'!Q10</f>
        <v>82072.524999999994</v>
      </c>
      <c r="R10" s="47">
        <f>'ACADEMIC SUPP 2yr'!R10+'STU SERVICES 2yr'!R10+'INST SUPPORT 2yr'!R10</f>
        <v>95709.851999999999</v>
      </c>
      <c r="S10" s="47">
        <f>'ACADEMIC SUPP 2yr'!S10+'STU SERVICES 2yr'!S10+'INST SUPPORT 2yr'!S10</f>
        <v>117289.697</v>
      </c>
      <c r="T10" s="47">
        <f>'ACADEMIC SUPP 2yr'!T10+'STU SERVICES 2yr'!T10+'INST SUPPORT 2yr'!T10</f>
        <v>132207.37299999999</v>
      </c>
      <c r="U10" s="47">
        <f>'ACADEMIC SUPP 2yr'!U10+'STU SERVICES 2yr'!U10+'INST SUPPORT 2yr'!U10</f>
        <v>128536.16999999998</v>
      </c>
      <c r="V10" s="47">
        <f>'ACADEMIC SUPP 2yr'!V10+'STU SERVICES 2yr'!V10+'INST SUPPORT 2yr'!V10</f>
        <v>162444.14600000001</v>
      </c>
      <c r="W10" s="47">
        <f>'ACADEMIC SUPP 2yr'!W10+'STU SERVICES 2yr'!W10+'INST SUPPORT 2yr'!W10</f>
        <v>173794.261</v>
      </c>
      <c r="X10" s="47">
        <f>'ACADEMIC SUPP 2yr'!X10+'STU SERVICES 2yr'!X10+'INST SUPPORT 2yr'!X10</f>
        <v>180448.231</v>
      </c>
      <c r="Y10" s="47">
        <f>'ACADEMIC SUPP 2yr'!Y10+'STU SERVICES 2yr'!Y10+'INST SUPPORT 2yr'!Y10</f>
        <v>181109.079</v>
      </c>
      <c r="Z10" s="47">
        <f>'ACADEMIC SUPP 2yr'!Z10+'STU SERVICES 2yr'!Z10+'INST SUPPORT 2yr'!Z10</f>
        <v>183753.08100000001</v>
      </c>
      <c r="AA10" s="47">
        <f>'ACADEMIC SUPP 2yr'!AA10+'STU SERVICES 2yr'!AA10+'INST SUPPORT 2yr'!AA10</f>
        <v>180327.29200000002</v>
      </c>
      <c r="AB10" s="47">
        <f>'ACADEMIC SUPP 2yr'!AB10+'STU SERVICES 2yr'!AB10+'INST SUPPORT 2yr'!AB10</f>
        <v>170428.40700000001</v>
      </c>
      <c r="AC10" s="47">
        <f>'ACADEMIC SUPP 2yr'!AC10+'STU SERVICES 2yr'!AC10+'INST SUPPORT 2yr'!AC10</f>
        <v>169611.20699999999</v>
      </c>
      <c r="AD10" s="47">
        <f>'ACADEMIC SUPP 2yr'!AD10+'STU SERVICES 2yr'!AD10+'INST SUPPORT 2yr'!AD10</f>
        <v>0</v>
      </c>
      <c r="AE10" s="47">
        <f>'ACADEMIC SUPP 2yr'!AE10+'STU SERVICES 2yr'!AE10+'INST SUPPORT 2yr'!AE10</f>
        <v>173218.94199999998</v>
      </c>
    </row>
    <row r="11" spans="1:31">
      <c r="A11" s="1" t="s">
        <v>28</v>
      </c>
      <c r="B11" s="47">
        <f>'ACADEMIC SUPP 2yr'!B11+'STU SERVICES 2yr'!B11+'INST SUPPORT 2yr'!B11</f>
        <v>0</v>
      </c>
      <c r="C11" s="47">
        <f>'ACADEMIC SUPP 2yr'!C11+'STU SERVICES 2yr'!C11+'INST SUPPORT 2yr'!C11</f>
        <v>0</v>
      </c>
      <c r="D11" s="47">
        <f>'ACADEMIC SUPP 2yr'!D11+'STU SERVICES 2yr'!D11+'INST SUPPORT 2yr'!D11</f>
        <v>7549</v>
      </c>
      <c r="E11" s="47">
        <f>'ACADEMIC SUPP 2yr'!E11+'STU SERVICES 2yr'!E11+'INST SUPPORT 2yr'!E11</f>
        <v>15829.564</v>
      </c>
      <c r="F11" s="47">
        <f>'ACADEMIC SUPP 2yr'!F11+'STU SERVICES 2yr'!F11+'INST SUPPORT 2yr'!F11</f>
        <v>17414.596000000001</v>
      </c>
      <c r="G11" s="47">
        <f>'ACADEMIC SUPP 2yr'!G11+'STU SERVICES 2yr'!G11+'INST SUPPORT 2yr'!G11</f>
        <v>0</v>
      </c>
      <c r="H11" s="47">
        <f>'ACADEMIC SUPP 2yr'!H11+'STU SERVICES 2yr'!H11+'INST SUPPORT 2yr'!H11</f>
        <v>0</v>
      </c>
      <c r="I11" s="47">
        <f>'ACADEMIC SUPP 2yr'!I11+'STU SERVICES 2yr'!I11+'INST SUPPORT 2yr'!I11</f>
        <v>32607.612000000001</v>
      </c>
      <c r="J11" s="47">
        <f>'ACADEMIC SUPP 2yr'!J11+'STU SERVICES 2yr'!J11+'INST SUPPORT 2yr'!J11</f>
        <v>25579.523000000001</v>
      </c>
      <c r="K11" s="47">
        <f>'ACADEMIC SUPP 2yr'!K11+'STU SERVICES 2yr'!K11+'INST SUPPORT 2yr'!K11</f>
        <v>25309.901000000002</v>
      </c>
      <c r="L11" s="47">
        <f>'ACADEMIC SUPP 2yr'!L11+'STU SERVICES 2yr'!L11+'INST SUPPORT 2yr'!L11</f>
        <v>22136.955000000002</v>
      </c>
      <c r="M11" s="47">
        <f>'ACADEMIC SUPP 2yr'!M11+'STU SERVICES 2yr'!M11+'INST SUPPORT 2yr'!M11</f>
        <v>25002.440999999999</v>
      </c>
      <c r="N11" s="47">
        <f>'ACADEMIC SUPP 2yr'!N11+'STU SERVICES 2yr'!N11+'INST SUPPORT 2yr'!N11</f>
        <v>24366.258999999998</v>
      </c>
      <c r="O11" s="47">
        <f>'ACADEMIC SUPP 2yr'!O11+'STU SERVICES 2yr'!O11+'INST SUPPORT 2yr'!O11</f>
        <v>26432.953000000001</v>
      </c>
      <c r="P11" s="47">
        <f>'ACADEMIC SUPP 2yr'!P11+'STU SERVICES 2yr'!P11+'INST SUPPORT 2yr'!P11</f>
        <v>27233.620999999999</v>
      </c>
      <c r="Q11" s="47">
        <f>'ACADEMIC SUPP 2yr'!Q11+'STU SERVICES 2yr'!Q11+'INST SUPPORT 2yr'!Q11</f>
        <v>30342.202000000001</v>
      </c>
      <c r="R11" s="47">
        <f>'ACADEMIC SUPP 2yr'!R11+'STU SERVICES 2yr'!R11+'INST SUPPORT 2yr'!R11</f>
        <v>33758.373999999996</v>
      </c>
      <c r="S11" s="47">
        <f>'ACADEMIC SUPP 2yr'!S11+'STU SERVICES 2yr'!S11+'INST SUPPORT 2yr'!S11</f>
        <v>33202.809000000001</v>
      </c>
      <c r="T11" s="47">
        <f>'ACADEMIC SUPP 2yr'!T11+'STU SERVICES 2yr'!T11+'INST SUPPORT 2yr'!T11</f>
        <v>37216.883000000002</v>
      </c>
      <c r="U11" s="47">
        <f>'ACADEMIC SUPP 2yr'!U11+'STU SERVICES 2yr'!U11+'INST SUPPORT 2yr'!U11</f>
        <v>35338.426000000007</v>
      </c>
      <c r="V11" s="47">
        <f>'ACADEMIC SUPP 2yr'!V11+'STU SERVICES 2yr'!V11+'INST SUPPORT 2yr'!V11</f>
        <v>39788.565000000002</v>
      </c>
      <c r="W11" s="47">
        <f>'ACADEMIC SUPP 2yr'!W11+'STU SERVICES 2yr'!W11+'INST SUPPORT 2yr'!W11</f>
        <v>44567.251000000004</v>
      </c>
      <c r="X11" s="47">
        <f>'ACADEMIC SUPP 2yr'!X11+'STU SERVICES 2yr'!X11+'INST SUPPORT 2yr'!X11</f>
        <v>45874.103999999999</v>
      </c>
      <c r="Y11" s="47">
        <f>'ACADEMIC SUPP 2yr'!Y11+'STU SERVICES 2yr'!Y11+'INST SUPPORT 2yr'!Y11</f>
        <v>47653.913</v>
      </c>
      <c r="Z11" s="47">
        <f>'ACADEMIC SUPP 2yr'!Z11+'STU SERVICES 2yr'!Z11+'INST SUPPORT 2yr'!Z11</f>
        <v>51816.004999999997</v>
      </c>
      <c r="AA11" s="47">
        <f>'ACADEMIC SUPP 2yr'!AA11+'STU SERVICES 2yr'!AA11+'INST SUPPORT 2yr'!AA11</f>
        <v>49178.703999999998</v>
      </c>
      <c r="AB11" s="47">
        <f>'ACADEMIC SUPP 2yr'!AB11+'STU SERVICES 2yr'!AB11+'INST SUPPORT 2yr'!AB11</f>
        <v>52168.981</v>
      </c>
      <c r="AC11" s="47">
        <f>'ACADEMIC SUPP 2yr'!AC11+'STU SERVICES 2yr'!AC11+'INST SUPPORT 2yr'!AC11</f>
        <v>50605.195000000007</v>
      </c>
      <c r="AD11" s="47">
        <f>'ACADEMIC SUPP 2yr'!AD11+'STU SERVICES 2yr'!AD11+'INST SUPPORT 2yr'!AD11</f>
        <v>0</v>
      </c>
      <c r="AE11" s="47">
        <f>'ACADEMIC SUPP 2yr'!AE11+'STU SERVICES 2yr'!AE11+'INST SUPPORT 2yr'!AE11</f>
        <v>48055.510999999999</v>
      </c>
    </row>
    <row r="12" spans="1:31">
      <c r="A12" s="1" t="s">
        <v>29</v>
      </c>
      <c r="B12" s="47">
        <f>'ACADEMIC SUPP 2yr'!B12+'STU SERVICES 2yr'!B12+'INST SUPPORT 2yr'!B12</f>
        <v>175899</v>
      </c>
      <c r="C12" s="47">
        <f>'ACADEMIC SUPP 2yr'!C12+'STU SERVICES 2yr'!C12+'INST SUPPORT 2yr'!C12</f>
        <v>185355</v>
      </c>
      <c r="D12" s="47">
        <f>'ACADEMIC SUPP 2yr'!D12+'STU SERVICES 2yr'!D12+'INST SUPPORT 2yr'!D12</f>
        <v>196267</v>
      </c>
      <c r="E12" s="47">
        <f>'ACADEMIC SUPP 2yr'!E12+'STU SERVICES 2yr'!E12+'INST SUPPORT 2yr'!E12</f>
        <v>319972.92</v>
      </c>
      <c r="F12" s="47">
        <f>'ACADEMIC SUPP 2yr'!F12+'STU SERVICES 2yr'!F12+'INST SUPPORT 2yr'!F12</f>
        <v>329182.14500000002</v>
      </c>
      <c r="G12" s="47">
        <f>'ACADEMIC SUPP 2yr'!G12+'STU SERVICES 2yr'!G12+'INST SUPPORT 2yr'!G12</f>
        <v>360460.50600000005</v>
      </c>
      <c r="H12" s="47">
        <f>'ACADEMIC SUPP 2yr'!H12+'STU SERVICES 2yr'!H12+'INST SUPPORT 2yr'!H12</f>
        <v>382362.36699999997</v>
      </c>
      <c r="I12" s="47">
        <f>'ACADEMIC SUPP 2yr'!I12+'STU SERVICES 2yr'!I12+'INST SUPPORT 2yr'!I12</f>
        <v>393498.24599999998</v>
      </c>
      <c r="J12" s="47">
        <f>'ACADEMIC SUPP 2yr'!J12+'STU SERVICES 2yr'!J12+'INST SUPPORT 2yr'!J12</f>
        <v>398599.18099999998</v>
      </c>
      <c r="K12" s="47">
        <f>'ACADEMIC SUPP 2yr'!K12+'STU SERVICES 2yr'!K12+'INST SUPPORT 2yr'!K12</f>
        <v>420291.93000000005</v>
      </c>
      <c r="L12" s="47">
        <f>'ACADEMIC SUPP 2yr'!L12+'STU SERVICES 2yr'!L12+'INST SUPPORT 2yr'!L12</f>
        <v>555272.78599999996</v>
      </c>
      <c r="M12" s="47">
        <f>'ACADEMIC SUPP 2yr'!M12+'STU SERVICES 2yr'!M12+'INST SUPPORT 2yr'!M12</f>
        <v>636421.39400000009</v>
      </c>
      <c r="N12" s="47">
        <f>'ACADEMIC SUPP 2yr'!N12+'STU SERVICES 2yr'!N12+'INST SUPPORT 2yr'!N12</f>
        <v>574681.56700000004</v>
      </c>
      <c r="O12" s="47">
        <f>'ACADEMIC SUPP 2yr'!O12+'STU SERVICES 2yr'!O12+'INST SUPPORT 2yr'!O12</f>
        <v>475229.01500000001</v>
      </c>
      <c r="P12" s="47">
        <f>'ACADEMIC SUPP 2yr'!P12+'STU SERVICES 2yr'!P12+'INST SUPPORT 2yr'!P12</f>
        <v>504021.29300000006</v>
      </c>
      <c r="Q12" s="47">
        <f>'ACADEMIC SUPP 2yr'!Q12+'STU SERVICES 2yr'!Q12+'INST SUPPORT 2yr'!Q12</f>
        <v>530911.36899999995</v>
      </c>
      <c r="R12" s="47">
        <f>'ACADEMIC SUPP 2yr'!R12+'STU SERVICES 2yr'!R12+'INST SUPPORT 2yr'!R12</f>
        <v>551539.95799999998</v>
      </c>
      <c r="S12" s="47">
        <f>'ACADEMIC SUPP 2yr'!S12+'STU SERVICES 2yr'!S12+'INST SUPPORT 2yr'!S12</f>
        <v>667559.19700000004</v>
      </c>
      <c r="T12" s="47">
        <f>'ACADEMIC SUPP 2yr'!T12+'STU SERVICES 2yr'!T12+'INST SUPPORT 2yr'!T12</f>
        <v>675933.39500000002</v>
      </c>
      <c r="U12" s="47">
        <f>'ACADEMIC SUPP 2yr'!U12+'STU SERVICES 2yr'!U12+'INST SUPPORT 2yr'!U12</f>
        <v>1049072.6969999999</v>
      </c>
      <c r="V12" s="47">
        <f>'ACADEMIC SUPP 2yr'!V12+'STU SERVICES 2yr'!V12+'INST SUPPORT 2yr'!V12</f>
        <v>1053245.8470000001</v>
      </c>
      <c r="W12" s="47">
        <f>'ACADEMIC SUPP 2yr'!W12+'STU SERVICES 2yr'!W12+'INST SUPPORT 2yr'!W12</f>
        <v>1147347.615</v>
      </c>
      <c r="X12" s="47">
        <f>'ACADEMIC SUPP 2yr'!X12+'STU SERVICES 2yr'!X12+'INST SUPPORT 2yr'!X12</f>
        <v>1149135.632</v>
      </c>
      <c r="Y12" s="47">
        <f>'ACADEMIC SUPP 2yr'!Y12+'STU SERVICES 2yr'!Y12+'INST SUPPORT 2yr'!Y12</f>
        <v>1164165.3030000001</v>
      </c>
      <c r="Z12" s="47">
        <f>'ACADEMIC SUPP 2yr'!Z12+'STU SERVICES 2yr'!Z12+'INST SUPPORT 2yr'!Z12</f>
        <v>1234007.8290000001</v>
      </c>
      <c r="AA12" s="47">
        <f>'ACADEMIC SUPP 2yr'!AA12+'STU SERVICES 2yr'!AA12+'INST SUPPORT 2yr'!AA12</f>
        <v>1248568.625</v>
      </c>
      <c r="AB12" s="47">
        <f>'ACADEMIC SUPP 2yr'!AB12+'STU SERVICES 2yr'!AB12+'INST SUPPORT 2yr'!AB12</f>
        <v>1300605.794</v>
      </c>
      <c r="AC12" s="47">
        <f>'ACADEMIC SUPP 2yr'!AC12+'STU SERVICES 2yr'!AC12+'INST SUPPORT 2yr'!AC12</f>
        <v>1329468.716</v>
      </c>
      <c r="AD12" s="47">
        <f>'ACADEMIC SUPP 2yr'!AD12+'STU SERVICES 2yr'!AD12+'INST SUPPORT 2yr'!AD12</f>
        <v>0</v>
      </c>
      <c r="AE12" s="47">
        <f>'ACADEMIC SUPP 2yr'!AE12+'STU SERVICES 2yr'!AE12+'INST SUPPORT 2yr'!AE12</f>
        <v>1338218.713</v>
      </c>
    </row>
    <row r="13" spans="1:31">
      <c r="A13" s="1" t="s">
        <v>30</v>
      </c>
      <c r="B13" s="47">
        <f>'ACADEMIC SUPP 2yr'!B13+'STU SERVICES 2yr'!B13+'INST SUPPORT 2yr'!B13</f>
        <v>34701</v>
      </c>
      <c r="C13" s="47">
        <f>'ACADEMIC SUPP 2yr'!C13+'STU SERVICES 2yr'!C13+'INST SUPPORT 2yr'!C13</f>
        <v>37433</v>
      </c>
      <c r="D13" s="47">
        <f>'ACADEMIC SUPP 2yr'!D13+'STU SERVICES 2yr'!D13+'INST SUPPORT 2yr'!D13</f>
        <v>33651</v>
      </c>
      <c r="E13" s="47">
        <f>'ACADEMIC SUPP 2yr'!E13+'STU SERVICES 2yr'!E13+'INST SUPPORT 2yr'!E13</f>
        <v>73067.526000000013</v>
      </c>
      <c r="F13" s="47">
        <f>'ACADEMIC SUPP 2yr'!F13+'STU SERVICES 2yr'!F13+'INST SUPPORT 2yr'!F13</f>
        <v>87513.212</v>
      </c>
      <c r="G13" s="47">
        <f>'ACADEMIC SUPP 2yr'!G13+'STU SERVICES 2yr'!G13+'INST SUPPORT 2yr'!G13</f>
        <v>100707.784</v>
      </c>
      <c r="H13" s="47">
        <f>'ACADEMIC SUPP 2yr'!H13+'STU SERVICES 2yr'!H13+'INST SUPPORT 2yr'!H13</f>
        <v>114022.69899999999</v>
      </c>
      <c r="I13" s="47">
        <f>'ACADEMIC SUPP 2yr'!I13+'STU SERVICES 2yr'!I13+'INST SUPPORT 2yr'!I13</f>
        <v>133175.274</v>
      </c>
      <c r="J13" s="47">
        <f>'ACADEMIC SUPP 2yr'!J13+'STU SERVICES 2yr'!J13+'INST SUPPORT 2yr'!J13</f>
        <v>108426.62299999999</v>
      </c>
      <c r="K13" s="47">
        <f>'ACADEMIC SUPP 2yr'!K13+'STU SERVICES 2yr'!K13+'INST SUPPORT 2yr'!K13</f>
        <v>119904.83007999997</v>
      </c>
      <c r="L13" s="47">
        <f>'ACADEMIC SUPP 2yr'!L13+'STU SERVICES 2yr'!L13+'INST SUPPORT 2yr'!L13</f>
        <v>203956.70799999998</v>
      </c>
      <c r="M13" s="47">
        <f>'ACADEMIC SUPP 2yr'!M13+'STU SERVICES 2yr'!M13+'INST SUPPORT 2yr'!M13</f>
        <v>228795.60800000001</v>
      </c>
      <c r="N13" s="47">
        <f>'ACADEMIC SUPP 2yr'!N13+'STU SERVICES 2yr'!N13+'INST SUPPORT 2yr'!N13</f>
        <v>252711.18599999999</v>
      </c>
      <c r="O13" s="47">
        <f>'ACADEMIC SUPP 2yr'!O13+'STU SERVICES 2yr'!O13+'INST SUPPORT 2yr'!O13</f>
        <v>247985.91100000002</v>
      </c>
      <c r="P13" s="47">
        <f>'ACADEMIC SUPP 2yr'!P13+'STU SERVICES 2yr'!P13+'INST SUPPORT 2yr'!P13</f>
        <v>259260.86300000001</v>
      </c>
      <c r="Q13" s="47">
        <f>'ACADEMIC SUPP 2yr'!Q13+'STU SERVICES 2yr'!Q13+'INST SUPPORT 2yr'!Q13</f>
        <v>274358.489</v>
      </c>
      <c r="R13" s="47">
        <f>'ACADEMIC SUPP 2yr'!R13+'STU SERVICES 2yr'!R13+'INST SUPPORT 2yr'!R13</f>
        <v>291041.78399999999</v>
      </c>
      <c r="S13" s="47">
        <f>'ACADEMIC SUPP 2yr'!S13+'STU SERVICES 2yr'!S13+'INST SUPPORT 2yr'!S13</f>
        <v>295605.065</v>
      </c>
      <c r="T13" s="47">
        <f>'ACADEMIC SUPP 2yr'!T13+'STU SERVICES 2yr'!T13+'INST SUPPORT 2yr'!T13</f>
        <v>316562.15500000003</v>
      </c>
      <c r="U13" s="47">
        <f>'ACADEMIC SUPP 2yr'!U13+'STU SERVICES 2yr'!U13+'INST SUPPORT 2yr'!U13</f>
        <v>163322.851</v>
      </c>
      <c r="V13" s="47">
        <f>'ACADEMIC SUPP 2yr'!V13+'STU SERVICES 2yr'!V13+'INST SUPPORT 2yr'!V13</f>
        <v>437352.75600000005</v>
      </c>
      <c r="W13" s="47">
        <f>'ACADEMIC SUPP 2yr'!W13+'STU SERVICES 2yr'!W13+'INST SUPPORT 2yr'!W13</f>
        <v>472373.70399999997</v>
      </c>
      <c r="X13" s="47">
        <f>'ACADEMIC SUPP 2yr'!X13+'STU SERVICES 2yr'!X13+'INST SUPPORT 2yr'!X13</f>
        <v>514765.76199999999</v>
      </c>
      <c r="Y13" s="47">
        <f>'ACADEMIC SUPP 2yr'!Y13+'STU SERVICES 2yr'!Y13+'INST SUPPORT 2yr'!Y13</f>
        <v>164960.747</v>
      </c>
      <c r="Z13" s="47">
        <f>'ACADEMIC SUPP 2yr'!Z13+'STU SERVICES 2yr'!Z13+'INST SUPPORT 2yr'!Z13</f>
        <v>190954.87</v>
      </c>
      <c r="AA13" s="47">
        <f>'ACADEMIC SUPP 2yr'!AA13+'STU SERVICES 2yr'!AA13+'INST SUPPORT 2yr'!AA13</f>
        <v>192020.52900000001</v>
      </c>
      <c r="AB13" s="47">
        <f>'ACADEMIC SUPP 2yr'!AB13+'STU SERVICES 2yr'!AB13+'INST SUPPORT 2yr'!AB13</f>
        <v>488037.31499999994</v>
      </c>
      <c r="AC13" s="47">
        <f>'ACADEMIC SUPP 2yr'!AC13+'STU SERVICES 2yr'!AC13+'INST SUPPORT 2yr'!AC13</f>
        <v>152849.65399999998</v>
      </c>
      <c r="AD13" s="47">
        <f>'ACADEMIC SUPP 2yr'!AD13+'STU SERVICES 2yr'!AD13+'INST SUPPORT 2yr'!AD13</f>
        <v>0</v>
      </c>
      <c r="AE13" s="47">
        <f>'ACADEMIC SUPP 2yr'!AE13+'STU SERVICES 2yr'!AE13+'INST SUPPORT 2yr'!AE13</f>
        <v>134105.378</v>
      </c>
    </row>
    <row r="14" spans="1:31">
      <c r="A14" s="1" t="s">
        <v>31</v>
      </c>
      <c r="B14" s="47">
        <f>'ACADEMIC SUPP 2yr'!B14+'STU SERVICES 2yr'!B14+'INST SUPPORT 2yr'!B14</f>
        <v>12072</v>
      </c>
      <c r="C14" s="47">
        <f>'ACADEMIC SUPP 2yr'!C14+'STU SERVICES 2yr'!C14+'INST SUPPORT 2yr'!C14</f>
        <v>10350</v>
      </c>
      <c r="D14" s="47">
        <f>'ACADEMIC SUPP 2yr'!D14+'STU SERVICES 2yr'!D14+'INST SUPPORT 2yr'!D14</f>
        <v>8749</v>
      </c>
      <c r="E14" s="47">
        <f>'ACADEMIC SUPP 2yr'!E14+'STU SERVICES 2yr'!E14+'INST SUPPORT 2yr'!E14</f>
        <v>20084.343000000001</v>
      </c>
      <c r="F14" s="47">
        <f>'ACADEMIC SUPP 2yr'!F14+'STU SERVICES 2yr'!F14+'INST SUPPORT 2yr'!F14</f>
        <v>23893.904000000002</v>
      </c>
      <c r="G14" s="47">
        <f>'ACADEMIC SUPP 2yr'!G14+'STU SERVICES 2yr'!G14+'INST SUPPORT 2yr'!G14</f>
        <v>24065.504000000001</v>
      </c>
      <c r="H14" s="47">
        <f>'ACADEMIC SUPP 2yr'!H14+'STU SERVICES 2yr'!H14+'INST SUPPORT 2yr'!H14</f>
        <v>26123.601999999999</v>
      </c>
      <c r="I14" s="47">
        <f>'ACADEMIC SUPP 2yr'!I14+'STU SERVICES 2yr'!I14+'INST SUPPORT 2yr'!I14</f>
        <v>28684.069000000003</v>
      </c>
      <c r="J14" s="47">
        <f>'ACADEMIC SUPP 2yr'!J14+'STU SERVICES 2yr'!J14+'INST SUPPORT 2yr'!J14</f>
        <v>29871.021999999997</v>
      </c>
      <c r="K14" s="47">
        <f>'ACADEMIC SUPP 2yr'!K14+'STU SERVICES 2yr'!K14+'INST SUPPORT 2yr'!K14</f>
        <v>35133.044999999998</v>
      </c>
      <c r="L14" s="47">
        <f>'ACADEMIC SUPP 2yr'!L14+'STU SERVICES 2yr'!L14+'INST SUPPORT 2yr'!L14</f>
        <v>94121.722999999998</v>
      </c>
      <c r="M14" s="47">
        <f>'ACADEMIC SUPP 2yr'!M14+'STU SERVICES 2yr'!M14+'INST SUPPORT 2yr'!M14</f>
        <v>102874.94499999999</v>
      </c>
      <c r="N14" s="47">
        <f>'ACADEMIC SUPP 2yr'!N14+'STU SERVICES 2yr'!N14+'INST SUPPORT 2yr'!N14</f>
        <v>5171.5409999999993</v>
      </c>
      <c r="O14" s="47">
        <f>'ACADEMIC SUPP 2yr'!O14+'STU SERVICES 2yr'!O14+'INST SUPPORT 2yr'!O14</f>
        <v>6081.3879999999999</v>
      </c>
      <c r="P14" s="47">
        <f>'ACADEMIC SUPP 2yr'!P14+'STU SERVICES 2yr'!P14+'INST SUPPORT 2yr'!P14</f>
        <v>6652.0769999999993</v>
      </c>
      <c r="Q14" s="47">
        <f>'ACADEMIC SUPP 2yr'!Q14+'STU SERVICES 2yr'!Q14+'INST SUPPORT 2yr'!Q14</f>
        <v>101199.71400000001</v>
      </c>
      <c r="R14" s="47">
        <f>'ACADEMIC SUPP 2yr'!R14+'STU SERVICES 2yr'!R14+'INST SUPPORT 2yr'!R14</f>
        <v>106709.59899999999</v>
      </c>
      <c r="S14" s="47">
        <f>'ACADEMIC SUPP 2yr'!S14+'STU SERVICES 2yr'!S14+'INST SUPPORT 2yr'!S14</f>
        <v>117419.14700000001</v>
      </c>
      <c r="T14" s="47">
        <f>'ACADEMIC SUPP 2yr'!T14+'STU SERVICES 2yr'!T14+'INST SUPPORT 2yr'!T14</f>
        <v>149225.663</v>
      </c>
      <c r="U14" s="47">
        <f>'ACADEMIC SUPP 2yr'!U14+'STU SERVICES 2yr'!U14+'INST SUPPORT 2yr'!U14</f>
        <v>135977.052</v>
      </c>
      <c r="V14" s="47">
        <f>'ACADEMIC SUPP 2yr'!V14+'STU SERVICES 2yr'!V14+'INST SUPPORT 2yr'!V14</f>
        <v>174280.88500000001</v>
      </c>
      <c r="W14" s="47">
        <f>'ACADEMIC SUPP 2yr'!W14+'STU SERVICES 2yr'!W14+'INST SUPPORT 2yr'!W14</f>
        <v>176839.44</v>
      </c>
      <c r="X14" s="47">
        <f>'ACADEMIC SUPP 2yr'!X14+'STU SERVICES 2yr'!X14+'INST SUPPORT 2yr'!X14</f>
        <v>184523.39799999999</v>
      </c>
      <c r="Y14" s="47">
        <f>'ACADEMIC SUPP 2yr'!Y14+'STU SERVICES 2yr'!Y14+'INST SUPPORT 2yr'!Y14</f>
        <v>170361.09899999999</v>
      </c>
      <c r="Z14" s="47">
        <f>'ACADEMIC SUPP 2yr'!Z14+'STU SERVICES 2yr'!Z14+'INST SUPPORT 2yr'!Z14</f>
        <v>161193.198</v>
      </c>
      <c r="AA14" s="47">
        <f>'ACADEMIC SUPP 2yr'!AA14+'STU SERVICES 2yr'!AA14+'INST SUPPORT 2yr'!AA14</f>
        <v>162343.26</v>
      </c>
      <c r="AB14" s="47">
        <f>'ACADEMIC SUPP 2yr'!AB14+'STU SERVICES 2yr'!AB14+'INST SUPPORT 2yr'!AB14</f>
        <v>168511.603</v>
      </c>
      <c r="AC14" s="47">
        <f>'ACADEMIC SUPP 2yr'!AC14+'STU SERVICES 2yr'!AC14+'INST SUPPORT 2yr'!AC14</f>
        <v>136924.967</v>
      </c>
      <c r="AD14" s="47">
        <f>'ACADEMIC SUPP 2yr'!AD14+'STU SERVICES 2yr'!AD14+'INST SUPPORT 2yr'!AD14</f>
        <v>0</v>
      </c>
      <c r="AE14" s="47">
        <f>'ACADEMIC SUPP 2yr'!AE14+'STU SERVICES 2yr'!AE14+'INST SUPPORT 2yr'!AE14</f>
        <v>126745.92300000001</v>
      </c>
    </row>
    <row r="15" spans="1:31">
      <c r="A15" s="1" t="s">
        <v>32</v>
      </c>
      <c r="B15" s="47">
        <f>'ACADEMIC SUPP 2yr'!B15+'STU SERVICES 2yr'!B15+'INST SUPPORT 2yr'!B15</f>
        <v>10412</v>
      </c>
      <c r="C15" s="47">
        <f>'ACADEMIC SUPP 2yr'!C15+'STU SERVICES 2yr'!C15+'INST SUPPORT 2yr'!C15</f>
        <v>11503</v>
      </c>
      <c r="D15" s="47">
        <f>'ACADEMIC SUPP 2yr'!D15+'STU SERVICES 2yr'!D15+'INST SUPPORT 2yr'!D15</f>
        <v>11812</v>
      </c>
      <c r="E15" s="47">
        <f>'ACADEMIC SUPP 2yr'!E15+'STU SERVICES 2yr'!E15+'INST SUPPORT 2yr'!E15</f>
        <v>17949.004999999997</v>
      </c>
      <c r="F15" s="47">
        <f>'ACADEMIC SUPP 2yr'!F15+'STU SERVICES 2yr'!F15+'INST SUPPORT 2yr'!F15</f>
        <v>18715.643</v>
      </c>
      <c r="G15" s="47">
        <f>'ACADEMIC SUPP 2yr'!G15+'STU SERVICES 2yr'!G15+'INST SUPPORT 2yr'!G15</f>
        <v>22242.493000000002</v>
      </c>
      <c r="H15" s="47">
        <f>'ACADEMIC SUPP 2yr'!H15+'STU SERVICES 2yr'!H15+'INST SUPPORT 2yr'!H15</f>
        <v>24628.254000000001</v>
      </c>
      <c r="I15" s="47">
        <f>'ACADEMIC SUPP 2yr'!I15+'STU SERVICES 2yr'!I15+'INST SUPPORT 2yr'!I15</f>
        <v>22808.822</v>
      </c>
      <c r="J15" s="47">
        <f>'ACADEMIC SUPP 2yr'!J15+'STU SERVICES 2yr'!J15+'INST SUPPORT 2yr'!J15</f>
        <v>37977.501999999993</v>
      </c>
      <c r="K15" s="47">
        <f>'ACADEMIC SUPP 2yr'!K15+'STU SERVICES 2yr'!K15+'INST SUPPORT 2yr'!K15</f>
        <v>40954.311200000011</v>
      </c>
      <c r="L15" s="47">
        <f>'ACADEMIC SUPP 2yr'!L15+'STU SERVICES 2yr'!L15+'INST SUPPORT 2yr'!L15</f>
        <v>51400.678</v>
      </c>
      <c r="M15" s="47">
        <f>'ACADEMIC SUPP 2yr'!M15+'STU SERVICES 2yr'!M15+'INST SUPPORT 2yr'!M15</f>
        <v>56305.437000000005</v>
      </c>
      <c r="N15" s="47">
        <f>'ACADEMIC SUPP 2yr'!N15+'STU SERVICES 2yr'!N15+'INST SUPPORT 2yr'!N15</f>
        <v>67264.462</v>
      </c>
      <c r="O15" s="47">
        <f>'ACADEMIC SUPP 2yr'!O15+'STU SERVICES 2yr'!O15+'INST SUPPORT 2yr'!O15</f>
        <v>84924.42</v>
      </c>
      <c r="P15" s="47">
        <f>'ACADEMIC SUPP 2yr'!P15+'STU SERVICES 2yr'!P15+'INST SUPPORT 2yr'!P15</f>
        <v>102714.583</v>
      </c>
      <c r="Q15" s="47">
        <f>'ACADEMIC SUPP 2yr'!Q15+'STU SERVICES 2yr'!Q15+'INST SUPPORT 2yr'!Q15</f>
        <v>103986.295</v>
      </c>
      <c r="R15" s="47">
        <f>'ACADEMIC SUPP 2yr'!R15+'STU SERVICES 2yr'!R15+'INST SUPPORT 2yr'!R15</f>
        <v>98327.269</v>
      </c>
      <c r="S15" s="47">
        <f>'ACADEMIC SUPP 2yr'!S15+'STU SERVICES 2yr'!S15+'INST SUPPORT 2yr'!S15</f>
        <v>112769.37400000001</v>
      </c>
      <c r="T15" s="47">
        <f>'ACADEMIC SUPP 2yr'!T15+'STU SERVICES 2yr'!T15+'INST SUPPORT 2yr'!T15</f>
        <v>146554.796</v>
      </c>
      <c r="U15" s="47">
        <f>'ACADEMIC SUPP 2yr'!U15+'STU SERVICES 2yr'!U15+'INST SUPPORT 2yr'!U15</f>
        <v>105743.57399999999</v>
      </c>
      <c r="V15" s="47">
        <f>'ACADEMIC SUPP 2yr'!V15+'STU SERVICES 2yr'!V15+'INST SUPPORT 2yr'!V15</f>
        <v>145881.005</v>
      </c>
      <c r="W15" s="47">
        <f>'ACADEMIC SUPP 2yr'!W15+'STU SERVICES 2yr'!W15+'INST SUPPORT 2yr'!W15</f>
        <v>151351.19</v>
      </c>
      <c r="X15" s="47">
        <f>'ACADEMIC SUPP 2yr'!X15+'STU SERVICES 2yr'!X15+'INST SUPPORT 2yr'!X15</f>
        <v>161810.55900000001</v>
      </c>
      <c r="Y15" s="47">
        <f>'ACADEMIC SUPP 2yr'!Y15+'STU SERVICES 2yr'!Y15+'INST SUPPORT 2yr'!Y15</f>
        <v>122414.49</v>
      </c>
      <c r="Z15" s="47">
        <f>'ACADEMIC SUPP 2yr'!Z15+'STU SERVICES 2yr'!Z15+'INST SUPPORT 2yr'!Z15</f>
        <v>116906.38499999999</v>
      </c>
      <c r="AA15" s="47">
        <f>'ACADEMIC SUPP 2yr'!AA15+'STU SERVICES 2yr'!AA15+'INST SUPPORT 2yr'!AA15</f>
        <v>121215.70699999999</v>
      </c>
      <c r="AB15" s="47">
        <f>'ACADEMIC SUPP 2yr'!AB15+'STU SERVICES 2yr'!AB15+'INST SUPPORT 2yr'!AB15</f>
        <v>157358.84899999999</v>
      </c>
      <c r="AC15" s="47">
        <f>'ACADEMIC SUPP 2yr'!AC15+'STU SERVICES 2yr'!AC15+'INST SUPPORT 2yr'!AC15</f>
        <v>129187.74800000001</v>
      </c>
      <c r="AD15" s="47">
        <f>'ACADEMIC SUPP 2yr'!AD15+'STU SERVICES 2yr'!AD15+'INST SUPPORT 2yr'!AD15</f>
        <v>0</v>
      </c>
      <c r="AE15" s="47">
        <f>'ACADEMIC SUPP 2yr'!AE15+'STU SERVICES 2yr'!AE15+'INST SUPPORT 2yr'!AE15</f>
        <v>130341.02200000001</v>
      </c>
    </row>
    <row r="16" spans="1:31">
      <c r="A16" s="1" t="s">
        <v>33</v>
      </c>
      <c r="B16" s="47">
        <f>'ACADEMIC SUPP 2yr'!B16+'STU SERVICES 2yr'!B16+'INST SUPPORT 2yr'!B16</f>
        <v>74498</v>
      </c>
      <c r="C16" s="47">
        <f>'ACADEMIC SUPP 2yr'!C16+'STU SERVICES 2yr'!C16+'INST SUPPORT 2yr'!C16</f>
        <v>78036</v>
      </c>
      <c r="D16" s="47">
        <f>'ACADEMIC SUPP 2yr'!D16+'STU SERVICES 2yr'!D16+'INST SUPPORT 2yr'!D16</f>
        <v>85623</v>
      </c>
      <c r="E16" s="47">
        <f>'ACADEMIC SUPP 2yr'!E16+'STU SERVICES 2yr'!E16+'INST SUPPORT 2yr'!E16</f>
        <v>130451.72999999998</v>
      </c>
      <c r="F16" s="47">
        <f>'ACADEMIC SUPP 2yr'!F16+'STU SERVICES 2yr'!F16+'INST SUPPORT 2yr'!F16</f>
        <v>105151.954</v>
      </c>
      <c r="G16" s="47">
        <f>'ACADEMIC SUPP 2yr'!G16+'STU SERVICES 2yr'!G16+'INST SUPPORT 2yr'!G16</f>
        <v>134164.924</v>
      </c>
      <c r="H16" s="47">
        <f>'ACADEMIC SUPP 2yr'!H16+'STU SERVICES 2yr'!H16+'INST SUPPORT 2yr'!H16</f>
        <v>146838.78200000001</v>
      </c>
      <c r="I16" s="47">
        <f>'ACADEMIC SUPP 2yr'!I16+'STU SERVICES 2yr'!I16+'INST SUPPORT 2yr'!I16</f>
        <v>124156.447</v>
      </c>
      <c r="J16" s="47">
        <f>'ACADEMIC SUPP 2yr'!J16+'STU SERVICES 2yr'!J16+'INST SUPPORT 2yr'!J16</f>
        <v>158843.022</v>
      </c>
      <c r="K16" s="47">
        <f>'ACADEMIC SUPP 2yr'!K16+'STU SERVICES 2yr'!K16+'INST SUPPORT 2yr'!K16</f>
        <v>166153.391</v>
      </c>
      <c r="L16" s="47">
        <f>'ACADEMIC SUPP 2yr'!L16+'STU SERVICES 2yr'!L16+'INST SUPPORT 2yr'!L16</f>
        <v>218742.56300000002</v>
      </c>
      <c r="M16" s="47">
        <f>'ACADEMIC SUPP 2yr'!M16+'STU SERVICES 2yr'!M16+'INST SUPPORT 2yr'!M16</f>
        <v>230646.416</v>
      </c>
      <c r="N16" s="47">
        <f>'ACADEMIC SUPP 2yr'!N16+'STU SERVICES 2yr'!N16+'INST SUPPORT 2yr'!N16</f>
        <v>241771.44500000001</v>
      </c>
      <c r="O16" s="47">
        <f>'ACADEMIC SUPP 2yr'!O16+'STU SERVICES 2yr'!O16+'INST SUPPORT 2yr'!O16</f>
        <v>278542.21799999999</v>
      </c>
      <c r="P16" s="47">
        <f>'ACADEMIC SUPP 2yr'!P16+'STU SERVICES 2yr'!P16+'INST SUPPORT 2yr'!P16</f>
        <v>287471.07199999999</v>
      </c>
      <c r="Q16" s="47">
        <f>'ACADEMIC SUPP 2yr'!Q16+'STU SERVICES 2yr'!Q16+'INST SUPPORT 2yr'!Q16</f>
        <v>304402.82</v>
      </c>
      <c r="R16" s="47">
        <f>'ACADEMIC SUPP 2yr'!R16+'STU SERVICES 2yr'!R16+'INST SUPPORT 2yr'!R16</f>
        <v>320792.87899999996</v>
      </c>
      <c r="S16" s="47">
        <f>'ACADEMIC SUPP 2yr'!S16+'STU SERVICES 2yr'!S16+'INST SUPPORT 2yr'!S16</f>
        <v>344956.41000000003</v>
      </c>
      <c r="T16" s="47">
        <f>'ACADEMIC SUPP 2yr'!T16+'STU SERVICES 2yr'!T16+'INST SUPPORT 2yr'!T16</f>
        <v>367952.522</v>
      </c>
      <c r="U16" s="47">
        <f>'ACADEMIC SUPP 2yr'!U16+'STU SERVICES 2yr'!U16+'INST SUPPORT 2yr'!U16</f>
        <v>422085.81400000001</v>
      </c>
      <c r="V16" s="47">
        <f>'ACADEMIC SUPP 2yr'!V16+'STU SERVICES 2yr'!V16+'INST SUPPORT 2yr'!V16</f>
        <v>461218.19699999999</v>
      </c>
      <c r="W16" s="47">
        <f>'ACADEMIC SUPP 2yr'!W16+'STU SERVICES 2yr'!W16+'INST SUPPORT 2yr'!W16</f>
        <v>472521.12400000001</v>
      </c>
      <c r="X16" s="47">
        <f>'ACADEMIC SUPP 2yr'!X16+'STU SERVICES 2yr'!X16+'INST SUPPORT 2yr'!X16</f>
        <v>514121.804</v>
      </c>
      <c r="Y16" s="47">
        <f>'ACADEMIC SUPP 2yr'!Y16+'STU SERVICES 2yr'!Y16+'INST SUPPORT 2yr'!Y16</f>
        <v>531925.67000000004</v>
      </c>
      <c r="Z16" s="47">
        <f>'ACADEMIC SUPP 2yr'!Z16+'STU SERVICES 2yr'!Z16+'INST SUPPORT 2yr'!Z16</f>
        <v>568718.30200000003</v>
      </c>
      <c r="AA16" s="47">
        <f>'ACADEMIC SUPP 2yr'!AA16+'STU SERVICES 2yr'!AA16+'INST SUPPORT 2yr'!AA16</f>
        <v>584590.47399999993</v>
      </c>
      <c r="AB16" s="47">
        <f>'ACADEMIC SUPP 2yr'!AB16+'STU SERVICES 2yr'!AB16+'INST SUPPORT 2yr'!AB16</f>
        <v>593767.95499999996</v>
      </c>
      <c r="AC16" s="47">
        <f>'ACADEMIC SUPP 2yr'!AC16+'STU SERVICES 2yr'!AC16+'INST SUPPORT 2yr'!AC16</f>
        <v>576349.98499999999</v>
      </c>
      <c r="AD16" s="47">
        <f>'ACADEMIC SUPP 2yr'!AD16+'STU SERVICES 2yr'!AD16+'INST SUPPORT 2yr'!AD16</f>
        <v>0</v>
      </c>
      <c r="AE16" s="47">
        <f>'ACADEMIC SUPP 2yr'!AE16+'STU SERVICES 2yr'!AE16+'INST SUPPORT 2yr'!AE16</f>
        <v>610969.21800000011</v>
      </c>
    </row>
    <row r="17" spans="1:31">
      <c r="A17" s="1" t="s">
        <v>34</v>
      </c>
      <c r="B17" s="47">
        <f>'ACADEMIC SUPP 2yr'!B17+'STU SERVICES 2yr'!B17+'INST SUPPORT 2yr'!B17</f>
        <v>31510</v>
      </c>
      <c r="C17" s="47">
        <f>'ACADEMIC SUPP 2yr'!C17+'STU SERVICES 2yr'!C17+'INST SUPPORT 2yr'!C17</f>
        <v>32780</v>
      </c>
      <c r="D17" s="47">
        <f>'ACADEMIC SUPP 2yr'!D17+'STU SERVICES 2yr'!D17+'INST SUPPORT 2yr'!D17</f>
        <v>34931</v>
      </c>
      <c r="E17" s="47">
        <f>'ACADEMIC SUPP 2yr'!E17+'STU SERVICES 2yr'!E17+'INST SUPPORT 2yr'!E17</f>
        <v>47411.695</v>
      </c>
      <c r="F17" s="47">
        <f>'ACADEMIC SUPP 2yr'!F17+'STU SERVICES 2yr'!F17+'INST SUPPORT 2yr'!F17</f>
        <v>47826.986000000004</v>
      </c>
      <c r="G17" s="47">
        <f>'ACADEMIC SUPP 2yr'!G17+'STU SERVICES 2yr'!G17+'INST SUPPORT 2yr'!G17</f>
        <v>52577.684000000001</v>
      </c>
      <c r="H17" s="47">
        <f>'ACADEMIC SUPP 2yr'!H17+'STU SERVICES 2yr'!H17+'INST SUPPORT 2yr'!H17</f>
        <v>57718.262000000002</v>
      </c>
      <c r="I17" s="47">
        <f>'ACADEMIC SUPP 2yr'!I17+'STU SERVICES 2yr'!I17+'INST SUPPORT 2yr'!I17</f>
        <v>71708.22</v>
      </c>
      <c r="J17" s="47">
        <f>'ACADEMIC SUPP 2yr'!J17+'STU SERVICES 2yr'!J17+'INST SUPPORT 2yr'!J17</f>
        <v>76765.989999999991</v>
      </c>
      <c r="K17" s="47">
        <f>'ACADEMIC SUPP 2yr'!K17+'STU SERVICES 2yr'!K17+'INST SUPPORT 2yr'!K17</f>
        <v>80868.686000000002</v>
      </c>
      <c r="L17" s="47">
        <f>'ACADEMIC SUPP 2yr'!L17+'STU SERVICES 2yr'!L17+'INST SUPPORT 2yr'!L17</f>
        <v>97092.47</v>
      </c>
      <c r="M17" s="47">
        <f>'ACADEMIC SUPP 2yr'!M17+'STU SERVICES 2yr'!M17+'INST SUPPORT 2yr'!M17</f>
        <v>96338.157999999996</v>
      </c>
      <c r="N17" s="47">
        <f>'ACADEMIC SUPP 2yr'!N17+'STU SERVICES 2yr'!N17+'INST SUPPORT 2yr'!N17</f>
        <v>94764.792000000001</v>
      </c>
      <c r="O17" s="47">
        <f>'ACADEMIC SUPP 2yr'!O17+'STU SERVICES 2yr'!O17+'INST SUPPORT 2yr'!O17</f>
        <v>101203.391</v>
      </c>
      <c r="P17" s="47">
        <f>'ACADEMIC SUPP 2yr'!P17+'STU SERVICES 2yr'!P17+'INST SUPPORT 2yr'!P17</f>
        <v>107576.96799999999</v>
      </c>
      <c r="Q17" s="47">
        <f>'ACADEMIC SUPP 2yr'!Q17+'STU SERVICES 2yr'!Q17+'INST SUPPORT 2yr'!Q17</f>
        <v>110848.704</v>
      </c>
      <c r="R17" s="47">
        <f>'ACADEMIC SUPP 2yr'!R17+'STU SERVICES 2yr'!R17+'INST SUPPORT 2yr'!R17</f>
        <v>113352.2</v>
      </c>
      <c r="S17" s="47">
        <f>'ACADEMIC SUPP 2yr'!S17+'STU SERVICES 2yr'!S17+'INST SUPPORT 2yr'!S17</f>
        <v>128924.63100000001</v>
      </c>
      <c r="T17" s="47">
        <f>'ACADEMIC SUPP 2yr'!T17+'STU SERVICES 2yr'!T17+'INST SUPPORT 2yr'!T17</f>
        <v>141521.68800000002</v>
      </c>
      <c r="U17" s="47">
        <f>'ACADEMIC SUPP 2yr'!U17+'STU SERVICES 2yr'!U17+'INST SUPPORT 2yr'!U17</f>
        <v>154541.93400000001</v>
      </c>
      <c r="V17" s="47">
        <f>'ACADEMIC SUPP 2yr'!V17+'STU SERVICES 2yr'!V17+'INST SUPPORT 2yr'!V17</f>
        <v>175952.27499999999</v>
      </c>
      <c r="W17" s="47">
        <f>'ACADEMIC SUPP 2yr'!W17+'STU SERVICES 2yr'!W17+'INST SUPPORT 2yr'!W17</f>
        <v>186143.07</v>
      </c>
      <c r="X17" s="47">
        <f>'ACADEMIC SUPP 2yr'!X17+'STU SERVICES 2yr'!X17+'INST SUPPORT 2yr'!X17</f>
        <v>192450.00900000002</v>
      </c>
      <c r="Y17" s="47">
        <f>'ACADEMIC SUPP 2yr'!Y17+'STU SERVICES 2yr'!Y17+'INST SUPPORT 2yr'!Y17</f>
        <v>199954.69900000002</v>
      </c>
      <c r="Z17" s="47">
        <f>'ACADEMIC SUPP 2yr'!Z17+'STU SERVICES 2yr'!Z17+'INST SUPPORT 2yr'!Z17</f>
        <v>205865.64600000001</v>
      </c>
      <c r="AA17" s="47">
        <f>'ACADEMIC SUPP 2yr'!AA17+'STU SERVICES 2yr'!AA17+'INST SUPPORT 2yr'!AA17</f>
        <v>211927.98499999999</v>
      </c>
      <c r="AB17" s="47">
        <f>'ACADEMIC SUPP 2yr'!AB17+'STU SERVICES 2yr'!AB17+'INST SUPPORT 2yr'!AB17</f>
        <v>221486.05599999998</v>
      </c>
      <c r="AC17" s="47">
        <f>'ACADEMIC SUPP 2yr'!AC17+'STU SERVICES 2yr'!AC17+'INST SUPPORT 2yr'!AC17</f>
        <v>234862.15399999998</v>
      </c>
      <c r="AD17" s="47">
        <f>'ACADEMIC SUPP 2yr'!AD17+'STU SERVICES 2yr'!AD17+'INST SUPPORT 2yr'!AD17</f>
        <v>0</v>
      </c>
      <c r="AE17" s="47">
        <f>'ACADEMIC SUPP 2yr'!AE17+'STU SERVICES 2yr'!AE17+'INST SUPPORT 2yr'!AE17</f>
        <v>205793.79399999999</v>
      </c>
    </row>
    <row r="18" spans="1:31">
      <c r="A18" s="1" t="s">
        <v>35</v>
      </c>
      <c r="B18" s="47">
        <f>'ACADEMIC SUPP 2yr'!B18+'STU SERVICES 2yr'!B18+'INST SUPPORT 2yr'!B18</f>
        <v>91708</v>
      </c>
      <c r="C18" s="47">
        <f>'ACADEMIC SUPP 2yr'!C18+'STU SERVICES 2yr'!C18+'INST SUPPORT 2yr'!C18</f>
        <v>100911</v>
      </c>
      <c r="D18" s="47">
        <f>'ACADEMIC SUPP 2yr'!D18+'STU SERVICES 2yr'!D18+'INST SUPPORT 2yr'!D18</f>
        <v>107302</v>
      </c>
      <c r="E18" s="47">
        <f>'ACADEMIC SUPP 2yr'!E18+'STU SERVICES 2yr'!E18+'INST SUPPORT 2yr'!E18</f>
        <v>154341.57500000001</v>
      </c>
      <c r="F18" s="47">
        <f>'ACADEMIC SUPP 2yr'!F18+'STU SERVICES 2yr'!F18+'INST SUPPORT 2yr'!F18</f>
        <v>160850.37300000002</v>
      </c>
      <c r="G18" s="47">
        <f>'ACADEMIC SUPP 2yr'!G18+'STU SERVICES 2yr'!G18+'INST SUPPORT 2yr'!G18</f>
        <v>173332.503</v>
      </c>
      <c r="H18" s="47">
        <f>'ACADEMIC SUPP 2yr'!H18+'STU SERVICES 2yr'!H18+'INST SUPPORT 2yr'!H18</f>
        <v>182159.049</v>
      </c>
      <c r="I18" s="47">
        <f>'ACADEMIC SUPP 2yr'!I18+'STU SERVICES 2yr'!I18+'INST SUPPORT 2yr'!I18</f>
        <v>190214.677</v>
      </c>
      <c r="J18" s="47">
        <f>'ACADEMIC SUPP 2yr'!J18+'STU SERVICES 2yr'!J18+'INST SUPPORT 2yr'!J18</f>
        <v>196196.50899999999</v>
      </c>
      <c r="K18" s="47">
        <f>'ACADEMIC SUPP 2yr'!K18+'STU SERVICES 2yr'!K18+'INST SUPPORT 2yr'!K18</f>
        <v>203064.10219999996</v>
      </c>
      <c r="L18" s="47">
        <f>'ACADEMIC SUPP 2yr'!L18+'STU SERVICES 2yr'!L18+'INST SUPPORT 2yr'!L18</f>
        <v>245513</v>
      </c>
      <c r="M18" s="47">
        <f>'ACADEMIC SUPP 2yr'!M18+'STU SERVICES 2yr'!M18+'INST SUPPORT 2yr'!M18</f>
        <v>288619.054</v>
      </c>
      <c r="N18" s="47">
        <f>'ACADEMIC SUPP 2yr'!N18+'STU SERVICES 2yr'!N18+'INST SUPPORT 2yr'!N18</f>
        <v>293305.15999999997</v>
      </c>
      <c r="O18" s="47">
        <f>'ACADEMIC SUPP 2yr'!O18+'STU SERVICES 2yr'!O18+'INST SUPPORT 2yr'!O18</f>
        <v>319464.64899999998</v>
      </c>
      <c r="P18" s="47">
        <f>'ACADEMIC SUPP 2yr'!P18+'STU SERVICES 2yr'!P18+'INST SUPPORT 2yr'!P18</f>
        <v>342677.74</v>
      </c>
      <c r="Q18" s="47">
        <f>'ACADEMIC SUPP 2yr'!Q18+'STU SERVICES 2yr'!Q18+'INST SUPPORT 2yr'!Q18</f>
        <v>374147.34199999995</v>
      </c>
      <c r="R18" s="47">
        <f>'ACADEMIC SUPP 2yr'!R18+'STU SERVICES 2yr'!R18+'INST SUPPORT 2yr'!R18</f>
        <v>407844.783</v>
      </c>
      <c r="S18" s="47">
        <f>'ACADEMIC SUPP 2yr'!S18+'STU SERVICES 2yr'!S18+'INST SUPPORT 2yr'!S18</f>
        <v>426458.83</v>
      </c>
      <c r="T18" s="47">
        <f>'ACADEMIC SUPP 2yr'!T18+'STU SERVICES 2yr'!T18+'INST SUPPORT 2yr'!T18</f>
        <v>460720.06799999997</v>
      </c>
      <c r="U18" s="47">
        <f>'ACADEMIC SUPP 2yr'!U18+'STU SERVICES 2yr'!U18+'INST SUPPORT 2yr'!U18</f>
        <v>475165.37199999997</v>
      </c>
      <c r="V18" s="47">
        <f>'ACADEMIC SUPP 2yr'!V18+'STU SERVICES 2yr'!V18+'INST SUPPORT 2yr'!V18</f>
        <v>535156.76199999999</v>
      </c>
      <c r="W18" s="47">
        <f>'ACADEMIC SUPP 2yr'!W18+'STU SERVICES 2yr'!W18+'INST SUPPORT 2yr'!W18</f>
        <v>584409.46399999992</v>
      </c>
      <c r="X18" s="47">
        <f>'ACADEMIC SUPP 2yr'!X18+'STU SERVICES 2yr'!X18+'INST SUPPORT 2yr'!X18</f>
        <v>612230.00399999996</v>
      </c>
      <c r="Y18" s="47">
        <f>'ACADEMIC SUPP 2yr'!Y18+'STU SERVICES 2yr'!Y18+'INST SUPPORT 2yr'!Y18</f>
        <v>650868.06599999999</v>
      </c>
      <c r="Z18" s="47">
        <f>'ACADEMIC SUPP 2yr'!Z18+'STU SERVICES 2yr'!Z18+'INST SUPPORT 2yr'!Z18</f>
        <v>669913.95699999994</v>
      </c>
      <c r="AA18" s="47">
        <f>'ACADEMIC SUPP 2yr'!AA18+'STU SERVICES 2yr'!AA18+'INST SUPPORT 2yr'!AA18</f>
        <v>656877.25600000005</v>
      </c>
      <c r="AB18" s="47">
        <f>'ACADEMIC SUPP 2yr'!AB18+'STU SERVICES 2yr'!AB18+'INST SUPPORT 2yr'!AB18</f>
        <v>647436.20900000003</v>
      </c>
      <c r="AC18" s="47">
        <f>'ACADEMIC SUPP 2yr'!AC18+'STU SERVICES 2yr'!AC18+'INST SUPPORT 2yr'!AC18</f>
        <v>701040.38500000001</v>
      </c>
      <c r="AD18" s="47">
        <f>'ACADEMIC SUPP 2yr'!AD18+'STU SERVICES 2yr'!AD18+'INST SUPPORT 2yr'!AD18</f>
        <v>0</v>
      </c>
      <c r="AE18" s="47">
        <f>'ACADEMIC SUPP 2yr'!AE18+'STU SERVICES 2yr'!AE18+'INST SUPPORT 2yr'!AE18</f>
        <v>747073.45799999998</v>
      </c>
    </row>
    <row r="19" spans="1:31">
      <c r="A19" s="1" t="s">
        <v>36</v>
      </c>
      <c r="B19" s="47">
        <f>'ACADEMIC SUPP 2yr'!B19+'STU SERVICES 2yr'!B19+'INST SUPPORT 2yr'!B19</f>
        <v>20665</v>
      </c>
      <c r="C19" s="47">
        <f>'ACADEMIC SUPP 2yr'!C19+'STU SERVICES 2yr'!C19+'INST SUPPORT 2yr'!C19</f>
        <v>21436</v>
      </c>
      <c r="D19" s="47">
        <f>'ACADEMIC SUPP 2yr'!D19+'STU SERVICES 2yr'!D19+'INST SUPPORT 2yr'!D19</f>
        <v>23601</v>
      </c>
      <c r="E19" s="47">
        <f>'ACADEMIC SUPP 2yr'!E19+'STU SERVICES 2yr'!E19+'INST SUPPORT 2yr'!E19</f>
        <v>47164.895000000004</v>
      </c>
      <c r="F19" s="47">
        <f>'ACADEMIC SUPP 2yr'!F19+'STU SERVICES 2yr'!F19+'INST SUPPORT 2yr'!F19</f>
        <v>51586.373999999996</v>
      </c>
      <c r="G19" s="47">
        <f>'ACADEMIC SUPP 2yr'!G19+'STU SERVICES 2yr'!G19+'INST SUPPORT 2yr'!G19</f>
        <v>51425.963000000003</v>
      </c>
      <c r="H19" s="47">
        <f>'ACADEMIC SUPP 2yr'!H19+'STU SERVICES 2yr'!H19+'INST SUPPORT 2yr'!H19</f>
        <v>52287.93</v>
      </c>
      <c r="I19" s="47">
        <f>'ACADEMIC SUPP 2yr'!I19+'STU SERVICES 2yr'!I19+'INST SUPPORT 2yr'!I19</f>
        <v>55110.644</v>
      </c>
      <c r="J19" s="47">
        <f>'ACADEMIC SUPP 2yr'!J19+'STU SERVICES 2yr'!J19+'INST SUPPORT 2yr'!J19</f>
        <v>56953.027000000002</v>
      </c>
      <c r="K19" s="47">
        <f>'ACADEMIC SUPP 2yr'!K19+'STU SERVICES 2yr'!K19+'INST SUPPORT 2yr'!K19</f>
        <v>64819.700709999997</v>
      </c>
      <c r="L19" s="47">
        <f>'ACADEMIC SUPP 2yr'!L19+'STU SERVICES 2yr'!L19+'INST SUPPORT 2yr'!L19</f>
        <v>73490.747000000003</v>
      </c>
      <c r="M19" s="47">
        <f>'ACADEMIC SUPP 2yr'!M19+'STU SERVICES 2yr'!M19+'INST SUPPORT 2yr'!M19</f>
        <v>113366.538</v>
      </c>
      <c r="N19" s="47">
        <f>'ACADEMIC SUPP 2yr'!N19+'STU SERVICES 2yr'!N19+'INST SUPPORT 2yr'!N19</f>
        <v>76028.823000000004</v>
      </c>
      <c r="O19" s="47">
        <f>'ACADEMIC SUPP 2yr'!O19+'STU SERVICES 2yr'!O19+'INST SUPPORT 2yr'!O19</f>
        <v>70825.112999999998</v>
      </c>
      <c r="P19" s="47">
        <f>'ACADEMIC SUPP 2yr'!P19+'STU SERVICES 2yr'!P19+'INST SUPPORT 2yr'!P19</f>
        <v>70561.193999999989</v>
      </c>
      <c r="Q19" s="47">
        <f>'ACADEMIC SUPP 2yr'!Q19+'STU SERVICES 2yr'!Q19+'INST SUPPORT 2yr'!Q19</f>
        <v>78100.58</v>
      </c>
      <c r="R19" s="47">
        <f>'ACADEMIC SUPP 2yr'!R19+'STU SERVICES 2yr'!R19+'INST SUPPORT 2yr'!R19</f>
        <v>81448.182000000001</v>
      </c>
      <c r="S19" s="47">
        <f>'ACADEMIC SUPP 2yr'!S19+'STU SERVICES 2yr'!S19+'INST SUPPORT 2yr'!S19</f>
        <v>82940.608000000007</v>
      </c>
      <c r="T19" s="47">
        <f>'ACADEMIC SUPP 2yr'!T19+'STU SERVICES 2yr'!T19+'INST SUPPORT 2yr'!T19</f>
        <v>97704.701000000001</v>
      </c>
      <c r="U19" s="47">
        <f>'ACADEMIC SUPP 2yr'!U19+'STU SERVICES 2yr'!U19+'INST SUPPORT 2yr'!U19</f>
        <v>116722.802</v>
      </c>
      <c r="V19" s="47">
        <f>'ACADEMIC SUPP 2yr'!V19+'STU SERVICES 2yr'!V19+'INST SUPPORT 2yr'!V19</f>
        <v>132894.36599999998</v>
      </c>
      <c r="W19" s="47">
        <f>'ACADEMIC SUPP 2yr'!W19+'STU SERVICES 2yr'!W19+'INST SUPPORT 2yr'!W19</f>
        <v>135720.21099999998</v>
      </c>
      <c r="X19" s="47">
        <f>'ACADEMIC SUPP 2yr'!X19+'STU SERVICES 2yr'!X19+'INST SUPPORT 2yr'!X19</f>
        <v>134788.386</v>
      </c>
      <c r="Y19" s="47">
        <f>'ACADEMIC SUPP 2yr'!Y19+'STU SERVICES 2yr'!Y19+'INST SUPPORT 2yr'!Y19</f>
        <v>142382.10399999999</v>
      </c>
      <c r="Z19" s="47">
        <f>'ACADEMIC SUPP 2yr'!Z19+'STU SERVICES 2yr'!Z19+'INST SUPPORT 2yr'!Z19</f>
        <v>158367.20199999999</v>
      </c>
      <c r="AA19" s="47">
        <f>'ACADEMIC SUPP 2yr'!AA19+'STU SERVICES 2yr'!AA19+'INST SUPPORT 2yr'!AA19</f>
        <v>175369.73800000001</v>
      </c>
      <c r="AB19" s="47">
        <f>'ACADEMIC SUPP 2yr'!AB19+'STU SERVICES 2yr'!AB19+'INST SUPPORT 2yr'!AB19</f>
        <v>163605.299</v>
      </c>
      <c r="AC19" s="47">
        <f>'ACADEMIC SUPP 2yr'!AC19+'STU SERVICES 2yr'!AC19+'INST SUPPORT 2yr'!AC19</f>
        <v>156249.5</v>
      </c>
      <c r="AD19" s="47">
        <f>'ACADEMIC SUPP 2yr'!AD19+'STU SERVICES 2yr'!AD19+'INST SUPPORT 2yr'!AD19</f>
        <v>0</v>
      </c>
      <c r="AE19" s="47">
        <f>'ACADEMIC SUPP 2yr'!AE19+'STU SERVICES 2yr'!AE19+'INST SUPPORT 2yr'!AE19</f>
        <v>163673.42000000001</v>
      </c>
    </row>
    <row r="20" spans="1:31">
      <c r="A20" s="1" t="s">
        <v>37</v>
      </c>
      <c r="B20" s="47">
        <f>'ACADEMIC SUPP 2yr'!B20+'STU SERVICES 2yr'!B20+'INST SUPPORT 2yr'!B20</f>
        <v>36514</v>
      </c>
      <c r="C20" s="47">
        <f>'ACADEMIC SUPP 2yr'!C20+'STU SERVICES 2yr'!C20+'INST SUPPORT 2yr'!C20</f>
        <v>48621</v>
      </c>
      <c r="D20" s="47">
        <f>'ACADEMIC SUPP 2yr'!D20+'STU SERVICES 2yr'!D20+'INST SUPPORT 2yr'!D20</f>
        <v>51871</v>
      </c>
      <c r="E20" s="47">
        <f>'ACADEMIC SUPP 2yr'!E20+'STU SERVICES 2yr'!E20+'INST SUPPORT 2yr'!E20</f>
        <v>80610.888000000006</v>
      </c>
      <c r="F20" s="47">
        <f>'ACADEMIC SUPP 2yr'!F20+'STU SERVICES 2yr'!F20+'INST SUPPORT 2yr'!F20</f>
        <v>84933.197000000015</v>
      </c>
      <c r="G20" s="47">
        <f>'ACADEMIC SUPP 2yr'!G20+'STU SERVICES 2yr'!G20+'INST SUPPORT 2yr'!G20</f>
        <v>90828.07699999999</v>
      </c>
      <c r="H20" s="47">
        <f>'ACADEMIC SUPP 2yr'!H20+'STU SERVICES 2yr'!H20+'INST SUPPORT 2yr'!H20</f>
        <v>93182.65</v>
      </c>
      <c r="I20" s="47">
        <f>'ACADEMIC SUPP 2yr'!I20+'STU SERVICES 2yr'!I20+'INST SUPPORT 2yr'!I20</f>
        <v>98470.752000000008</v>
      </c>
      <c r="J20" s="47">
        <f>'ACADEMIC SUPP 2yr'!J20+'STU SERVICES 2yr'!J20+'INST SUPPORT 2yr'!J20</f>
        <v>102610.084</v>
      </c>
      <c r="K20" s="47">
        <f>'ACADEMIC SUPP 2yr'!K20+'STU SERVICES 2yr'!K20+'INST SUPPORT 2yr'!K20</f>
        <v>107229.791</v>
      </c>
      <c r="L20" s="47">
        <f>'ACADEMIC SUPP 2yr'!L20+'STU SERVICES 2yr'!L20+'INST SUPPORT 2yr'!L20</f>
        <v>133793.88699999999</v>
      </c>
      <c r="M20" s="47">
        <f>'ACADEMIC SUPP 2yr'!M20+'STU SERVICES 2yr'!M20+'INST SUPPORT 2yr'!M20</f>
        <v>141376.476</v>
      </c>
      <c r="N20" s="47">
        <f>'ACADEMIC SUPP 2yr'!N20+'STU SERVICES 2yr'!N20+'INST SUPPORT 2yr'!N20</f>
        <v>154690.016</v>
      </c>
      <c r="O20" s="47">
        <f>'ACADEMIC SUPP 2yr'!O20+'STU SERVICES 2yr'!O20+'INST SUPPORT 2yr'!O20</f>
        <v>160867.30100000001</v>
      </c>
      <c r="P20" s="47">
        <f>'ACADEMIC SUPP 2yr'!P20+'STU SERVICES 2yr'!P20+'INST SUPPORT 2yr'!P20</f>
        <v>161022.53200000001</v>
      </c>
      <c r="Q20" s="47">
        <f>'ACADEMIC SUPP 2yr'!Q20+'STU SERVICES 2yr'!Q20+'INST SUPPORT 2yr'!Q20</f>
        <v>175498.54399999999</v>
      </c>
      <c r="R20" s="47">
        <f>'ACADEMIC SUPP 2yr'!R20+'STU SERVICES 2yr'!R20+'INST SUPPORT 2yr'!R20</f>
        <v>177802.565</v>
      </c>
      <c r="S20" s="47">
        <f>'ACADEMIC SUPP 2yr'!S20+'STU SERVICES 2yr'!S20+'INST SUPPORT 2yr'!S20</f>
        <v>187380.32399999999</v>
      </c>
      <c r="T20" s="47">
        <f>'ACADEMIC SUPP 2yr'!T20+'STU SERVICES 2yr'!T20+'INST SUPPORT 2yr'!T20</f>
        <v>212746.32500000001</v>
      </c>
      <c r="U20" s="47">
        <f>'ACADEMIC SUPP 2yr'!U20+'STU SERVICES 2yr'!U20+'INST SUPPORT 2yr'!U20</f>
        <v>242054.747</v>
      </c>
      <c r="V20" s="47">
        <f>'ACADEMIC SUPP 2yr'!V20+'STU SERVICES 2yr'!V20+'INST SUPPORT 2yr'!V20</f>
        <v>246113.70199999999</v>
      </c>
      <c r="W20" s="47">
        <f>'ACADEMIC SUPP 2yr'!W20+'STU SERVICES 2yr'!W20+'INST SUPPORT 2yr'!W20</f>
        <v>254158.264</v>
      </c>
      <c r="X20" s="47">
        <f>'ACADEMIC SUPP 2yr'!X20+'STU SERVICES 2yr'!X20+'INST SUPPORT 2yr'!X20</f>
        <v>252897.88099999999</v>
      </c>
      <c r="Y20" s="47">
        <f>'ACADEMIC SUPP 2yr'!Y20+'STU SERVICES 2yr'!Y20+'INST SUPPORT 2yr'!Y20</f>
        <v>263568.75099999999</v>
      </c>
      <c r="Z20" s="47">
        <f>'ACADEMIC SUPP 2yr'!Z20+'STU SERVICES 2yr'!Z20+'INST SUPPORT 2yr'!Z20</f>
        <v>279122.54499999998</v>
      </c>
      <c r="AA20" s="47">
        <f>'ACADEMIC SUPP 2yr'!AA20+'STU SERVICES 2yr'!AA20+'INST SUPPORT 2yr'!AA20</f>
        <v>286961.45899999997</v>
      </c>
      <c r="AB20" s="47">
        <f>'ACADEMIC SUPP 2yr'!AB20+'STU SERVICES 2yr'!AB20+'INST SUPPORT 2yr'!AB20</f>
        <v>277309.39</v>
      </c>
      <c r="AC20" s="47">
        <f>'ACADEMIC SUPP 2yr'!AC20+'STU SERVICES 2yr'!AC20+'INST SUPPORT 2yr'!AC20</f>
        <v>295479.31199999998</v>
      </c>
      <c r="AD20" s="47">
        <f>'ACADEMIC SUPP 2yr'!AD20+'STU SERVICES 2yr'!AD20+'INST SUPPORT 2yr'!AD20</f>
        <v>0</v>
      </c>
      <c r="AE20" s="47">
        <f>'ACADEMIC SUPP 2yr'!AE20+'STU SERVICES 2yr'!AE20+'INST SUPPORT 2yr'!AE20</f>
        <v>288580.82799999998</v>
      </c>
    </row>
    <row r="21" spans="1:31" s="11" customFormat="1">
      <c r="A21" s="1" t="s">
        <v>38</v>
      </c>
      <c r="B21" s="47">
        <f>'ACADEMIC SUPP 2yr'!B21+'STU SERVICES 2yr'!B21+'INST SUPPORT 2yr'!B21</f>
        <v>30096</v>
      </c>
      <c r="C21" s="47">
        <f>'ACADEMIC SUPP 2yr'!C21+'STU SERVICES 2yr'!C21+'INST SUPPORT 2yr'!C21</f>
        <v>34907</v>
      </c>
      <c r="D21" s="47">
        <f>'ACADEMIC SUPP 2yr'!D21+'STU SERVICES 2yr'!D21+'INST SUPPORT 2yr'!D21</f>
        <v>39113</v>
      </c>
      <c r="E21" s="47">
        <f>'ACADEMIC SUPP 2yr'!E21+'STU SERVICES 2yr'!E21+'INST SUPPORT 2yr'!E21</f>
        <v>52329.755000000005</v>
      </c>
      <c r="F21" s="47">
        <f>'ACADEMIC SUPP 2yr'!F21+'STU SERVICES 2yr'!F21+'INST SUPPORT 2yr'!F21</f>
        <v>52624.482000000004</v>
      </c>
      <c r="G21" s="47">
        <f>'ACADEMIC SUPP 2yr'!G21+'STU SERVICES 2yr'!G21+'INST SUPPORT 2yr'!G21</f>
        <v>58940.282999999996</v>
      </c>
      <c r="H21" s="47">
        <f>'ACADEMIC SUPP 2yr'!H21+'STU SERVICES 2yr'!H21+'INST SUPPORT 2yr'!H21</f>
        <v>67883.706999999995</v>
      </c>
      <c r="I21" s="47">
        <f>'ACADEMIC SUPP 2yr'!I21+'STU SERVICES 2yr'!I21+'INST SUPPORT 2yr'!I21</f>
        <v>74987.714999999997</v>
      </c>
      <c r="J21" s="47">
        <f>'ACADEMIC SUPP 2yr'!J21+'STU SERVICES 2yr'!J21+'INST SUPPORT 2yr'!J21</f>
        <v>79008.092000000004</v>
      </c>
      <c r="K21" s="47">
        <f>'ACADEMIC SUPP 2yr'!K21+'STU SERVICES 2yr'!K21+'INST SUPPORT 2yr'!K21</f>
        <v>79985.902999999991</v>
      </c>
      <c r="L21" s="47">
        <f>'ACADEMIC SUPP 2yr'!L21+'STU SERVICES 2yr'!L21+'INST SUPPORT 2yr'!L21</f>
        <v>88648.70199999999</v>
      </c>
      <c r="M21" s="47">
        <f>'ACADEMIC SUPP 2yr'!M21+'STU SERVICES 2yr'!M21+'INST SUPPORT 2yr'!M21</f>
        <v>100973.68900000001</v>
      </c>
      <c r="N21" s="47">
        <f>'ACADEMIC SUPP 2yr'!N21+'STU SERVICES 2yr'!N21+'INST SUPPORT 2yr'!N21</f>
        <v>106172.44099999999</v>
      </c>
      <c r="O21" s="47">
        <f>'ACADEMIC SUPP 2yr'!O21+'STU SERVICES 2yr'!O21+'INST SUPPORT 2yr'!O21</f>
        <v>112537.9</v>
      </c>
      <c r="P21" s="47">
        <f>'ACADEMIC SUPP 2yr'!P21+'STU SERVICES 2yr'!P21+'INST SUPPORT 2yr'!P21</f>
        <v>113522.31600000001</v>
      </c>
      <c r="Q21" s="47">
        <f>'ACADEMIC SUPP 2yr'!Q21+'STU SERVICES 2yr'!Q21+'INST SUPPORT 2yr'!Q21</f>
        <v>125877.01000000001</v>
      </c>
      <c r="R21" s="47">
        <f>'ACADEMIC SUPP 2yr'!R21+'STU SERVICES 2yr'!R21+'INST SUPPORT 2yr'!R21</f>
        <v>134307.84600000002</v>
      </c>
      <c r="S21" s="47">
        <f>'ACADEMIC SUPP 2yr'!S21+'STU SERVICES 2yr'!S21+'INST SUPPORT 2yr'!S21</f>
        <v>141172.91099999999</v>
      </c>
      <c r="T21" s="47">
        <f>'ACADEMIC SUPP 2yr'!T21+'STU SERVICES 2yr'!T21+'INST SUPPORT 2yr'!T21</f>
        <v>155172.997</v>
      </c>
      <c r="U21" s="47">
        <f>'ACADEMIC SUPP 2yr'!U21+'STU SERVICES 2yr'!U21+'INST SUPPORT 2yr'!U21</f>
        <v>171392.26199999999</v>
      </c>
      <c r="V21" s="47">
        <f>'ACADEMIC SUPP 2yr'!V21+'STU SERVICES 2yr'!V21+'INST SUPPORT 2yr'!V21</f>
        <v>184463.31599999999</v>
      </c>
      <c r="W21" s="47">
        <f>'ACADEMIC SUPP 2yr'!W21+'STU SERVICES 2yr'!W21+'INST SUPPORT 2yr'!W21</f>
        <v>202840.212</v>
      </c>
      <c r="X21" s="47">
        <f>'ACADEMIC SUPP 2yr'!X21+'STU SERVICES 2yr'!X21+'INST SUPPORT 2yr'!X21</f>
        <v>202137.04499999998</v>
      </c>
      <c r="Y21" s="47">
        <f>'ACADEMIC SUPP 2yr'!Y21+'STU SERVICES 2yr'!Y21+'INST SUPPORT 2yr'!Y21</f>
        <v>214493.13</v>
      </c>
      <c r="Z21" s="47">
        <f>'ACADEMIC SUPP 2yr'!Z21+'STU SERVICES 2yr'!Z21+'INST SUPPORT 2yr'!Z21</f>
        <v>218617.56400000001</v>
      </c>
      <c r="AA21" s="47">
        <f>'ACADEMIC SUPP 2yr'!AA21+'STU SERVICES 2yr'!AA21+'INST SUPPORT 2yr'!AA21</f>
        <v>211271.85700000002</v>
      </c>
      <c r="AB21" s="47">
        <f>'ACADEMIC SUPP 2yr'!AB21+'STU SERVICES 2yr'!AB21+'INST SUPPORT 2yr'!AB21</f>
        <v>201789.51699999999</v>
      </c>
      <c r="AC21" s="47">
        <f>'ACADEMIC SUPP 2yr'!AC21+'STU SERVICES 2yr'!AC21+'INST SUPPORT 2yr'!AC21</f>
        <v>206045.39499999999</v>
      </c>
      <c r="AD21" s="47">
        <f>'ACADEMIC SUPP 2yr'!AD21+'STU SERVICES 2yr'!AD21+'INST SUPPORT 2yr'!AD21</f>
        <v>0</v>
      </c>
      <c r="AE21" s="47">
        <f>'ACADEMIC SUPP 2yr'!AE21+'STU SERVICES 2yr'!AE21+'INST SUPPORT 2yr'!AE21</f>
        <v>213670.011</v>
      </c>
    </row>
    <row r="22" spans="1:31">
      <c r="A22" s="1" t="s">
        <v>39</v>
      </c>
      <c r="B22" s="47">
        <f>'ACADEMIC SUPP 2yr'!B22+'STU SERVICES 2yr'!B22+'INST SUPPORT 2yr'!B22</f>
        <v>218097</v>
      </c>
      <c r="C22" s="47">
        <f>'ACADEMIC SUPP 2yr'!C22+'STU SERVICES 2yr'!C22+'INST SUPPORT 2yr'!C22</f>
        <v>235796</v>
      </c>
      <c r="D22" s="47">
        <f>'ACADEMIC SUPP 2yr'!D22+'STU SERVICES 2yr'!D22+'INST SUPPORT 2yr'!D22</f>
        <v>249530</v>
      </c>
      <c r="E22" s="47">
        <f>'ACADEMIC SUPP 2yr'!E22+'STU SERVICES 2yr'!E22+'INST SUPPORT 2yr'!E22</f>
        <v>378201.58600000001</v>
      </c>
      <c r="F22" s="47">
        <f>'ACADEMIC SUPP 2yr'!F22+'STU SERVICES 2yr'!F22+'INST SUPPORT 2yr'!F22</f>
        <v>380720.99599999998</v>
      </c>
      <c r="G22" s="47">
        <f>'ACADEMIC SUPP 2yr'!G22+'STU SERVICES 2yr'!G22+'INST SUPPORT 2yr'!G22</f>
        <v>394342.05200000003</v>
      </c>
      <c r="H22" s="47">
        <f>'ACADEMIC SUPP 2yr'!H22+'STU SERVICES 2yr'!H22+'INST SUPPORT 2yr'!H22</f>
        <v>441020.12899999996</v>
      </c>
      <c r="I22" s="47">
        <f>'ACADEMIC SUPP 2yr'!I22+'STU SERVICES 2yr'!I22+'INST SUPPORT 2yr'!I22</f>
        <v>430497.75</v>
      </c>
      <c r="J22" s="47">
        <f>'ACADEMIC SUPP 2yr'!J22+'STU SERVICES 2yr'!J22+'INST SUPPORT 2yr'!J22</f>
        <v>497544.26799999998</v>
      </c>
      <c r="K22" s="47">
        <f>'ACADEMIC SUPP 2yr'!K22+'STU SERVICES 2yr'!K22+'INST SUPPORT 2yr'!K22</f>
        <v>519066.63199999998</v>
      </c>
      <c r="L22" s="47">
        <f>'ACADEMIC SUPP 2yr'!L22+'STU SERVICES 2yr'!L22+'INST SUPPORT 2yr'!L22</f>
        <v>578434.46100000001</v>
      </c>
      <c r="M22" s="47">
        <f>'ACADEMIC SUPP 2yr'!M22+'STU SERVICES 2yr'!M22+'INST SUPPORT 2yr'!M22</f>
        <v>653714.01300000004</v>
      </c>
      <c r="N22" s="47">
        <f>'ACADEMIC SUPP 2yr'!N22+'STU SERVICES 2yr'!N22+'INST SUPPORT 2yr'!N22</f>
        <v>697429.86800000002</v>
      </c>
      <c r="O22" s="47">
        <f>'ACADEMIC SUPP 2yr'!O22+'STU SERVICES 2yr'!O22+'INST SUPPORT 2yr'!O22</f>
        <v>727880.04799999995</v>
      </c>
      <c r="P22" s="47">
        <f>'ACADEMIC SUPP 2yr'!P22+'STU SERVICES 2yr'!P22+'INST SUPPORT 2yr'!P22</f>
        <v>760036.86700000009</v>
      </c>
      <c r="Q22" s="47">
        <f>'ACADEMIC SUPP 2yr'!Q22+'STU SERVICES 2yr'!Q22+'INST SUPPORT 2yr'!Q22</f>
        <v>820352.50799999991</v>
      </c>
      <c r="R22" s="47">
        <f>'ACADEMIC SUPP 2yr'!R22+'STU SERVICES 2yr'!R22+'INST SUPPORT 2yr'!R22</f>
        <v>872340.85599999991</v>
      </c>
      <c r="S22" s="47">
        <f>'ACADEMIC SUPP 2yr'!S22+'STU SERVICES 2yr'!S22+'INST SUPPORT 2yr'!S22</f>
        <v>925780.89800000004</v>
      </c>
      <c r="T22" s="47">
        <f>'ACADEMIC SUPP 2yr'!T22+'STU SERVICES 2yr'!T22+'INST SUPPORT 2yr'!T22</f>
        <v>1023364.5759999999</v>
      </c>
      <c r="U22" s="47">
        <f>'ACADEMIC SUPP 2yr'!U22+'STU SERVICES 2yr'!U22+'INST SUPPORT 2yr'!U22</f>
        <v>1158111.8130000001</v>
      </c>
      <c r="V22" s="47">
        <f>'ACADEMIC SUPP 2yr'!V22+'STU SERVICES 2yr'!V22+'INST SUPPORT 2yr'!V22</f>
        <v>1481051.193</v>
      </c>
      <c r="W22" s="47">
        <f>'ACADEMIC SUPP 2yr'!W22+'STU SERVICES 2yr'!W22+'INST SUPPORT 2yr'!W22</f>
        <v>1538869.01</v>
      </c>
      <c r="X22" s="47">
        <f>'ACADEMIC SUPP 2yr'!X22+'STU SERVICES 2yr'!X22+'INST SUPPORT 2yr'!X22</f>
        <v>1543473.5630000001</v>
      </c>
      <c r="Y22" s="47">
        <f>'ACADEMIC SUPP 2yr'!Y22+'STU SERVICES 2yr'!Y22+'INST SUPPORT 2yr'!Y22</f>
        <v>1665565.862</v>
      </c>
      <c r="Z22" s="47">
        <f>'ACADEMIC SUPP 2yr'!Z22+'STU SERVICES 2yr'!Z22+'INST SUPPORT 2yr'!Z22</f>
        <v>1731257.5299999998</v>
      </c>
      <c r="AA22" s="47">
        <f>'ACADEMIC SUPP 2yr'!AA22+'STU SERVICES 2yr'!AA22+'INST SUPPORT 2yr'!AA22</f>
        <v>1752832.202</v>
      </c>
      <c r="AB22" s="47">
        <f>'ACADEMIC SUPP 2yr'!AB22+'STU SERVICES 2yr'!AB22+'INST SUPPORT 2yr'!AB22</f>
        <v>1850230.8359999999</v>
      </c>
      <c r="AC22" s="47">
        <f>'ACADEMIC SUPP 2yr'!AC22+'STU SERVICES 2yr'!AC22+'INST SUPPORT 2yr'!AC22</f>
        <v>1951761.7510000002</v>
      </c>
      <c r="AD22" s="47">
        <f>'ACADEMIC SUPP 2yr'!AD22+'STU SERVICES 2yr'!AD22+'INST SUPPORT 2yr'!AD22</f>
        <v>0</v>
      </c>
      <c r="AE22" s="47">
        <f>'ACADEMIC SUPP 2yr'!AE22+'STU SERVICES 2yr'!AE22+'INST SUPPORT 2yr'!AE22</f>
        <v>2184678.997</v>
      </c>
    </row>
    <row r="23" spans="1:31">
      <c r="A23" s="1" t="s">
        <v>40</v>
      </c>
      <c r="B23" s="47">
        <f>'ACADEMIC SUPP 2yr'!B23+'STU SERVICES 2yr'!B23+'INST SUPPORT 2yr'!B23</f>
        <v>60875</v>
      </c>
      <c r="C23" s="47">
        <f>'ACADEMIC SUPP 2yr'!C23+'STU SERVICES 2yr'!C23+'INST SUPPORT 2yr'!C23</f>
        <v>71463</v>
      </c>
      <c r="D23" s="47">
        <f>'ACADEMIC SUPP 2yr'!D23+'STU SERVICES 2yr'!D23+'INST SUPPORT 2yr'!D23</f>
        <v>76846</v>
      </c>
      <c r="E23" s="47">
        <f>'ACADEMIC SUPP 2yr'!E23+'STU SERVICES 2yr'!E23+'INST SUPPORT 2yr'!E23</f>
        <v>98905.645000000004</v>
      </c>
      <c r="F23" s="47">
        <f>'ACADEMIC SUPP 2yr'!F23+'STU SERVICES 2yr'!F23+'INST SUPPORT 2yr'!F23</f>
        <v>100977.72500000001</v>
      </c>
      <c r="G23" s="47">
        <f>'ACADEMIC SUPP 2yr'!G23+'STU SERVICES 2yr'!G23+'INST SUPPORT 2yr'!G23</f>
        <v>104917.584</v>
      </c>
      <c r="H23" s="47">
        <f>'ACADEMIC SUPP 2yr'!H23+'STU SERVICES 2yr'!H23+'INST SUPPORT 2yr'!H23</f>
        <v>114268.59299999999</v>
      </c>
      <c r="I23" s="47">
        <f>'ACADEMIC SUPP 2yr'!I23+'STU SERVICES 2yr'!I23+'INST SUPPORT 2yr'!I23</f>
        <v>120834.84899999999</v>
      </c>
      <c r="J23" s="47">
        <f>'ACADEMIC SUPP 2yr'!J23+'STU SERVICES 2yr'!J23+'INST SUPPORT 2yr'!J23</f>
        <v>121487.93400000001</v>
      </c>
      <c r="K23" s="47">
        <f>'ACADEMIC SUPP 2yr'!K23+'STU SERVICES 2yr'!K23+'INST SUPPORT 2yr'!K23</f>
        <v>132686.56400000001</v>
      </c>
      <c r="L23" s="47">
        <f>'ACADEMIC SUPP 2yr'!L23+'STU SERVICES 2yr'!L23+'INST SUPPORT 2yr'!L23</f>
        <v>155962.30900000001</v>
      </c>
      <c r="M23" s="47">
        <f>'ACADEMIC SUPP 2yr'!M23+'STU SERVICES 2yr'!M23+'INST SUPPORT 2yr'!M23</f>
        <v>169505.34499999997</v>
      </c>
      <c r="N23" s="47">
        <f>'ACADEMIC SUPP 2yr'!N23+'STU SERVICES 2yr'!N23+'INST SUPPORT 2yr'!N23</f>
        <v>165729.26799999998</v>
      </c>
      <c r="O23" s="47">
        <f>'ACADEMIC SUPP 2yr'!O23+'STU SERVICES 2yr'!O23+'INST SUPPORT 2yr'!O23</f>
        <v>169112.505</v>
      </c>
      <c r="P23" s="47">
        <f>'ACADEMIC SUPP 2yr'!P23+'STU SERVICES 2yr'!P23+'INST SUPPORT 2yr'!P23</f>
        <v>186375.22899999999</v>
      </c>
      <c r="Q23" s="47">
        <f>'ACADEMIC SUPP 2yr'!Q23+'STU SERVICES 2yr'!Q23+'INST SUPPORT 2yr'!Q23</f>
        <v>206007.81099999999</v>
      </c>
      <c r="R23" s="47">
        <f>'ACADEMIC SUPP 2yr'!R23+'STU SERVICES 2yr'!R23+'INST SUPPORT 2yr'!R23</f>
        <v>221676.125</v>
      </c>
      <c r="S23" s="47">
        <f>'ACADEMIC SUPP 2yr'!S23+'STU SERVICES 2yr'!S23+'INST SUPPORT 2yr'!S23</f>
        <v>247599</v>
      </c>
      <c r="T23" s="47">
        <f>'ACADEMIC SUPP 2yr'!T23+'STU SERVICES 2yr'!T23+'INST SUPPORT 2yr'!T23</f>
        <v>291401.212</v>
      </c>
      <c r="U23" s="47">
        <f>'ACADEMIC SUPP 2yr'!U23+'STU SERVICES 2yr'!U23+'INST SUPPORT 2yr'!U23</f>
        <v>299255.554</v>
      </c>
      <c r="V23" s="47">
        <f>'ACADEMIC SUPP 2yr'!V23+'STU SERVICES 2yr'!V23+'INST SUPPORT 2yr'!V23</f>
        <v>318582.61300000001</v>
      </c>
      <c r="W23" s="47">
        <f>'ACADEMIC SUPP 2yr'!W23+'STU SERVICES 2yr'!W23+'INST SUPPORT 2yr'!W23</f>
        <v>352249.22</v>
      </c>
      <c r="X23" s="47">
        <f>'ACADEMIC SUPP 2yr'!X23+'STU SERVICES 2yr'!X23+'INST SUPPORT 2yr'!X23</f>
        <v>386114.50599999999</v>
      </c>
      <c r="Y23" s="47">
        <f>'ACADEMIC SUPP 2yr'!Y23+'STU SERVICES 2yr'!Y23+'INST SUPPORT 2yr'!Y23</f>
        <v>401728.011</v>
      </c>
      <c r="Z23" s="47">
        <f>'ACADEMIC SUPP 2yr'!Z23+'STU SERVICES 2yr'!Z23+'INST SUPPORT 2yr'!Z23</f>
        <v>428908.39399999997</v>
      </c>
      <c r="AA23" s="47">
        <f>'ACADEMIC SUPP 2yr'!AA23+'STU SERVICES 2yr'!AA23+'INST SUPPORT 2yr'!AA23</f>
        <v>439905.728</v>
      </c>
      <c r="AB23" s="47">
        <f>'ACADEMIC SUPP 2yr'!AB23+'STU SERVICES 2yr'!AB23+'INST SUPPORT 2yr'!AB23</f>
        <v>442314.255</v>
      </c>
      <c r="AC23" s="47">
        <f>'ACADEMIC SUPP 2yr'!AC23+'STU SERVICES 2yr'!AC23+'INST SUPPORT 2yr'!AC23</f>
        <v>433472.54700000002</v>
      </c>
      <c r="AD23" s="47">
        <f>'ACADEMIC SUPP 2yr'!AD23+'STU SERVICES 2yr'!AD23+'INST SUPPORT 2yr'!AD23</f>
        <v>0</v>
      </c>
      <c r="AE23" s="47">
        <f>'ACADEMIC SUPP 2yr'!AE23+'STU SERVICES 2yr'!AE23+'INST SUPPORT 2yr'!AE23</f>
        <v>416193.93400000001</v>
      </c>
    </row>
    <row r="24" spans="1:31">
      <c r="A24" s="23" t="s">
        <v>41</v>
      </c>
      <c r="B24" s="49">
        <f>'ACADEMIC SUPP 2yr'!B24+'STU SERVICES 2yr'!B24+'INST SUPPORT 2yr'!B24</f>
        <v>5270</v>
      </c>
      <c r="C24" s="49">
        <f>'ACADEMIC SUPP 2yr'!C24+'STU SERVICES 2yr'!C24+'INST SUPPORT 2yr'!C24</f>
        <v>6011</v>
      </c>
      <c r="D24" s="49">
        <f>'ACADEMIC SUPP 2yr'!D24+'STU SERVICES 2yr'!D24+'INST SUPPORT 2yr'!D24</f>
        <v>6222</v>
      </c>
      <c r="E24" s="49">
        <f>'ACADEMIC SUPP 2yr'!E24+'STU SERVICES 2yr'!E24+'INST SUPPORT 2yr'!E24</f>
        <v>6621.9459999999999</v>
      </c>
      <c r="F24" s="49">
        <f>'ACADEMIC SUPP 2yr'!F24+'STU SERVICES 2yr'!F24+'INST SUPPORT 2yr'!F24</f>
        <v>7137.5550000000003</v>
      </c>
      <c r="G24" s="49">
        <f>'ACADEMIC SUPP 2yr'!G24+'STU SERVICES 2yr'!G24+'INST SUPPORT 2yr'!G24</f>
        <v>7565</v>
      </c>
      <c r="H24" s="49">
        <f>'ACADEMIC SUPP 2yr'!H24+'STU SERVICES 2yr'!H24+'INST SUPPORT 2yr'!H24</f>
        <v>8775.8950000000004</v>
      </c>
      <c r="I24" s="49">
        <f>'ACADEMIC SUPP 2yr'!I24+'STU SERVICES 2yr'!I24+'INST SUPPORT 2yr'!I24</f>
        <v>9775.219000000001</v>
      </c>
      <c r="J24" s="49">
        <f>'ACADEMIC SUPP 2yr'!J24+'STU SERVICES 2yr'!J24+'INST SUPPORT 2yr'!J24</f>
        <v>10549.071</v>
      </c>
      <c r="K24" s="49">
        <f>'ACADEMIC SUPP 2yr'!K24+'STU SERVICES 2yr'!K24+'INST SUPPORT 2yr'!K24</f>
        <v>10628.468179999993</v>
      </c>
      <c r="L24" s="49">
        <f>'ACADEMIC SUPP 2yr'!L24+'STU SERVICES 2yr'!L24+'INST SUPPORT 2yr'!L24</f>
        <v>11464.856</v>
      </c>
      <c r="M24" s="49">
        <f>'ACADEMIC SUPP 2yr'!M24+'STU SERVICES 2yr'!M24+'INST SUPPORT 2yr'!M24</f>
        <v>13840.212</v>
      </c>
      <c r="N24" s="49">
        <f>'ACADEMIC SUPP 2yr'!N24+'STU SERVICES 2yr'!N24+'INST SUPPORT 2yr'!N24</f>
        <v>10758.918</v>
      </c>
      <c r="O24" s="49">
        <f>'ACADEMIC SUPP 2yr'!O24+'STU SERVICES 2yr'!O24+'INST SUPPORT 2yr'!O24</f>
        <v>15073.025</v>
      </c>
      <c r="P24" s="49">
        <f>'ACADEMIC SUPP 2yr'!P24+'STU SERVICES 2yr'!P24+'INST SUPPORT 2yr'!P24</f>
        <v>11211.083999999999</v>
      </c>
      <c r="Q24" s="49">
        <f>'ACADEMIC SUPP 2yr'!Q24+'STU SERVICES 2yr'!Q24+'INST SUPPORT 2yr'!Q24</f>
        <v>26543.374</v>
      </c>
      <c r="R24" s="49">
        <f>'ACADEMIC SUPP 2yr'!R24+'STU SERVICES 2yr'!R24+'INST SUPPORT 2yr'!R24</f>
        <v>22416.698</v>
      </c>
      <c r="S24" s="49">
        <f>'ACADEMIC SUPP 2yr'!S24+'STU SERVICES 2yr'!S24+'INST SUPPORT 2yr'!S24</f>
        <v>27817.809000000001</v>
      </c>
      <c r="T24" s="49">
        <f>'ACADEMIC SUPP 2yr'!T24+'STU SERVICES 2yr'!T24+'INST SUPPORT 2yr'!T24</f>
        <v>29092.025000000001</v>
      </c>
      <c r="U24" s="49">
        <f>'ACADEMIC SUPP 2yr'!U24+'STU SERVICES 2yr'!U24+'INST SUPPORT 2yr'!U24</f>
        <v>34182.18</v>
      </c>
      <c r="V24" s="49">
        <f>'ACADEMIC SUPP 2yr'!V24+'STU SERVICES 2yr'!V24+'INST SUPPORT 2yr'!V24</f>
        <v>54129.369000000006</v>
      </c>
      <c r="W24" s="49">
        <f>'ACADEMIC SUPP 2yr'!W24+'STU SERVICES 2yr'!W24+'INST SUPPORT 2yr'!W24</f>
        <v>58781.717000000004</v>
      </c>
      <c r="X24" s="49">
        <f>'ACADEMIC SUPP 2yr'!X24+'STU SERVICES 2yr'!X24+'INST SUPPORT 2yr'!X24</f>
        <v>60462.646000000001</v>
      </c>
      <c r="Y24" s="49">
        <f>'ACADEMIC SUPP 2yr'!Y24+'STU SERVICES 2yr'!Y24+'INST SUPPORT 2yr'!Y24</f>
        <v>58759.879000000001</v>
      </c>
      <c r="Z24" s="49">
        <f>'ACADEMIC SUPP 2yr'!Z24+'STU SERVICES 2yr'!Z24+'INST SUPPORT 2yr'!Z24</f>
        <v>58207.549999999996</v>
      </c>
      <c r="AA24" s="49">
        <f>'ACADEMIC SUPP 2yr'!AA24+'STU SERVICES 2yr'!AA24+'INST SUPPORT 2yr'!AA24</f>
        <v>56209.148000000001</v>
      </c>
      <c r="AB24" s="49">
        <f>'ACADEMIC SUPP 2yr'!AB24+'STU SERVICES 2yr'!AB24+'INST SUPPORT 2yr'!AB24</f>
        <v>54119.421000000002</v>
      </c>
      <c r="AC24" s="49">
        <f>'ACADEMIC SUPP 2yr'!AC24+'STU SERVICES 2yr'!AC24+'INST SUPPORT 2yr'!AC24</f>
        <v>53205.668999999994</v>
      </c>
      <c r="AD24" s="49">
        <f>'ACADEMIC SUPP 2yr'!AD24+'STU SERVICES 2yr'!AD24+'INST SUPPORT 2yr'!AD24</f>
        <v>0</v>
      </c>
      <c r="AE24" s="49">
        <f>'ACADEMIC SUPP 2yr'!AE24+'STU SERVICES 2yr'!AE24+'INST SUPPORT 2yr'!AE24</f>
        <v>54639.763999999996</v>
      </c>
    </row>
    <row r="25" spans="1:31">
      <c r="A25" s="7" t="s">
        <v>42</v>
      </c>
      <c r="B25" s="47">
        <f>'ACADEMIC SUPP 2yr'!B25+'STU SERVICES 2yr'!B25+'INST SUPPORT 2yr'!B25</f>
        <v>0</v>
      </c>
      <c r="C25" s="47">
        <f>'ACADEMIC SUPP 2yr'!C25+'STU SERVICES 2yr'!C25+'INST SUPPORT 2yr'!C25</f>
        <v>0</v>
      </c>
      <c r="D25" s="47">
        <f>'ACADEMIC SUPP 2yr'!D25+'STU SERVICES 2yr'!D25+'INST SUPPORT 2yr'!D25</f>
        <v>0</v>
      </c>
      <c r="E25" s="47">
        <f>'ACADEMIC SUPP 2yr'!E25+'STU SERVICES 2yr'!E25+'INST SUPPORT 2yr'!E25</f>
        <v>0</v>
      </c>
      <c r="F25" s="47">
        <f>'ACADEMIC SUPP 2yr'!F25+'STU SERVICES 2yr'!F25+'INST SUPPORT 2yr'!F25</f>
        <v>1627812.1</v>
      </c>
      <c r="G25" s="47">
        <f>'ACADEMIC SUPP 2yr'!G25+'STU SERVICES 2yr'!G25+'INST SUPPORT 2yr'!G25</f>
        <v>0</v>
      </c>
      <c r="H25" s="47">
        <f>'ACADEMIC SUPP 2yr'!H25+'STU SERVICES 2yr'!H25+'INST SUPPORT 2yr'!H25</f>
        <v>0</v>
      </c>
      <c r="I25" s="47">
        <f>'ACADEMIC SUPP 2yr'!I25+'STU SERVICES 2yr'!I25+'INST SUPPORT 2yr'!I25</f>
        <v>1829733.6939999997</v>
      </c>
      <c r="J25" s="47">
        <f>'ACADEMIC SUPP 2yr'!J25+'STU SERVICES 2yr'!J25+'INST SUPPORT 2yr'!J25</f>
        <v>0</v>
      </c>
      <c r="K25" s="47">
        <f>'ACADEMIC SUPP 2yr'!K25+'STU SERVICES 2yr'!K25+'INST SUPPORT 2yr'!K25</f>
        <v>2426629.8560600001</v>
      </c>
      <c r="L25" s="47">
        <f>'ACADEMIC SUPP 2yr'!L25+'STU SERVICES 2yr'!L25+'INST SUPPORT 2yr'!L25</f>
        <v>2447697.679</v>
      </c>
      <c r="M25" s="47">
        <f>'ACADEMIC SUPP 2yr'!M25+'STU SERVICES 2yr'!M25+'INST SUPPORT 2yr'!M25</f>
        <v>2661769.5329999998</v>
      </c>
      <c r="N25" s="47">
        <f>'ACADEMIC SUPP 2yr'!N25+'STU SERVICES 2yr'!N25+'INST SUPPORT 2yr'!N25</f>
        <v>2735984.8480000002</v>
      </c>
      <c r="O25" s="47">
        <f>'ACADEMIC SUPP 2yr'!O25+'STU SERVICES 2yr'!O25+'INST SUPPORT 2yr'!O25</f>
        <v>2725507.6229999997</v>
      </c>
      <c r="P25" s="47">
        <f>'ACADEMIC SUPP 2yr'!P25+'STU SERVICES 2yr'!P25+'INST SUPPORT 2yr'!P25</f>
        <v>2700297.8880000003</v>
      </c>
      <c r="Q25" s="47">
        <f>'ACADEMIC SUPP 2yr'!Q25+'STU SERVICES 2yr'!Q25+'INST SUPPORT 2yr'!Q25</f>
        <v>3360018.5200000005</v>
      </c>
      <c r="R25" s="47">
        <f>'ACADEMIC SUPP 2yr'!R25+'STU SERVICES 2yr'!R25+'INST SUPPORT 2yr'!R25</f>
        <v>3591274.1220000004</v>
      </c>
      <c r="S25" s="47">
        <f>'ACADEMIC SUPP 2yr'!S25+'STU SERVICES 2yr'!S25+'INST SUPPORT 2yr'!S25</f>
        <v>3847289.8610000005</v>
      </c>
      <c r="T25" s="47">
        <f>'ACADEMIC SUPP 2yr'!T25+'STU SERVICES 2yr'!T25+'INST SUPPORT 2yr'!T25</f>
        <v>4324412.2630000003</v>
      </c>
      <c r="U25" s="47">
        <f>'ACADEMIC SUPP 2yr'!U25+'STU SERVICES 2yr'!U25+'INST SUPPORT 2yr'!U25</f>
        <v>4658324.3789999997</v>
      </c>
      <c r="V25" s="47">
        <f>'ACADEMIC SUPP 2yr'!V25+'STU SERVICES 2yr'!V25+'INST SUPPORT 2yr'!V25</f>
        <v>5163229.4019999998</v>
      </c>
      <c r="W25" s="47">
        <f>'ACADEMIC SUPP 2yr'!W25+'STU SERVICES 2yr'!W25+'INST SUPPORT 2yr'!W25</f>
        <v>5370953.6179999998</v>
      </c>
      <c r="X25" s="47">
        <f>'ACADEMIC SUPP 2yr'!X25+'STU SERVICES 2yr'!X25+'INST SUPPORT 2yr'!X25</f>
        <v>5400676.3619999997</v>
      </c>
      <c r="Y25" s="47">
        <f>'ACADEMIC SUPP 2yr'!Y25+'STU SERVICES 2yr'!Y25+'INST SUPPORT 2yr'!Y25</f>
        <v>3969323.7350000003</v>
      </c>
      <c r="Z25" s="47">
        <f>'ACADEMIC SUPP 2yr'!Z25+'STU SERVICES 2yr'!Z25+'INST SUPPORT 2yr'!Z25</f>
        <v>4174391.3930000002</v>
      </c>
      <c r="AA25" s="47">
        <f>'ACADEMIC SUPP 2yr'!AA25+'STU SERVICES 2yr'!AA25+'INST SUPPORT 2yr'!AA25</f>
        <v>4326771.8629999999</v>
      </c>
      <c r="AB25" s="47">
        <f>'ACADEMIC SUPP 2yr'!AB25+'STU SERVICES 2yr'!AB25+'INST SUPPORT 2yr'!AB25</f>
        <v>6358523.7280000001</v>
      </c>
      <c r="AC25" s="47">
        <f>'ACADEMIC SUPP 2yr'!AC25+'STU SERVICES 2yr'!AC25+'INST SUPPORT 2yr'!AC25</f>
        <v>6770898.6469999999</v>
      </c>
      <c r="AD25" s="47">
        <f>'ACADEMIC SUPP 2yr'!AD25+'STU SERVICES 2yr'!AD25+'INST SUPPORT 2yr'!AD25</f>
        <v>0</v>
      </c>
      <c r="AE25" s="47">
        <f>'ACADEMIC SUPP 2yr'!AE25+'STU SERVICES 2yr'!AE25+'INST SUPPORT 2yr'!AE25</f>
        <v>7441029.2510000002</v>
      </c>
    </row>
    <row r="26" spans="1:31">
      <c r="A26" s="7" t="s">
        <v>97</v>
      </c>
      <c r="B26" s="47">
        <f>'ACADEMIC SUPP 2yr'!B26+'STU SERVICES 2yr'!B26+'INST SUPPORT 2yr'!B26</f>
        <v>0</v>
      </c>
      <c r="C26" s="47">
        <f>'ACADEMIC SUPP 2yr'!C26+'STU SERVICES 2yr'!C26+'INST SUPPORT 2yr'!C26</f>
        <v>0</v>
      </c>
      <c r="D26" s="47">
        <f>'ACADEMIC SUPP 2yr'!D26+'STU SERVICES 2yr'!D26+'INST SUPPORT 2yr'!D26</f>
        <v>0</v>
      </c>
      <c r="E26" s="47">
        <f>'ACADEMIC SUPP 2yr'!E26+'STU SERVICES 2yr'!E26+'INST SUPPORT 2yr'!E26</f>
        <v>0</v>
      </c>
      <c r="F26" s="47">
        <f>'ACADEMIC SUPP 2yr'!F26+'STU SERVICES 2yr'!F26+'INST SUPPORT 2yr'!F26</f>
        <v>0</v>
      </c>
      <c r="G26" s="47">
        <f>'ACADEMIC SUPP 2yr'!G26+'STU SERVICES 2yr'!G26+'INST SUPPORT 2yr'!G26</f>
        <v>0</v>
      </c>
      <c r="H26" s="47">
        <f>'ACADEMIC SUPP 2yr'!H26+'STU SERVICES 2yr'!H26+'INST SUPPORT 2yr'!H26</f>
        <v>0</v>
      </c>
      <c r="I26" s="47">
        <f>'ACADEMIC SUPP 2yr'!I26+'STU SERVICES 2yr'!I26+'INST SUPPORT 2yr'!I26</f>
        <v>0</v>
      </c>
      <c r="J26" s="47">
        <f>'ACADEMIC SUPP 2yr'!J26+'STU SERVICES 2yr'!J26+'INST SUPPORT 2yr'!J26</f>
        <v>0</v>
      </c>
      <c r="K26" s="47">
        <f>'ACADEMIC SUPP 2yr'!K26+'STU SERVICES 2yr'!K26+'INST SUPPORT 2yr'!K26</f>
        <v>0</v>
      </c>
      <c r="L26" s="47">
        <f>'ACADEMIC SUPP 2yr'!L26+'STU SERVICES 2yr'!L26+'INST SUPPORT 2yr'!L26</f>
        <v>0</v>
      </c>
      <c r="M26" s="47">
        <f>'ACADEMIC SUPP 2yr'!M26+'STU SERVICES 2yr'!M26+'INST SUPPORT 2yr'!M26</f>
        <v>0</v>
      </c>
      <c r="N26" s="47">
        <f>'ACADEMIC SUPP 2yr'!N26+'STU SERVICES 2yr'!N26+'INST SUPPORT 2yr'!N26</f>
        <v>0</v>
      </c>
      <c r="O26" s="47">
        <f>'ACADEMIC SUPP 2yr'!O26+'STU SERVICES 2yr'!O26+'INST SUPPORT 2yr'!O26</f>
        <v>0</v>
      </c>
      <c r="P26" s="47">
        <f>'ACADEMIC SUPP 2yr'!P26+'STU SERVICES 2yr'!P26+'INST SUPPORT 2yr'!P26</f>
        <v>0</v>
      </c>
      <c r="Q26" s="47">
        <f>'ACADEMIC SUPP 2yr'!Q26+'STU SERVICES 2yr'!Q26+'INST SUPPORT 2yr'!Q26</f>
        <v>0</v>
      </c>
      <c r="R26" s="47">
        <f>'ACADEMIC SUPP 2yr'!R26+'STU SERVICES 2yr'!R26+'INST SUPPORT 2yr'!R26</f>
        <v>0</v>
      </c>
      <c r="S26" s="47">
        <f>'ACADEMIC SUPP 2yr'!S26+'STU SERVICES 2yr'!S26+'INST SUPPORT 2yr'!S26</f>
        <v>0</v>
      </c>
      <c r="T26" s="47">
        <f>'ACADEMIC SUPP 2yr'!T26+'STU SERVICES 2yr'!T26+'INST SUPPORT 2yr'!T26</f>
        <v>0</v>
      </c>
      <c r="U26" s="47">
        <f>'ACADEMIC SUPP 2yr'!U26+'STU SERVICES 2yr'!U26+'INST SUPPORT 2yr'!U26</f>
        <v>0</v>
      </c>
      <c r="V26" s="47">
        <f>'ACADEMIC SUPP 2yr'!V26+'STU SERVICES 2yr'!V26+'INST SUPPORT 2yr'!V26</f>
        <v>0</v>
      </c>
      <c r="W26" s="47">
        <f>'ACADEMIC SUPP 2yr'!W26+'STU SERVICES 2yr'!W26+'INST SUPPORT 2yr'!W26</f>
        <v>0</v>
      </c>
      <c r="X26" s="47">
        <f>'ACADEMIC SUPP 2yr'!X26+'STU SERVICES 2yr'!X26+'INST SUPPORT 2yr'!X26</f>
        <v>0</v>
      </c>
      <c r="Y26" s="47">
        <f>'ACADEMIC SUPP 2yr'!Y26+'STU SERVICES 2yr'!Y26+'INST SUPPORT 2yr'!Y26</f>
        <v>0</v>
      </c>
      <c r="Z26" s="47">
        <f>'ACADEMIC SUPP 2yr'!Z26+'STU SERVICES 2yr'!Z26+'INST SUPPORT 2yr'!Z26</f>
        <v>0</v>
      </c>
      <c r="AA26" s="47">
        <f>'ACADEMIC SUPP 2yr'!AA26+'STU SERVICES 2yr'!AA26+'INST SUPPORT 2yr'!AA26</f>
        <v>0</v>
      </c>
      <c r="AB26" s="47">
        <f>'ACADEMIC SUPP 2yr'!AB26+'STU SERVICES 2yr'!AB26+'INST SUPPORT 2yr'!AB26</f>
        <v>0</v>
      </c>
      <c r="AC26" s="47">
        <f>'ACADEMIC SUPP 2yr'!AC26+'STU SERVICES 2yr'!AC26+'INST SUPPORT 2yr'!AC26</f>
        <v>0</v>
      </c>
      <c r="AD26" s="47">
        <f>'ACADEMIC SUPP 2yr'!AD26+'STU SERVICES 2yr'!AD26+'INST SUPPORT 2yr'!AD26</f>
        <v>0</v>
      </c>
      <c r="AE26" s="47">
        <f>'ACADEMIC SUPP 2yr'!AE26+'STU SERVICES 2yr'!AE26+'INST SUPPORT 2yr'!AE26</f>
        <v>0</v>
      </c>
    </row>
    <row r="27" spans="1:31">
      <c r="A27" s="1" t="s">
        <v>43</v>
      </c>
      <c r="B27" s="47">
        <f>'ACADEMIC SUPP 2yr'!B27+'STU SERVICES 2yr'!B27+'INST SUPPORT 2yr'!B27</f>
        <v>0</v>
      </c>
      <c r="C27" s="47">
        <f>'ACADEMIC SUPP 2yr'!C27+'STU SERVICES 2yr'!C27+'INST SUPPORT 2yr'!C27</f>
        <v>0</v>
      </c>
      <c r="D27" s="47">
        <f>'ACADEMIC SUPP 2yr'!D27+'STU SERVICES 2yr'!D27+'INST SUPPORT 2yr'!D27</f>
        <v>0</v>
      </c>
      <c r="E27" s="47">
        <f>'ACADEMIC SUPP 2yr'!E27+'STU SERVICES 2yr'!E27+'INST SUPPORT 2yr'!E27</f>
        <v>0</v>
      </c>
      <c r="F27" s="47">
        <f>'ACADEMIC SUPP 2yr'!F27+'STU SERVICES 2yr'!F27+'INST SUPPORT 2yr'!F27</f>
        <v>938.26300000000003</v>
      </c>
      <c r="G27" s="47">
        <f>'ACADEMIC SUPP 2yr'!G27+'STU SERVICES 2yr'!G27+'INST SUPPORT 2yr'!G27</f>
        <v>0</v>
      </c>
      <c r="H27" s="47">
        <f>'ACADEMIC SUPP 2yr'!H27+'STU SERVICES 2yr'!H27+'INST SUPPORT 2yr'!H27</f>
        <v>0</v>
      </c>
      <c r="I27" s="47">
        <f>'ACADEMIC SUPP 2yr'!I27+'STU SERVICES 2yr'!I27+'INST SUPPORT 2yr'!I27</f>
        <v>899.18899999999996</v>
      </c>
      <c r="J27" s="47">
        <f>'ACADEMIC SUPP 2yr'!J27+'STU SERVICES 2yr'!J27+'INST SUPPORT 2yr'!J27</f>
        <v>0</v>
      </c>
      <c r="K27" s="47">
        <f>'ACADEMIC SUPP 2yr'!K27+'STU SERVICES 2yr'!K27+'INST SUPPORT 2yr'!K27</f>
        <v>791.50800000000004</v>
      </c>
      <c r="L27" s="47">
        <f>'ACADEMIC SUPP 2yr'!L27+'STU SERVICES 2yr'!L27+'INST SUPPORT 2yr'!L27</f>
        <v>6445.1980000000003</v>
      </c>
      <c r="M27" s="47">
        <f>'ACADEMIC SUPP 2yr'!M27+'STU SERVICES 2yr'!M27+'INST SUPPORT 2yr'!M27</f>
        <v>993.62200000000007</v>
      </c>
      <c r="N27" s="47">
        <f>'ACADEMIC SUPP 2yr'!N27+'STU SERVICES 2yr'!N27+'INST SUPPORT 2yr'!N27</f>
        <v>6053.9169999999995</v>
      </c>
      <c r="O27" s="47">
        <f>'ACADEMIC SUPP 2yr'!O27+'STU SERVICES 2yr'!O27+'INST SUPPORT 2yr'!O27</f>
        <v>6472.3710000000001</v>
      </c>
      <c r="P27" s="47">
        <f>'ACADEMIC SUPP 2yr'!P27+'STU SERVICES 2yr'!P27+'INST SUPPORT 2yr'!P27</f>
        <v>6083.3240000000005</v>
      </c>
      <c r="Q27" s="47">
        <f>'ACADEMIC SUPP 2yr'!Q27+'STU SERVICES 2yr'!Q27+'INST SUPPORT 2yr'!Q27</f>
        <v>1039.6489999999999</v>
      </c>
      <c r="R27" s="47">
        <f>'ACADEMIC SUPP 2yr'!R27+'STU SERVICES 2yr'!R27+'INST SUPPORT 2yr'!R27</f>
        <v>5865.299</v>
      </c>
      <c r="S27" s="47">
        <f>'ACADEMIC SUPP 2yr'!S27+'STU SERVICES 2yr'!S27+'INST SUPPORT 2yr'!S27</f>
        <v>6338.4949999999999</v>
      </c>
      <c r="T27" s="47">
        <f>'ACADEMIC SUPP 2yr'!T27+'STU SERVICES 2yr'!T27+'INST SUPPORT 2yr'!T27</f>
        <v>6861.768</v>
      </c>
      <c r="U27" s="47">
        <f>'ACADEMIC SUPP 2yr'!U27+'STU SERVICES 2yr'!U27+'INST SUPPORT 2yr'!U27</f>
        <v>8423.8559999999998</v>
      </c>
      <c r="V27" s="47">
        <f>'ACADEMIC SUPP 2yr'!V27+'STU SERVICES 2yr'!V27+'INST SUPPORT 2yr'!V27</f>
        <v>9305.25</v>
      </c>
      <c r="W27" s="47">
        <f>'ACADEMIC SUPP 2yr'!W27+'STU SERVICES 2yr'!W27+'INST SUPPORT 2yr'!W27</f>
        <v>2877.846</v>
      </c>
      <c r="X27" s="47">
        <f>'ACADEMIC SUPP 2yr'!X27+'STU SERVICES 2yr'!X27+'INST SUPPORT 2yr'!X27</f>
        <v>10052.214</v>
      </c>
      <c r="Y27" s="47">
        <f>'ACADEMIC SUPP 2yr'!Y27+'STU SERVICES 2yr'!Y27+'INST SUPPORT 2yr'!Y27</f>
        <v>3125.473</v>
      </c>
      <c r="Z27" s="47">
        <f>'ACADEMIC SUPP 2yr'!Z27+'STU SERVICES 2yr'!Z27+'INST SUPPORT 2yr'!Z27</f>
        <v>0</v>
      </c>
      <c r="AA27" s="47">
        <f>'ACADEMIC SUPP 2yr'!AA27+'STU SERVICES 2yr'!AA27+'INST SUPPORT 2yr'!AA27</f>
        <v>0</v>
      </c>
      <c r="AB27" s="47">
        <f>'ACADEMIC SUPP 2yr'!AB27+'STU SERVICES 2yr'!AB27+'INST SUPPORT 2yr'!AB27</f>
        <v>9541.4750000000004</v>
      </c>
      <c r="AC27" s="47">
        <f>'ACADEMIC SUPP 2yr'!AC27+'STU SERVICES 2yr'!AC27+'INST SUPPORT 2yr'!AC27</f>
        <v>10670.055</v>
      </c>
      <c r="AD27" s="47">
        <f>'ACADEMIC SUPP 2yr'!AD27+'STU SERVICES 2yr'!AD27+'INST SUPPORT 2yr'!AD27</f>
        <v>0</v>
      </c>
      <c r="AE27" s="47">
        <f>'ACADEMIC SUPP 2yr'!AE27+'STU SERVICES 2yr'!AE27+'INST SUPPORT 2yr'!AE27</f>
        <v>10733.706</v>
      </c>
    </row>
    <row r="28" spans="1:31">
      <c r="A28" s="1" t="s">
        <v>44</v>
      </c>
      <c r="B28" s="47">
        <f>'ACADEMIC SUPP 2yr'!B28+'STU SERVICES 2yr'!B28+'INST SUPPORT 2yr'!B28</f>
        <v>0</v>
      </c>
      <c r="C28" s="47">
        <f>'ACADEMIC SUPP 2yr'!C28+'STU SERVICES 2yr'!C28+'INST SUPPORT 2yr'!C28</f>
        <v>0</v>
      </c>
      <c r="D28" s="47">
        <f>'ACADEMIC SUPP 2yr'!D28+'STU SERVICES 2yr'!D28+'INST SUPPORT 2yr'!D28</f>
        <v>0</v>
      </c>
      <c r="E28" s="47">
        <f>'ACADEMIC SUPP 2yr'!E28+'STU SERVICES 2yr'!E28+'INST SUPPORT 2yr'!E28</f>
        <v>0</v>
      </c>
      <c r="F28" s="47">
        <f>'ACADEMIC SUPP 2yr'!F28+'STU SERVICES 2yr'!F28+'INST SUPPORT 2yr'!F28</f>
        <v>110914.788</v>
      </c>
      <c r="G28" s="47">
        <f>'ACADEMIC SUPP 2yr'!G28+'STU SERVICES 2yr'!G28+'INST SUPPORT 2yr'!G28</f>
        <v>0</v>
      </c>
      <c r="H28" s="47">
        <f>'ACADEMIC SUPP 2yr'!H28+'STU SERVICES 2yr'!H28+'INST SUPPORT 2yr'!H28</f>
        <v>0</v>
      </c>
      <c r="I28" s="47">
        <f>'ACADEMIC SUPP 2yr'!I28+'STU SERVICES 2yr'!I28+'INST SUPPORT 2yr'!I28</f>
        <v>127907.21600000001</v>
      </c>
      <c r="J28" s="47">
        <f>'ACADEMIC SUPP 2yr'!J28+'STU SERVICES 2yr'!J28+'INST SUPPORT 2yr'!J28</f>
        <v>0</v>
      </c>
      <c r="K28" s="47">
        <f>'ACADEMIC SUPP 2yr'!K28+'STU SERVICES 2yr'!K28+'INST SUPPORT 2yr'!K28</f>
        <v>177736.54728999999</v>
      </c>
      <c r="L28" s="47">
        <f>'ACADEMIC SUPP 2yr'!L28+'STU SERVICES 2yr'!L28+'INST SUPPORT 2yr'!L28</f>
        <v>191827.12199999997</v>
      </c>
      <c r="M28" s="47">
        <f>'ACADEMIC SUPP 2yr'!M28+'STU SERVICES 2yr'!M28+'INST SUPPORT 2yr'!M28</f>
        <v>206980.935</v>
      </c>
      <c r="N28" s="47">
        <f>'ACADEMIC SUPP 2yr'!N28+'STU SERVICES 2yr'!N28+'INST SUPPORT 2yr'!N28</f>
        <v>227726.34</v>
      </c>
      <c r="O28" s="47">
        <f>'ACADEMIC SUPP 2yr'!O28+'STU SERVICES 2yr'!O28+'INST SUPPORT 2yr'!O28</f>
        <v>238672.06799999997</v>
      </c>
      <c r="P28" s="47">
        <f>'ACADEMIC SUPP 2yr'!P28+'STU SERVICES 2yr'!P28+'INST SUPPORT 2yr'!P28</f>
        <v>262014.37300000002</v>
      </c>
      <c r="Q28" s="47">
        <f>'ACADEMIC SUPP 2yr'!Q28+'STU SERVICES 2yr'!Q28+'INST SUPPORT 2yr'!Q28</f>
        <v>279316.49400000001</v>
      </c>
      <c r="R28" s="47">
        <f>'ACADEMIC SUPP 2yr'!R28+'STU SERVICES 2yr'!R28+'INST SUPPORT 2yr'!R28</f>
        <v>305597.90399999998</v>
      </c>
      <c r="S28" s="47">
        <f>'ACADEMIC SUPP 2yr'!S28+'STU SERVICES 2yr'!S28+'INST SUPPORT 2yr'!S28</f>
        <v>330464.78099999996</v>
      </c>
      <c r="T28" s="47">
        <f>'ACADEMIC SUPP 2yr'!T28+'STU SERVICES 2yr'!T28+'INST SUPPORT 2yr'!T28</f>
        <v>380857.234</v>
      </c>
      <c r="U28" s="47">
        <f>'ACADEMIC SUPP 2yr'!U28+'STU SERVICES 2yr'!U28+'INST SUPPORT 2yr'!U28</f>
        <v>408755.40100000001</v>
      </c>
      <c r="V28" s="47">
        <f>'ACADEMIC SUPP 2yr'!V28+'STU SERVICES 2yr'!V28+'INST SUPPORT 2yr'!V28</f>
        <v>457308.72600000002</v>
      </c>
      <c r="W28" s="47">
        <f>'ACADEMIC SUPP 2yr'!W28+'STU SERVICES 2yr'!W28+'INST SUPPORT 2yr'!W28</f>
        <v>450516.54000000004</v>
      </c>
      <c r="X28" s="47">
        <f>'ACADEMIC SUPP 2yr'!X28+'STU SERVICES 2yr'!X28+'INST SUPPORT 2yr'!X28</f>
        <v>476891.88899999997</v>
      </c>
      <c r="Y28" s="47">
        <f>'ACADEMIC SUPP 2yr'!Y28+'STU SERVICES 2yr'!Y28+'INST SUPPORT 2yr'!Y28</f>
        <v>118251.595</v>
      </c>
      <c r="Z28" s="47">
        <f>'ACADEMIC SUPP 2yr'!Z28+'STU SERVICES 2yr'!Z28+'INST SUPPORT 2yr'!Z28</f>
        <v>121606.463</v>
      </c>
      <c r="AA28" s="47">
        <f>'ACADEMIC SUPP 2yr'!AA28+'STU SERVICES 2yr'!AA28+'INST SUPPORT 2yr'!AA28</f>
        <v>118740.395</v>
      </c>
      <c r="AB28" s="47">
        <f>'ACADEMIC SUPP 2yr'!AB28+'STU SERVICES 2yr'!AB28+'INST SUPPORT 2yr'!AB28</f>
        <v>511094.94500000001</v>
      </c>
      <c r="AC28" s="47">
        <f>'ACADEMIC SUPP 2yr'!AC28+'STU SERVICES 2yr'!AC28+'INST SUPPORT 2yr'!AC28</f>
        <v>503814.11600000004</v>
      </c>
      <c r="AD28" s="47">
        <f>'ACADEMIC SUPP 2yr'!AD28+'STU SERVICES 2yr'!AD28+'INST SUPPORT 2yr'!AD28</f>
        <v>0</v>
      </c>
      <c r="AE28" s="47">
        <f>'ACADEMIC SUPP 2yr'!AE28+'STU SERVICES 2yr'!AE28+'INST SUPPORT 2yr'!AE28</f>
        <v>540592.72200000007</v>
      </c>
    </row>
    <row r="29" spans="1:31">
      <c r="A29" s="1" t="s">
        <v>45</v>
      </c>
      <c r="B29" s="47">
        <f>'ACADEMIC SUPP 2yr'!B29+'STU SERVICES 2yr'!B29+'INST SUPPORT 2yr'!B29</f>
        <v>0</v>
      </c>
      <c r="C29" s="47">
        <f>'ACADEMIC SUPP 2yr'!C29+'STU SERVICES 2yr'!C29+'INST SUPPORT 2yr'!C29</f>
        <v>0</v>
      </c>
      <c r="D29" s="47">
        <f>'ACADEMIC SUPP 2yr'!D29+'STU SERVICES 2yr'!D29+'INST SUPPORT 2yr'!D29</f>
        <v>0</v>
      </c>
      <c r="E29" s="47">
        <f>'ACADEMIC SUPP 2yr'!E29+'STU SERVICES 2yr'!E29+'INST SUPPORT 2yr'!E29</f>
        <v>0</v>
      </c>
      <c r="F29" s="47">
        <f>'ACADEMIC SUPP 2yr'!F29+'STU SERVICES 2yr'!F29+'INST SUPPORT 2yr'!F29</f>
        <v>1026721.047</v>
      </c>
      <c r="G29" s="47">
        <f>'ACADEMIC SUPP 2yr'!G29+'STU SERVICES 2yr'!G29+'INST SUPPORT 2yr'!G29</f>
        <v>0</v>
      </c>
      <c r="H29" s="47">
        <f>'ACADEMIC SUPP 2yr'!H29+'STU SERVICES 2yr'!H29+'INST SUPPORT 2yr'!H29</f>
        <v>0</v>
      </c>
      <c r="I29" s="47">
        <f>'ACADEMIC SUPP 2yr'!I29+'STU SERVICES 2yr'!I29+'INST SUPPORT 2yr'!I29</f>
        <v>1103531.2779999999</v>
      </c>
      <c r="J29" s="47">
        <f>'ACADEMIC SUPP 2yr'!J29+'STU SERVICES 2yr'!J29+'INST SUPPORT 2yr'!J29</f>
        <v>0</v>
      </c>
      <c r="K29" s="47">
        <f>'ACADEMIC SUPP 2yr'!K29+'STU SERVICES 2yr'!K29+'INST SUPPORT 2yr'!K29</f>
        <v>1518681.4906600001</v>
      </c>
      <c r="L29" s="47">
        <f>'ACADEMIC SUPP 2yr'!L29+'STU SERVICES 2yr'!L29+'INST SUPPORT 2yr'!L29</f>
        <v>1408656.8429999999</v>
      </c>
      <c r="M29" s="47">
        <f>'ACADEMIC SUPP 2yr'!M29+'STU SERVICES 2yr'!M29+'INST SUPPORT 2yr'!M29</f>
        <v>1543726.2850000001</v>
      </c>
      <c r="N29" s="47">
        <f>'ACADEMIC SUPP 2yr'!N29+'STU SERVICES 2yr'!N29+'INST SUPPORT 2yr'!N29</f>
        <v>1541605.183</v>
      </c>
      <c r="O29" s="47">
        <f>'ACADEMIC SUPP 2yr'!O29+'STU SERVICES 2yr'!O29+'INST SUPPORT 2yr'!O29</f>
        <v>1475614.219</v>
      </c>
      <c r="P29" s="47">
        <f>'ACADEMIC SUPP 2yr'!P29+'STU SERVICES 2yr'!P29+'INST SUPPORT 2yr'!P29</f>
        <v>1457470.2439999999</v>
      </c>
      <c r="Q29" s="47">
        <f>'ACADEMIC SUPP 2yr'!Q29+'STU SERVICES 2yr'!Q29+'INST SUPPORT 2yr'!Q29</f>
        <v>2054696.534</v>
      </c>
      <c r="R29" s="47">
        <f>'ACADEMIC SUPP 2yr'!R29+'STU SERVICES 2yr'!R29+'INST SUPPORT 2yr'!R29</f>
        <v>2189498</v>
      </c>
      <c r="S29" s="47">
        <f>'ACADEMIC SUPP 2yr'!S29+'STU SERVICES 2yr'!S29+'INST SUPPORT 2yr'!S29</f>
        <v>2425306.588</v>
      </c>
      <c r="T29" s="47">
        <f>'ACADEMIC SUPP 2yr'!T29+'STU SERVICES 2yr'!T29+'INST SUPPORT 2yr'!T29</f>
        <v>2718573.7250000001</v>
      </c>
      <c r="U29" s="47">
        <f>'ACADEMIC SUPP 2yr'!U29+'STU SERVICES 2yr'!U29+'INST SUPPORT 2yr'!U29</f>
        <v>2793860</v>
      </c>
      <c r="V29" s="47">
        <f>'ACADEMIC SUPP 2yr'!V29+'STU SERVICES 2yr'!V29+'INST SUPPORT 2yr'!V29</f>
        <v>3093409.247</v>
      </c>
      <c r="W29" s="47">
        <f>'ACADEMIC SUPP 2yr'!W29+'STU SERVICES 2yr'!W29+'INST SUPPORT 2yr'!W29</f>
        <v>3246151.2699999996</v>
      </c>
      <c r="X29" s="47">
        <f>'ACADEMIC SUPP 2yr'!X29+'STU SERVICES 2yr'!X29+'INST SUPPORT 2yr'!X29</f>
        <v>3205697.7590000001</v>
      </c>
      <c r="Y29" s="47">
        <f>'ACADEMIC SUPP 2yr'!Y29+'STU SERVICES 2yr'!Y29+'INST SUPPORT 2yr'!Y29</f>
        <v>2369578.747</v>
      </c>
      <c r="Z29" s="47">
        <f>'ACADEMIC SUPP 2yr'!Z29+'STU SERVICES 2yr'!Z29+'INST SUPPORT 2yr'!Z29</f>
        <v>2456642.3489999999</v>
      </c>
      <c r="AA29" s="47">
        <f>'ACADEMIC SUPP 2yr'!AA29+'STU SERVICES 2yr'!AA29+'INST SUPPORT 2yr'!AA29</f>
        <v>2589255.1109999996</v>
      </c>
      <c r="AB29" s="47">
        <f>'ACADEMIC SUPP 2yr'!AB29+'STU SERVICES 2yr'!AB29+'INST SUPPORT 2yr'!AB29</f>
        <v>3829100.2620000001</v>
      </c>
      <c r="AC29" s="47">
        <f>'ACADEMIC SUPP 2yr'!AC29+'STU SERVICES 2yr'!AC29+'INST SUPPORT 2yr'!AC29</f>
        <v>4159553.298</v>
      </c>
      <c r="AD29" s="47">
        <f>'ACADEMIC SUPP 2yr'!AD29+'STU SERVICES 2yr'!AD29+'INST SUPPORT 2yr'!AD29</f>
        <v>0</v>
      </c>
      <c r="AE29" s="47">
        <f>'ACADEMIC SUPP 2yr'!AE29+'STU SERVICES 2yr'!AE29+'INST SUPPORT 2yr'!AE29</f>
        <v>4671150.8119999999</v>
      </c>
    </row>
    <row r="30" spans="1:31">
      <c r="A30" s="1" t="s">
        <v>46</v>
      </c>
      <c r="B30" s="47">
        <f>'ACADEMIC SUPP 2yr'!B30+'STU SERVICES 2yr'!B30+'INST SUPPORT 2yr'!B30</f>
        <v>0</v>
      </c>
      <c r="C30" s="47">
        <f>'ACADEMIC SUPP 2yr'!C30+'STU SERVICES 2yr'!C30+'INST SUPPORT 2yr'!C30</f>
        <v>0</v>
      </c>
      <c r="D30" s="47">
        <f>'ACADEMIC SUPP 2yr'!D30+'STU SERVICES 2yr'!D30+'INST SUPPORT 2yr'!D30</f>
        <v>0</v>
      </c>
      <c r="E30" s="47">
        <f>'ACADEMIC SUPP 2yr'!E30+'STU SERVICES 2yr'!E30+'INST SUPPORT 2yr'!E30</f>
        <v>0</v>
      </c>
      <c r="F30" s="47">
        <f>'ACADEMIC SUPP 2yr'!F30+'STU SERVICES 2yr'!F30+'INST SUPPORT 2yr'!F30</f>
        <v>64598.520999999993</v>
      </c>
      <c r="G30" s="47">
        <f>'ACADEMIC SUPP 2yr'!G30+'STU SERVICES 2yr'!G30+'INST SUPPORT 2yr'!G30</f>
        <v>0</v>
      </c>
      <c r="H30" s="47">
        <f>'ACADEMIC SUPP 2yr'!H30+'STU SERVICES 2yr'!H30+'INST SUPPORT 2yr'!H30</f>
        <v>0</v>
      </c>
      <c r="I30" s="47">
        <f>'ACADEMIC SUPP 2yr'!I30+'STU SERVICES 2yr'!I30+'INST SUPPORT 2yr'!I30</f>
        <v>79317.494000000006</v>
      </c>
      <c r="J30" s="47">
        <f>'ACADEMIC SUPP 2yr'!J30+'STU SERVICES 2yr'!J30+'INST SUPPORT 2yr'!J30</f>
        <v>0</v>
      </c>
      <c r="K30" s="47">
        <f>'ACADEMIC SUPP 2yr'!K30+'STU SERVICES 2yr'!K30+'INST SUPPORT 2yr'!K30</f>
        <v>90736.394</v>
      </c>
      <c r="L30" s="47">
        <f>'ACADEMIC SUPP 2yr'!L30+'STU SERVICES 2yr'!L30+'INST SUPPORT 2yr'!L30</f>
        <v>99642.774999999994</v>
      </c>
      <c r="M30" s="47">
        <f>'ACADEMIC SUPP 2yr'!M30+'STU SERVICES 2yr'!M30+'INST SUPPORT 2yr'!M30</f>
        <v>104862.81700000001</v>
      </c>
      <c r="N30" s="47">
        <f>'ACADEMIC SUPP 2yr'!N30+'STU SERVICES 2yr'!N30+'INST SUPPORT 2yr'!N30</f>
        <v>112013.54699999999</v>
      </c>
      <c r="O30" s="47">
        <f>'ACADEMIC SUPP 2yr'!O30+'STU SERVICES 2yr'!O30+'INST SUPPORT 2yr'!O30</f>
        <v>116608.715</v>
      </c>
      <c r="P30" s="47">
        <f>'ACADEMIC SUPP 2yr'!P30+'STU SERVICES 2yr'!P30+'INST SUPPORT 2yr'!P30</f>
        <v>115485.92200000001</v>
      </c>
      <c r="Q30" s="47">
        <f>'ACADEMIC SUPP 2yr'!Q30+'STU SERVICES 2yr'!Q30+'INST SUPPORT 2yr'!Q30</f>
        <v>114755.114</v>
      </c>
      <c r="R30" s="47">
        <f>'ACADEMIC SUPP 2yr'!R30+'STU SERVICES 2yr'!R30+'INST SUPPORT 2yr'!R30</f>
        <v>119502.228</v>
      </c>
      <c r="S30" s="47">
        <f>'ACADEMIC SUPP 2yr'!S30+'STU SERVICES 2yr'!S30+'INST SUPPORT 2yr'!S30</f>
        <v>122747.432</v>
      </c>
      <c r="T30" s="47">
        <f>'ACADEMIC SUPP 2yr'!T30+'STU SERVICES 2yr'!T30+'INST SUPPORT 2yr'!T30</f>
        <v>143454.68800000002</v>
      </c>
      <c r="U30" s="47">
        <f>'ACADEMIC SUPP 2yr'!U30+'STU SERVICES 2yr'!U30+'INST SUPPORT 2yr'!U30</f>
        <v>157042.17800000001</v>
      </c>
      <c r="V30" s="47">
        <f>'ACADEMIC SUPP 2yr'!V30+'STU SERVICES 2yr'!V30+'INST SUPPORT 2yr'!V30</f>
        <v>178908.47899999999</v>
      </c>
      <c r="W30" s="47">
        <f>'ACADEMIC SUPP 2yr'!W30+'STU SERVICES 2yr'!W30+'INST SUPPORT 2yr'!W30</f>
        <v>188836.747</v>
      </c>
      <c r="X30" s="47">
        <f>'ACADEMIC SUPP 2yr'!X30+'STU SERVICES 2yr'!X30+'INST SUPPORT 2yr'!X30</f>
        <v>203830.41899999999</v>
      </c>
      <c r="Y30" s="47">
        <f>'ACADEMIC SUPP 2yr'!Y30+'STU SERVICES 2yr'!Y30+'INST SUPPORT 2yr'!Y30</f>
        <v>112189.427</v>
      </c>
      <c r="Z30" s="47">
        <f>'ACADEMIC SUPP 2yr'!Z30+'STU SERVICES 2yr'!Z30+'INST SUPPORT 2yr'!Z30</f>
        <v>112492.53899999999</v>
      </c>
      <c r="AA30" s="47">
        <f>'ACADEMIC SUPP 2yr'!AA30+'STU SERVICES 2yr'!AA30+'INST SUPPORT 2yr'!AA30</f>
        <v>123011.315</v>
      </c>
      <c r="AB30" s="47">
        <f>'ACADEMIC SUPP 2yr'!AB30+'STU SERVICES 2yr'!AB30+'INST SUPPORT 2yr'!AB30</f>
        <v>206628.08</v>
      </c>
      <c r="AC30" s="47">
        <f>'ACADEMIC SUPP 2yr'!AC30+'STU SERVICES 2yr'!AC30+'INST SUPPORT 2yr'!AC30</f>
        <v>222742.79099999997</v>
      </c>
      <c r="AD30" s="47">
        <f>'ACADEMIC SUPP 2yr'!AD30+'STU SERVICES 2yr'!AD30+'INST SUPPORT 2yr'!AD30</f>
        <v>0</v>
      </c>
      <c r="AE30" s="47">
        <f>'ACADEMIC SUPP 2yr'!AE30+'STU SERVICES 2yr'!AE30+'INST SUPPORT 2yr'!AE30</f>
        <v>229542.46800000002</v>
      </c>
    </row>
    <row r="31" spans="1:31">
      <c r="A31" s="1" t="s">
        <v>47</v>
      </c>
      <c r="B31" s="47">
        <f>'ACADEMIC SUPP 2yr'!B31+'STU SERVICES 2yr'!B31+'INST SUPPORT 2yr'!B31</f>
        <v>0</v>
      </c>
      <c r="C31" s="47">
        <f>'ACADEMIC SUPP 2yr'!C31+'STU SERVICES 2yr'!C31+'INST SUPPORT 2yr'!C31</f>
        <v>0</v>
      </c>
      <c r="D31" s="47">
        <f>'ACADEMIC SUPP 2yr'!D31+'STU SERVICES 2yr'!D31+'INST SUPPORT 2yr'!D31</f>
        <v>0</v>
      </c>
      <c r="E31" s="47">
        <f>'ACADEMIC SUPP 2yr'!E31+'STU SERVICES 2yr'!E31+'INST SUPPORT 2yr'!E31</f>
        <v>0</v>
      </c>
      <c r="F31" s="47">
        <f>'ACADEMIC SUPP 2yr'!F31+'STU SERVICES 2yr'!F31+'INST SUPPORT 2yr'!F31</f>
        <v>24752.267</v>
      </c>
      <c r="G31" s="47">
        <f>'ACADEMIC SUPP 2yr'!G31+'STU SERVICES 2yr'!G31+'INST SUPPORT 2yr'!G31</f>
        <v>0</v>
      </c>
      <c r="H31" s="47">
        <f>'ACADEMIC SUPP 2yr'!H31+'STU SERVICES 2yr'!H31+'INST SUPPORT 2yr'!H31</f>
        <v>0</v>
      </c>
      <c r="I31" s="47">
        <f>'ACADEMIC SUPP 2yr'!I31+'STU SERVICES 2yr'!I31+'INST SUPPORT 2yr'!I31</f>
        <v>28044.216999999997</v>
      </c>
      <c r="J31" s="47">
        <f>'ACADEMIC SUPP 2yr'!J31+'STU SERVICES 2yr'!J31+'INST SUPPORT 2yr'!J31</f>
        <v>0</v>
      </c>
      <c r="K31" s="47">
        <f>'ACADEMIC SUPP 2yr'!K31+'STU SERVICES 2yr'!K31+'INST SUPPORT 2yr'!K31</f>
        <v>36438.633000000002</v>
      </c>
      <c r="L31" s="47">
        <f>'ACADEMIC SUPP 2yr'!L31+'STU SERVICES 2yr'!L31+'INST SUPPORT 2yr'!L31</f>
        <v>37999.616000000002</v>
      </c>
      <c r="M31" s="47">
        <f>'ACADEMIC SUPP 2yr'!M31+'STU SERVICES 2yr'!M31+'INST SUPPORT 2yr'!M31</f>
        <v>37802.539000000004</v>
      </c>
      <c r="N31" s="47">
        <f>'ACADEMIC SUPP 2yr'!N31+'STU SERVICES 2yr'!N31+'INST SUPPORT 2yr'!N31</f>
        <v>41319.553</v>
      </c>
      <c r="O31" s="47">
        <f>'ACADEMIC SUPP 2yr'!O31+'STU SERVICES 2yr'!O31+'INST SUPPORT 2yr'!O31</f>
        <v>46324.735000000001</v>
      </c>
      <c r="P31" s="47">
        <f>'ACADEMIC SUPP 2yr'!P31+'STU SERVICES 2yr'!P31+'INST SUPPORT 2yr'!P31</f>
        <v>39362.032999999996</v>
      </c>
      <c r="Q31" s="47">
        <f>'ACADEMIC SUPP 2yr'!Q31+'STU SERVICES 2yr'!Q31+'INST SUPPORT 2yr'!Q31</f>
        <v>40472.375</v>
      </c>
      <c r="R31" s="47">
        <f>'ACADEMIC SUPP 2yr'!R31+'STU SERVICES 2yr'!R31+'INST SUPPORT 2yr'!R31</f>
        <v>41544.577999999994</v>
      </c>
      <c r="S31" s="47">
        <f>'ACADEMIC SUPP 2yr'!S31+'STU SERVICES 2yr'!S31+'INST SUPPORT 2yr'!S31</f>
        <v>47184.303999999996</v>
      </c>
      <c r="T31" s="47">
        <f>'ACADEMIC SUPP 2yr'!T31+'STU SERVICES 2yr'!T31+'INST SUPPORT 2yr'!T31</f>
        <v>53298.645000000004</v>
      </c>
      <c r="U31" s="47">
        <f>'ACADEMIC SUPP 2yr'!U31+'STU SERVICES 2yr'!U31+'INST SUPPORT 2yr'!U31</f>
        <v>73842.983999999997</v>
      </c>
      <c r="V31" s="47">
        <f>'ACADEMIC SUPP 2yr'!V31+'STU SERVICES 2yr'!V31+'INST SUPPORT 2yr'!V31</f>
        <v>79900.467999999993</v>
      </c>
      <c r="W31" s="47">
        <f>'ACADEMIC SUPP 2yr'!W31+'STU SERVICES 2yr'!W31+'INST SUPPORT 2yr'!W31</f>
        <v>82306.671000000002</v>
      </c>
      <c r="X31" s="47">
        <f>'ACADEMIC SUPP 2yr'!X31+'STU SERVICES 2yr'!X31+'INST SUPPORT 2yr'!X31</f>
        <v>83905.26</v>
      </c>
      <c r="Y31" s="47">
        <f>'ACADEMIC SUPP 2yr'!Y31+'STU SERVICES 2yr'!Y31+'INST SUPPORT 2yr'!Y31</f>
        <v>86700.82</v>
      </c>
      <c r="Z31" s="47">
        <f>'ACADEMIC SUPP 2yr'!Z31+'STU SERVICES 2yr'!Z31+'INST SUPPORT 2yr'!Z31</f>
        <v>90429.047999999995</v>
      </c>
      <c r="AA31" s="47">
        <f>'ACADEMIC SUPP 2yr'!AA31+'STU SERVICES 2yr'!AA31+'INST SUPPORT 2yr'!AA31</f>
        <v>87393.383999999991</v>
      </c>
      <c r="AB31" s="47">
        <f>'ACADEMIC SUPP 2yr'!AB31+'STU SERVICES 2yr'!AB31+'INST SUPPORT 2yr'!AB31</f>
        <v>78562.983999999997</v>
      </c>
      <c r="AC31" s="47">
        <f>'ACADEMIC SUPP 2yr'!AC31+'STU SERVICES 2yr'!AC31+'INST SUPPORT 2yr'!AC31</f>
        <v>85487.56</v>
      </c>
      <c r="AD31" s="47">
        <f>'ACADEMIC SUPP 2yr'!AD31+'STU SERVICES 2yr'!AD31+'INST SUPPORT 2yr'!AD31</f>
        <v>0</v>
      </c>
      <c r="AE31" s="47">
        <f>'ACADEMIC SUPP 2yr'!AE31+'STU SERVICES 2yr'!AE31+'INST SUPPORT 2yr'!AE31</f>
        <v>95683.271000000008</v>
      </c>
    </row>
    <row r="32" spans="1:31">
      <c r="A32" s="1" t="s">
        <v>48</v>
      </c>
      <c r="B32" s="47">
        <f>'ACADEMIC SUPP 2yr'!B32+'STU SERVICES 2yr'!B32+'INST SUPPORT 2yr'!B32</f>
        <v>0</v>
      </c>
      <c r="C32" s="47">
        <f>'ACADEMIC SUPP 2yr'!C32+'STU SERVICES 2yr'!C32+'INST SUPPORT 2yr'!C32</f>
        <v>0</v>
      </c>
      <c r="D32" s="47">
        <f>'ACADEMIC SUPP 2yr'!D32+'STU SERVICES 2yr'!D32+'INST SUPPORT 2yr'!D32</f>
        <v>0</v>
      </c>
      <c r="E32" s="47">
        <f>'ACADEMIC SUPP 2yr'!E32+'STU SERVICES 2yr'!E32+'INST SUPPORT 2yr'!E32</f>
        <v>0</v>
      </c>
      <c r="F32" s="47">
        <f>'ACADEMIC SUPP 2yr'!F32+'STU SERVICES 2yr'!F32+'INST SUPPORT 2yr'!F32</f>
        <v>12615.936000000002</v>
      </c>
      <c r="G32" s="47">
        <f>'ACADEMIC SUPP 2yr'!G32+'STU SERVICES 2yr'!G32+'INST SUPPORT 2yr'!G32</f>
        <v>0</v>
      </c>
      <c r="H32" s="47">
        <f>'ACADEMIC SUPP 2yr'!H32+'STU SERVICES 2yr'!H32+'INST SUPPORT 2yr'!H32</f>
        <v>0</v>
      </c>
      <c r="I32" s="47">
        <f>'ACADEMIC SUPP 2yr'!I32+'STU SERVICES 2yr'!I32+'INST SUPPORT 2yr'!I32</f>
        <v>12039.642</v>
      </c>
      <c r="J32" s="47">
        <f>'ACADEMIC SUPP 2yr'!J32+'STU SERVICES 2yr'!J32+'INST SUPPORT 2yr'!J32</f>
        <v>0</v>
      </c>
      <c r="K32" s="47">
        <f>'ACADEMIC SUPP 2yr'!K32+'STU SERVICES 2yr'!K32+'INST SUPPORT 2yr'!K32</f>
        <v>14782.587</v>
      </c>
      <c r="L32" s="47">
        <f>'ACADEMIC SUPP 2yr'!L32+'STU SERVICES 2yr'!L32+'INST SUPPORT 2yr'!L32</f>
        <v>19737.912</v>
      </c>
      <c r="M32" s="47">
        <f>'ACADEMIC SUPP 2yr'!M32+'STU SERVICES 2yr'!M32+'INST SUPPORT 2yr'!M32</f>
        <v>22291.148999999998</v>
      </c>
      <c r="N32" s="47">
        <f>'ACADEMIC SUPP 2yr'!N32+'STU SERVICES 2yr'!N32+'INST SUPPORT 2yr'!N32</f>
        <v>24761.298000000003</v>
      </c>
      <c r="O32" s="47">
        <f>'ACADEMIC SUPP 2yr'!O32+'STU SERVICES 2yr'!O32+'INST SUPPORT 2yr'!O32</f>
        <v>24168.225999999999</v>
      </c>
      <c r="P32" s="47">
        <f>'ACADEMIC SUPP 2yr'!P32+'STU SERVICES 2yr'!P32+'INST SUPPORT 2yr'!P32</f>
        <v>26567.689000000002</v>
      </c>
      <c r="Q32" s="47">
        <f>'ACADEMIC SUPP 2yr'!Q32+'STU SERVICES 2yr'!Q32+'INST SUPPORT 2yr'!Q32</f>
        <v>28397.781000000003</v>
      </c>
      <c r="R32" s="47">
        <f>'ACADEMIC SUPP 2yr'!R32+'STU SERVICES 2yr'!R32+'INST SUPPORT 2yr'!R32</f>
        <v>30033.018</v>
      </c>
      <c r="S32" s="47">
        <f>'ACADEMIC SUPP 2yr'!S32+'STU SERVICES 2yr'!S32+'INST SUPPORT 2yr'!S32</f>
        <v>30189.3</v>
      </c>
      <c r="T32" s="47">
        <f>'ACADEMIC SUPP 2yr'!T32+'STU SERVICES 2yr'!T32+'INST SUPPORT 2yr'!T32</f>
        <v>34058.103999999999</v>
      </c>
      <c r="U32" s="47">
        <f>'ACADEMIC SUPP 2yr'!U32+'STU SERVICES 2yr'!U32+'INST SUPPORT 2yr'!U32</f>
        <v>36503.597999999998</v>
      </c>
      <c r="V32" s="47">
        <f>'ACADEMIC SUPP 2yr'!V32+'STU SERVICES 2yr'!V32+'INST SUPPORT 2yr'!V32</f>
        <v>42997.118000000002</v>
      </c>
      <c r="W32" s="47">
        <f>'ACADEMIC SUPP 2yr'!W32+'STU SERVICES 2yr'!W32+'INST SUPPORT 2yr'!W32</f>
        <v>40013.294000000002</v>
      </c>
      <c r="X32" s="47">
        <f>'ACADEMIC SUPP 2yr'!X32+'STU SERVICES 2yr'!X32+'INST SUPPORT 2yr'!X32</f>
        <v>58723.733999999997</v>
      </c>
      <c r="Y32" s="47">
        <f>'ACADEMIC SUPP 2yr'!Y32+'STU SERVICES 2yr'!Y32+'INST SUPPORT 2yr'!Y32</f>
        <v>48820.934000000001</v>
      </c>
      <c r="Z32" s="47">
        <f>'ACADEMIC SUPP 2yr'!Z32+'STU SERVICES 2yr'!Z32+'INST SUPPORT 2yr'!Z32</f>
        <v>54143.394</v>
      </c>
      <c r="AA32" s="47">
        <f>'ACADEMIC SUPP 2yr'!AA32+'STU SERVICES 2yr'!AA32+'INST SUPPORT 2yr'!AA32</f>
        <v>56787.654000000002</v>
      </c>
      <c r="AB32" s="47">
        <f>'ACADEMIC SUPP 2yr'!AB32+'STU SERVICES 2yr'!AB32+'INST SUPPORT 2yr'!AB32</f>
        <v>62308.85</v>
      </c>
      <c r="AC32" s="47">
        <f>'ACADEMIC SUPP 2yr'!AC32+'STU SERVICES 2yr'!AC32+'INST SUPPORT 2yr'!AC32</f>
        <v>67056.37</v>
      </c>
      <c r="AD32" s="47">
        <f>'ACADEMIC SUPP 2yr'!AD32+'STU SERVICES 2yr'!AD32+'INST SUPPORT 2yr'!AD32</f>
        <v>0</v>
      </c>
      <c r="AE32" s="47">
        <f>'ACADEMIC SUPP 2yr'!AE32+'STU SERVICES 2yr'!AE32+'INST SUPPORT 2yr'!AE32</f>
        <v>75145.899999999994</v>
      </c>
    </row>
    <row r="33" spans="1:31">
      <c r="A33" s="1" t="s">
        <v>49</v>
      </c>
      <c r="B33" s="47">
        <f>'ACADEMIC SUPP 2yr'!B33+'STU SERVICES 2yr'!B33+'INST SUPPORT 2yr'!B33</f>
        <v>0</v>
      </c>
      <c r="C33" s="47">
        <f>'ACADEMIC SUPP 2yr'!C33+'STU SERVICES 2yr'!C33+'INST SUPPORT 2yr'!C33</f>
        <v>0</v>
      </c>
      <c r="D33" s="47">
        <f>'ACADEMIC SUPP 2yr'!D33+'STU SERVICES 2yr'!D33+'INST SUPPORT 2yr'!D33</f>
        <v>0</v>
      </c>
      <c r="E33" s="47">
        <f>'ACADEMIC SUPP 2yr'!E33+'STU SERVICES 2yr'!E33+'INST SUPPORT 2yr'!E33</f>
        <v>0</v>
      </c>
      <c r="F33" s="47">
        <f>'ACADEMIC SUPP 2yr'!F33+'STU SERVICES 2yr'!F33+'INST SUPPORT 2yr'!F33</f>
        <v>10972.002</v>
      </c>
      <c r="G33" s="47">
        <f>'ACADEMIC SUPP 2yr'!G33+'STU SERVICES 2yr'!G33+'INST SUPPORT 2yr'!G33</f>
        <v>0</v>
      </c>
      <c r="H33" s="47">
        <f>'ACADEMIC SUPP 2yr'!H33+'STU SERVICES 2yr'!H33+'INST SUPPORT 2yr'!H33</f>
        <v>0</v>
      </c>
      <c r="I33" s="47">
        <f>'ACADEMIC SUPP 2yr'!I33+'STU SERVICES 2yr'!I33+'INST SUPPORT 2yr'!I33</f>
        <v>13045.137999999999</v>
      </c>
      <c r="J33" s="47">
        <f>'ACADEMIC SUPP 2yr'!J33+'STU SERVICES 2yr'!J33+'INST SUPPORT 2yr'!J33</f>
        <v>0</v>
      </c>
      <c r="K33" s="47">
        <f>'ACADEMIC SUPP 2yr'!K33+'STU SERVICES 2yr'!K33+'INST SUPPORT 2yr'!K33</f>
        <v>15986.999120000004</v>
      </c>
      <c r="L33" s="47">
        <f>'ACADEMIC SUPP 2yr'!L33+'STU SERVICES 2yr'!L33+'INST SUPPORT 2yr'!L33</f>
        <v>18365.402999999998</v>
      </c>
      <c r="M33" s="47">
        <f>'ACADEMIC SUPP 2yr'!M33+'STU SERVICES 2yr'!M33+'INST SUPPORT 2yr'!M33</f>
        <v>21451.012999999999</v>
      </c>
      <c r="N33" s="47">
        <f>'ACADEMIC SUPP 2yr'!N33+'STU SERVICES 2yr'!N33+'INST SUPPORT 2yr'!N33</f>
        <v>27776.741999999998</v>
      </c>
      <c r="O33" s="47">
        <f>'ACADEMIC SUPP 2yr'!O33+'STU SERVICES 2yr'!O33+'INST SUPPORT 2yr'!O33</f>
        <v>24256.826999999997</v>
      </c>
      <c r="P33" s="47">
        <f>'ACADEMIC SUPP 2yr'!P33+'STU SERVICES 2yr'!P33+'INST SUPPORT 2yr'!P33</f>
        <v>22875.246999999999</v>
      </c>
      <c r="Q33" s="47">
        <f>'ACADEMIC SUPP 2yr'!Q33+'STU SERVICES 2yr'!Q33+'INST SUPPORT 2yr'!Q33</f>
        <v>28314.992999999999</v>
      </c>
      <c r="R33" s="47">
        <f>'ACADEMIC SUPP 2yr'!R33+'STU SERVICES 2yr'!R33+'INST SUPPORT 2yr'!R33</f>
        <v>29177.71</v>
      </c>
      <c r="S33" s="47">
        <f>'ACADEMIC SUPP 2yr'!S33+'STU SERVICES 2yr'!S33+'INST SUPPORT 2yr'!S33</f>
        <v>27653.159</v>
      </c>
      <c r="T33" s="47">
        <f>'ACADEMIC SUPP 2yr'!T33+'STU SERVICES 2yr'!T33+'INST SUPPORT 2yr'!T33</f>
        <v>28565.235000000001</v>
      </c>
      <c r="U33" s="47">
        <f>'ACADEMIC SUPP 2yr'!U33+'STU SERVICES 2yr'!U33+'INST SUPPORT 2yr'!U33</f>
        <v>32465.532999999999</v>
      </c>
      <c r="V33" s="47">
        <f>'ACADEMIC SUPP 2yr'!V33+'STU SERVICES 2yr'!V33+'INST SUPPORT 2yr'!V33</f>
        <v>38308.415000000001</v>
      </c>
      <c r="W33" s="47">
        <f>'ACADEMIC SUPP 2yr'!W33+'STU SERVICES 2yr'!W33+'INST SUPPORT 2yr'!W33</f>
        <v>40632.972000000002</v>
      </c>
      <c r="X33" s="47">
        <f>'ACADEMIC SUPP 2yr'!X33+'STU SERVICES 2yr'!X33+'INST SUPPORT 2yr'!X33</f>
        <v>46295.440999999999</v>
      </c>
      <c r="Y33" s="47">
        <f>'ACADEMIC SUPP 2yr'!Y33+'STU SERVICES 2yr'!Y33+'INST SUPPORT 2yr'!Y33</f>
        <v>41398.207999999999</v>
      </c>
      <c r="Z33" s="47">
        <f>'ACADEMIC SUPP 2yr'!Z33+'STU SERVICES 2yr'!Z33+'INST SUPPORT 2yr'!Z33</f>
        <v>43510.881000000001</v>
      </c>
      <c r="AA33" s="47">
        <f>'ACADEMIC SUPP 2yr'!AA33+'STU SERVICES 2yr'!AA33+'INST SUPPORT 2yr'!AA33</f>
        <v>42921.292000000001</v>
      </c>
      <c r="AB33" s="47">
        <f>'ACADEMIC SUPP 2yr'!AB33+'STU SERVICES 2yr'!AB33+'INST SUPPORT 2yr'!AB33</f>
        <v>44403.396000000008</v>
      </c>
      <c r="AC33" s="47">
        <f>'ACADEMIC SUPP 2yr'!AC33+'STU SERVICES 2yr'!AC33+'INST SUPPORT 2yr'!AC33</f>
        <v>44250.68</v>
      </c>
      <c r="AD33" s="47">
        <f>'ACADEMIC SUPP 2yr'!AD33+'STU SERVICES 2yr'!AD33+'INST SUPPORT 2yr'!AD33</f>
        <v>0</v>
      </c>
      <c r="AE33" s="47">
        <f>'ACADEMIC SUPP 2yr'!AE33+'STU SERVICES 2yr'!AE33+'INST SUPPORT 2yr'!AE33</f>
        <v>43917.085000000006</v>
      </c>
    </row>
    <row r="34" spans="1:31">
      <c r="A34" s="1" t="s">
        <v>50</v>
      </c>
      <c r="B34" s="47">
        <f>'ACADEMIC SUPP 2yr'!B34+'STU SERVICES 2yr'!B34+'INST SUPPORT 2yr'!B34</f>
        <v>0</v>
      </c>
      <c r="C34" s="47">
        <f>'ACADEMIC SUPP 2yr'!C34+'STU SERVICES 2yr'!C34+'INST SUPPORT 2yr'!C34</f>
        <v>0</v>
      </c>
      <c r="D34" s="47">
        <f>'ACADEMIC SUPP 2yr'!D34+'STU SERVICES 2yr'!D34+'INST SUPPORT 2yr'!D34</f>
        <v>0</v>
      </c>
      <c r="E34" s="47">
        <f>'ACADEMIC SUPP 2yr'!E34+'STU SERVICES 2yr'!E34+'INST SUPPORT 2yr'!E34</f>
        <v>0</v>
      </c>
      <c r="F34" s="47">
        <f>'ACADEMIC SUPP 2yr'!F34+'STU SERVICES 2yr'!F34+'INST SUPPORT 2yr'!F34</f>
        <v>18761.251</v>
      </c>
      <c r="G34" s="47">
        <f>'ACADEMIC SUPP 2yr'!G34+'STU SERVICES 2yr'!G34+'INST SUPPORT 2yr'!G34</f>
        <v>0</v>
      </c>
      <c r="H34" s="47">
        <f>'ACADEMIC SUPP 2yr'!H34+'STU SERVICES 2yr'!H34+'INST SUPPORT 2yr'!H34</f>
        <v>0</v>
      </c>
      <c r="I34" s="47">
        <f>'ACADEMIC SUPP 2yr'!I34+'STU SERVICES 2yr'!I34+'INST SUPPORT 2yr'!I34</f>
        <v>21458.553</v>
      </c>
      <c r="J34" s="47">
        <f>'ACADEMIC SUPP 2yr'!J34+'STU SERVICES 2yr'!J34+'INST SUPPORT 2yr'!J34</f>
        <v>0</v>
      </c>
      <c r="K34" s="47">
        <f>'ACADEMIC SUPP 2yr'!K34+'STU SERVICES 2yr'!K34+'INST SUPPORT 2yr'!K34</f>
        <v>31660</v>
      </c>
      <c r="L34" s="47">
        <f>'ACADEMIC SUPP 2yr'!L34+'STU SERVICES 2yr'!L34+'INST SUPPORT 2yr'!L34</f>
        <v>38473.904000000002</v>
      </c>
      <c r="M34" s="47">
        <f>'ACADEMIC SUPP 2yr'!M34+'STU SERVICES 2yr'!M34+'INST SUPPORT 2yr'!M34</f>
        <v>40477</v>
      </c>
      <c r="N34" s="47">
        <f>'ACADEMIC SUPP 2yr'!N34+'STU SERVICES 2yr'!N34+'INST SUPPORT 2yr'!N34</f>
        <v>44676.194000000003</v>
      </c>
      <c r="O34" s="47">
        <f>'ACADEMIC SUPP 2yr'!O34+'STU SERVICES 2yr'!O34+'INST SUPPORT 2yr'!O34</f>
        <v>49268</v>
      </c>
      <c r="P34" s="47">
        <f>'ACADEMIC SUPP 2yr'!P34+'STU SERVICES 2yr'!P34+'INST SUPPORT 2yr'!P34</f>
        <v>24122</v>
      </c>
      <c r="Q34" s="47">
        <f>'ACADEMIC SUPP 2yr'!Q34+'STU SERVICES 2yr'!Q34+'INST SUPPORT 2yr'!Q34</f>
        <v>26980</v>
      </c>
      <c r="R34" s="47">
        <f>'ACADEMIC SUPP 2yr'!R34+'STU SERVICES 2yr'!R34+'INST SUPPORT 2yr'!R34</f>
        <v>30766.9</v>
      </c>
      <c r="S34" s="47">
        <f>'ACADEMIC SUPP 2yr'!S34+'STU SERVICES 2yr'!S34+'INST SUPPORT 2yr'!S34</f>
        <v>21872</v>
      </c>
      <c r="T34" s="47">
        <f>'ACADEMIC SUPP 2yr'!T34+'STU SERVICES 2yr'!T34+'INST SUPPORT 2yr'!T34</f>
        <v>22991</v>
      </c>
      <c r="U34" s="47">
        <f>'ACADEMIC SUPP 2yr'!U34+'STU SERVICES 2yr'!U34+'INST SUPPORT 2yr'!U34</f>
        <v>88003.467000000004</v>
      </c>
      <c r="V34" s="47">
        <f>'ACADEMIC SUPP 2yr'!V34+'STU SERVICES 2yr'!V34+'INST SUPPORT 2yr'!V34</f>
        <v>99840.915000000008</v>
      </c>
      <c r="W34" s="47">
        <f>'ACADEMIC SUPP 2yr'!W34+'STU SERVICES 2yr'!W34+'INST SUPPORT 2yr'!W34</f>
        <v>101190.59599999999</v>
      </c>
      <c r="X34" s="47">
        <f>'ACADEMIC SUPP 2yr'!X34+'STU SERVICES 2yr'!X34+'INST SUPPORT 2yr'!X34</f>
        <v>95522.553</v>
      </c>
      <c r="Y34" s="47">
        <f>'ACADEMIC SUPP 2yr'!Y34+'STU SERVICES 2yr'!Y34+'INST SUPPORT 2yr'!Y34</f>
        <v>97930.705000000002</v>
      </c>
      <c r="Z34" s="47">
        <f>'ACADEMIC SUPP 2yr'!Z34+'STU SERVICES 2yr'!Z34+'INST SUPPORT 2yr'!Z34</f>
        <v>105148.057</v>
      </c>
      <c r="AA34" s="47">
        <f>'ACADEMIC SUPP 2yr'!AA34+'STU SERVICES 2yr'!AA34+'INST SUPPORT 2yr'!AA34</f>
        <v>104578.84299999999</v>
      </c>
      <c r="AB34" s="47">
        <f>'ACADEMIC SUPP 2yr'!AB34+'STU SERVICES 2yr'!AB34+'INST SUPPORT 2yr'!AB34</f>
        <v>98636.613000000012</v>
      </c>
      <c r="AC34" s="47">
        <f>'ACADEMIC SUPP 2yr'!AC34+'STU SERVICES 2yr'!AC34+'INST SUPPORT 2yr'!AC34</f>
        <v>100266.87700000001</v>
      </c>
      <c r="AD34" s="47">
        <f>'ACADEMIC SUPP 2yr'!AD34+'STU SERVICES 2yr'!AD34+'INST SUPPORT 2yr'!AD34</f>
        <v>0</v>
      </c>
      <c r="AE34" s="47">
        <f>'ACADEMIC SUPP 2yr'!AE34+'STU SERVICES 2yr'!AE34+'INST SUPPORT 2yr'!AE34</f>
        <v>113937.666</v>
      </c>
    </row>
    <row r="35" spans="1:31">
      <c r="A35" s="1" t="s">
        <v>51</v>
      </c>
      <c r="B35" s="47">
        <f>'ACADEMIC SUPP 2yr'!B35+'STU SERVICES 2yr'!B35+'INST SUPPORT 2yr'!B35</f>
        <v>0</v>
      </c>
      <c r="C35" s="47">
        <f>'ACADEMIC SUPP 2yr'!C35+'STU SERVICES 2yr'!C35+'INST SUPPORT 2yr'!C35</f>
        <v>0</v>
      </c>
      <c r="D35" s="47">
        <f>'ACADEMIC SUPP 2yr'!D35+'STU SERVICES 2yr'!D35+'INST SUPPORT 2yr'!D35</f>
        <v>0</v>
      </c>
      <c r="E35" s="47">
        <f>'ACADEMIC SUPP 2yr'!E35+'STU SERVICES 2yr'!E35+'INST SUPPORT 2yr'!E35</f>
        <v>0</v>
      </c>
      <c r="F35" s="47">
        <f>'ACADEMIC SUPP 2yr'!F35+'STU SERVICES 2yr'!F35+'INST SUPPORT 2yr'!F35</f>
        <v>41741.281999999999</v>
      </c>
      <c r="G35" s="47">
        <f>'ACADEMIC SUPP 2yr'!G35+'STU SERVICES 2yr'!G35+'INST SUPPORT 2yr'!G35</f>
        <v>0</v>
      </c>
      <c r="H35" s="47">
        <f>'ACADEMIC SUPP 2yr'!H35+'STU SERVICES 2yr'!H35+'INST SUPPORT 2yr'!H35</f>
        <v>0</v>
      </c>
      <c r="I35" s="47">
        <f>'ACADEMIC SUPP 2yr'!I35+'STU SERVICES 2yr'!I35+'INST SUPPORT 2yr'!I35</f>
        <v>57859.673999999999</v>
      </c>
      <c r="J35" s="47">
        <f>'ACADEMIC SUPP 2yr'!J35+'STU SERVICES 2yr'!J35+'INST SUPPORT 2yr'!J35</f>
        <v>0</v>
      </c>
      <c r="K35" s="47">
        <f>'ACADEMIC SUPP 2yr'!K35+'STU SERVICES 2yr'!K35+'INST SUPPORT 2yr'!K35</f>
        <v>73544.107719999985</v>
      </c>
      <c r="L35" s="47">
        <f>'ACADEMIC SUPP 2yr'!L35+'STU SERVICES 2yr'!L35+'INST SUPPORT 2yr'!L35</f>
        <v>90679.604999999996</v>
      </c>
      <c r="M35" s="47">
        <f>'ACADEMIC SUPP 2yr'!M35+'STU SERVICES 2yr'!M35+'INST SUPPORT 2yr'!M35</f>
        <v>86711.600999999995</v>
      </c>
      <c r="N35" s="47">
        <f>'ACADEMIC SUPP 2yr'!N35+'STU SERVICES 2yr'!N35+'INST SUPPORT 2yr'!N35</f>
        <v>93814.616000000009</v>
      </c>
      <c r="O35" s="47">
        <f>'ACADEMIC SUPP 2yr'!O35+'STU SERVICES 2yr'!O35+'INST SUPPORT 2yr'!O35</f>
        <v>99893.865000000005</v>
      </c>
      <c r="P35" s="47">
        <f>'ACADEMIC SUPP 2yr'!P35+'STU SERVICES 2yr'!P35+'INST SUPPORT 2yr'!P35</f>
        <v>101915.946</v>
      </c>
      <c r="Q35" s="47">
        <f>'ACADEMIC SUPP 2yr'!Q35+'STU SERVICES 2yr'!Q35+'INST SUPPORT 2yr'!Q35</f>
        <v>108459.18399999999</v>
      </c>
      <c r="R35" s="47">
        <f>'ACADEMIC SUPP 2yr'!R35+'STU SERVICES 2yr'!R35+'INST SUPPORT 2yr'!R35</f>
        <v>116123.59400000001</v>
      </c>
      <c r="S35" s="47">
        <f>'ACADEMIC SUPP 2yr'!S35+'STU SERVICES 2yr'!S35+'INST SUPPORT 2yr'!S35</f>
        <v>123891.51000000001</v>
      </c>
      <c r="T35" s="47">
        <f>'ACADEMIC SUPP 2yr'!T35+'STU SERVICES 2yr'!T35+'INST SUPPORT 2yr'!T35</f>
        <v>133113.179</v>
      </c>
      <c r="U35" s="47">
        <f>'ACADEMIC SUPP 2yr'!U35+'STU SERVICES 2yr'!U35+'INST SUPPORT 2yr'!U35</f>
        <v>155904.71400000001</v>
      </c>
      <c r="V35" s="47">
        <f>'ACADEMIC SUPP 2yr'!V35+'STU SERVICES 2yr'!V35+'INST SUPPORT 2yr'!V35</f>
        <v>170056.22499999998</v>
      </c>
      <c r="W35" s="47">
        <f>'ACADEMIC SUPP 2yr'!W35+'STU SERVICES 2yr'!W35+'INST SUPPORT 2yr'!W35</f>
        <v>185162.15000000002</v>
      </c>
      <c r="X35" s="47">
        <f>'ACADEMIC SUPP 2yr'!X35+'STU SERVICES 2yr'!X35+'INST SUPPORT 2yr'!X35</f>
        <v>191033.71799999999</v>
      </c>
      <c r="Y35" s="47">
        <f>'ACADEMIC SUPP 2yr'!Y35+'STU SERVICES 2yr'!Y35+'INST SUPPORT 2yr'!Y35</f>
        <v>130027.128</v>
      </c>
      <c r="Z35" s="47">
        <f>'ACADEMIC SUPP 2yr'!Z35+'STU SERVICES 2yr'!Z35+'INST SUPPORT 2yr'!Z35</f>
        <v>144221.658</v>
      </c>
      <c r="AA35" s="47">
        <f>'ACADEMIC SUPP 2yr'!AA35+'STU SERVICES 2yr'!AA35+'INST SUPPORT 2yr'!AA35</f>
        <v>147426.092</v>
      </c>
      <c r="AB35" s="47">
        <f>'ACADEMIC SUPP 2yr'!AB35+'STU SERVICES 2yr'!AB35+'INST SUPPORT 2yr'!AB35</f>
        <v>219350.033</v>
      </c>
      <c r="AC35" s="47">
        <f>'ACADEMIC SUPP 2yr'!AC35+'STU SERVICES 2yr'!AC35+'INST SUPPORT 2yr'!AC35</f>
        <v>223088.19199999998</v>
      </c>
      <c r="AD35" s="47">
        <f>'ACADEMIC SUPP 2yr'!AD35+'STU SERVICES 2yr'!AD35+'INST SUPPORT 2yr'!AD35</f>
        <v>0</v>
      </c>
      <c r="AE35" s="47">
        <f>'ACADEMIC SUPP 2yr'!AE35+'STU SERVICES 2yr'!AE35+'INST SUPPORT 2yr'!AE35</f>
        <v>230289.13799999998</v>
      </c>
    </row>
    <row r="36" spans="1:31">
      <c r="A36" s="1" t="s">
        <v>52</v>
      </c>
      <c r="B36" s="47">
        <f>'ACADEMIC SUPP 2yr'!B36+'STU SERVICES 2yr'!B36+'INST SUPPORT 2yr'!B36</f>
        <v>0</v>
      </c>
      <c r="C36" s="47">
        <f>'ACADEMIC SUPP 2yr'!C36+'STU SERVICES 2yr'!C36+'INST SUPPORT 2yr'!C36</f>
        <v>0</v>
      </c>
      <c r="D36" s="47">
        <f>'ACADEMIC SUPP 2yr'!D36+'STU SERVICES 2yr'!D36+'INST SUPPORT 2yr'!D36</f>
        <v>0</v>
      </c>
      <c r="E36" s="47">
        <f>'ACADEMIC SUPP 2yr'!E36+'STU SERVICES 2yr'!E36+'INST SUPPORT 2yr'!E36</f>
        <v>0</v>
      </c>
      <c r="F36" s="47">
        <f>'ACADEMIC SUPP 2yr'!F36+'STU SERVICES 2yr'!F36+'INST SUPPORT 2yr'!F36</f>
        <v>100156.628</v>
      </c>
      <c r="G36" s="47">
        <f>'ACADEMIC SUPP 2yr'!G36+'STU SERVICES 2yr'!G36+'INST SUPPORT 2yr'!G36</f>
        <v>0</v>
      </c>
      <c r="H36" s="47">
        <f>'ACADEMIC SUPP 2yr'!H36+'STU SERVICES 2yr'!H36+'INST SUPPORT 2yr'!H36</f>
        <v>0</v>
      </c>
      <c r="I36" s="47">
        <f>'ACADEMIC SUPP 2yr'!I36+'STU SERVICES 2yr'!I36+'INST SUPPORT 2yr'!I36</f>
        <v>132686.76500000001</v>
      </c>
      <c r="J36" s="47">
        <f>'ACADEMIC SUPP 2yr'!J36+'STU SERVICES 2yr'!J36+'INST SUPPORT 2yr'!J36</f>
        <v>0</v>
      </c>
      <c r="K36" s="47">
        <f>'ACADEMIC SUPP 2yr'!K36+'STU SERVICES 2yr'!K36+'INST SUPPORT 2yr'!K36</f>
        <v>164640.21223</v>
      </c>
      <c r="L36" s="47">
        <f>'ACADEMIC SUPP 2yr'!L36+'STU SERVICES 2yr'!L36+'INST SUPPORT 2yr'!L36</f>
        <v>187356.095</v>
      </c>
      <c r="M36" s="47">
        <f>'ACADEMIC SUPP 2yr'!M36+'STU SERVICES 2yr'!M36+'INST SUPPORT 2yr'!M36</f>
        <v>202996.72899999999</v>
      </c>
      <c r="N36" s="47">
        <f>'ACADEMIC SUPP 2yr'!N36+'STU SERVICES 2yr'!N36+'INST SUPPORT 2yr'!N36</f>
        <v>213847.91999999998</v>
      </c>
      <c r="O36" s="47">
        <f>'ACADEMIC SUPP 2yr'!O36+'STU SERVICES 2yr'!O36+'INST SUPPORT 2yr'!O36</f>
        <v>225579.81899999999</v>
      </c>
      <c r="P36" s="47">
        <f>'ACADEMIC SUPP 2yr'!P36+'STU SERVICES 2yr'!P36+'INST SUPPORT 2yr'!P36</f>
        <v>210339.36300000001</v>
      </c>
      <c r="Q36" s="47">
        <f>'ACADEMIC SUPP 2yr'!Q36+'STU SERVICES 2yr'!Q36+'INST SUPPORT 2yr'!Q36</f>
        <v>230521.16200000001</v>
      </c>
      <c r="R36" s="47">
        <f>'ACADEMIC SUPP 2yr'!R36+'STU SERVICES 2yr'!R36+'INST SUPPORT 2yr'!R36</f>
        <v>247057.9</v>
      </c>
      <c r="S36" s="47">
        <f>'ACADEMIC SUPP 2yr'!S36+'STU SERVICES 2yr'!S36+'INST SUPPORT 2yr'!S36</f>
        <v>250716.908</v>
      </c>
      <c r="T36" s="47">
        <f>'ACADEMIC SUPP 2yr'!T36+'STU SERVICES 2yr'!T36+'INST SUPPORT 2yr'!T36</f>
        <v>285003.93799999997</v>
      </c>
      <c r="U36" s="47">
        <f>'ACADEMIC SUPP 2yr'!U36+'STU SERVICES 2yr'!U36+'INST SUPPORT 2yr'!U36</f>
        <v>318974.902</v>
      </c>
      <c r="V36" s="47">
        <f>'ACADEMIC SUPP 2yr'!V36+'STU SERVICES 2yr'!V36+'INST SUPPORT 2yr'!V36</f>
        <v>322466.31</v>
      </c>
      <c r="W36" s="47">
        <f>'ACADEMIC SUPP 2yr'!W36+'STU SERVICES 2yr'!W36+'INST SUPPORT 2yr'!W36</f>
        <v>336589.63</v>
      </c>
      <c r="X36" s="47">
        <f>'ACADEMIC SUPP 2yr'!X36+'STU SERVICES 2yr'!X36+'INST SUPPORT 2yr'!X36</f>
        <v>363451.24</v>
      </c>
      <c r="Y36" s="47">
        <f>'ACADEMIC SUPP 2yr'!Y36+'STU SERVICES 2yr'!Y36+'INST SUPPORT 2yr'!Y36</f>
        <v>355128.90899999999</v>
      </c>
      <c r="Z36" s="47">
        <f>'ACADEMIC SUPP 2yr'!Z36+'STU SERVICES 2yr'!Z36+'INST SUPPORT 2yr'!Z36</f>
        <v>361727.592</v>
      </c>
      <c r="AA36" s="47">
        <f>'ACADEMIC SUPP 2yr'!AA36+'STU SERVICES 2yr'!AA36+'INST SUPPORT 2yr'!AA36</f>
        <v>328456.62199999997</v>
      </c>
      <c r="AB36" s="47">
        <f>'ACADEMIC SUPP 2yr'!AB36+'STU SERVICES 2yr'!AB36+'INST SUPPORT 2yr'!AB36</f>
        <v>422319.74400000001</v>
      </c>
      <c r="AC36" s="47">
        <f>'ACADEMIC SUPP 2yr'!AC36+'STU SERVICES 2yr'!AC36+'INST SUPPORT 2yr'!AC36</f>
        <v>413318.38300000003</v>
      </c>
      <c r="AD36" s="47">
        <f>'ACADEMIC SUPP 2yr'!AD36+'STU SERVICES 2yr'!AD36+'INST SUPPORT 2yr'!AD36</f>
        <v>0</v>
      </c>
      <c r="AE36" s="47">
        <f>'ACADEMIC SUPP 2yr'!AE36+'STU SERVICES 2yr'!AE36+'INST SUPPORT 2yr'!AE36</f>
        <v>426015.45699999999</v>
      </c>
    </row>
    <row r="37" spans="1:31">
      <c r="A37" s="1" t="s">
        <v>53</v>
      </c>
      <c r="B37" s="47">
        <f>'ACADEMIC SUPP 2yr'!B37+'STU SERVICES 2yr'!B37+'INST SUPPORT 2yr'!B37</f>
        <v>0</v>
      </c>
      <c r="C37" s="47">
        <f>'ACADEMIC SUPP 2yr'!C37+'STU SERVICES 2yr'!C37+'INST SUPPORT 2yr'!C37</f>
        <v>0</v>
      </c>
      <c r="D37" s="47">
        <f>'ACADEMIC SUPP 2yr'!D37+'STU SERVICES 2yr'!D37+'INST SUPPORT 2yr'!D37</f>
        <v>0</v>
      </c>
      <c r="E37" s="47">
        <f>'ACADEMIC SUPP 2yr'!E37+'STU SERVICES 2yr'!E37+'INST SUPPORT 2yr'!E37</f>
        <v>0</v>
      </c>
      <c r="F37" s="47">
        <f>'ACADEMIC SUPP 2yr'!F37+'STU SERVICES 2yr'!F37+'INST SUPPORT 2yr'!F37</f>
        <v>40902.290999999997</v>
      </c>
      <c r="G37" s="47">
        <f>'ACADEMIC SUPP 2yr'!G37+'STU SERVICES 2yr'!G37+'INST SUPPORT 2yr'!G37</f>
        <v>0</v>
      </c>
      <c r="H37" s="47">
        <f>'ACADEMIC SUPP 2yr'!H37+'STU SERVICES 2yr'!H37+'INST SUPPORT 2yr'!H37</f>
        <v>0</v>
      </c>
      <c r="I37" s="47">
        <f>'ACADEMIC SUPP 2yr'!I37+'STU SERVICES 2yr'!I37+'INST SUPPORT 2yr'!I37</f>
        <v>39136.190999999999</v>
      </c>
      <c r="J37" s="47">
        <f>'ACADEMIC SUPP 2yr'!J37+'STU SERVICES 2yr'!J37+'INST SUPPORT 2yr'!J37</f>
        <v>0</v>
      </c>
      <c r="K37" s="47">
        <f>'ACADEMIC SUPP 2yr'!K37+'STU SERVICES 2yr'!K37+'INST SUPPORT 2yr'!K37</f>
        <v>45301.240000000005</v>
      </c>
      <c r="L37" s="47">
        <f>'ACADEMIC SUPP 2yr'!L37+'STU SERVICES 2yr'!L37+'INST SUPPORT 2yr'!L37</f>
        <v>44127.430999999997</v>
      </c>
      <c r="M37" s="47">
        <f>'ACADEMIC SUPP 2yr'!M37+'STU SERVICES 2yr'!M37+'INST SUPPORT 2yr'!M37</f>
        <v>50991.195999999996</v>
      </c>
      <c r="N37" s="47">
        <f>'ACADEMIC SUPP 2yr'!N37+'STU SERVICES 2yr'!N37+'INST SUPPORT 2yr'!N37</f>
        <v>56564.157000000007</v>
      </c>
      <c r="O37" s="47">
        <f>'ACADEMIC SUPP 2yr'!O37+'STU SERVICES 2yr'!O37+'INST SUPPORT 2yr'!O37</f>
        <v>57385.065000000002</v>
      </c>
      <c r="P37" s="47">
        <f>'ACADEMIC SUPP 2yr'!P37+'STU SERVICES 2yr'!P37+'INST SUPPORT 2yr'!P37</f>
        <v>64043.433000000005</v>
      </c>
      <c r="Q37" s="47">
        <f>'ACADEMIC SUPP 2yr'!Q37+'STU SERVICES 2yr'!Q37+'INST SUPPORT 2yr'!Q37</f>
        <v>64952.260000000009</v>
      </c>
      <c r="R37" s="47">
        <f>'ACADEMIC SUPP 2yr'!R37+'STU SERVICES 2yr'!R37+'INST SUPPORT 2yr'!R37</f>
        <v>65721.683000000005</v>
      </c>
      <c r="S37" s="47">
        <f>'ACADEMIC SUPP 2yr'!S37+'STU SERVICES 2yr'!S37+'INST SUPPORT 2yr'!S37</f>
        <v>74393.415000000008</v>
      </c>
      <c r="T37" s="47">
        <f>'ACADEMIC SUPP 2yr'!T37+'STU SERVICES 2yr'!T37+'INST SUPPORT 2yr'!T37</f>
        <v>80922.31700000001</v>
      </c>
      <c r="U37" s="47">
        <f>'ACADEMIC SUPP 2yr'!U37+'STU SERVICES 2yr'!U37+'INST SUPPORT 2yr'!U37</f>
        <v>83314.332999999999</v>
      </c>
      <c r="V37" s="47">
        <f>'ACADEMIC SUPP 2yr'!V37+'STU SERVICES 2yr'!V37+'INST SUPPORT 2yr'!V37</f>
        <v>89243.815999999992</v>
      </c>
      <c r="W37" s="47">
        <f>'ACADEMIC SUPP 2yr'!W37+'STU SERVICES 2yr'!W37+'INST SUPPORT 2yr'!W37</f>
        <v>95060.295000000013</v>
      </c>
      <c r="X37" s="47">
        <f>'ACADEMIC SUPP 2yr'!X37+'STU SERVICES 2yr'!X37+'INST SUPPORT 2yr'!X37</f>
        <v>77078.134999999995</v>
      </c>
      <c r="Y37" s="47">
        <f>'ACADEMIC SUPP 2yr'!Y37+'STU SERVICES 2yr'!Y37+'INST SUPPORT 2yr'!Y37</f>
        <v>111774.588</v>
      </c>
      <c r="Z37" s="47">
        <f>'ACADEMIC SUPP 2yr'!Z37+'STU SERVICES 2yr'!Z37+'INST SUPPORT 2yr'!Z37</f>
        <v>115606.73300000001</v>
      </c>
      <c r="AA37" s="47">
        <f>'ACADEMIC SUPP 2yr'!AA37+'STU SERVICES 2yr'!AA37+'INST SUPPORT 2yr'!AA37</f>
        <v>125356.201</v>
      </c>
      <c r="AB37" s="47">
        <f>'ACADEMIC SUPP 2yr'!AB37+'STU SERVICES 2yr'!AB37+'INST SUPPORT 2yr'!AB37</f>
        <v>99014.676000000007</v>
      </c>
      <c r="AC37" s="47">
        <f>'ACADEMIC SUPP 2yr'!AC37+'STU SERVICES 2yr'!AC37+'INST SUPPORT 2yr'!AC37</f>
        <v>106381.228</v>
      </c>
      <c r="AD37" s="47">
        <f>'ACADEMIC SUPP 2yr'!AD37+'STU SERVICES 2yr'!AD37+'INST SUPPORT 2yr'!AD37</f>
        <v>0</v>
      </c>
      <c r="AE37" s="47">
        <f>'ACADEMIC SUPP 2yr'!AE37+'STU SERVICES 2yr'!AE37+'INST SUPPORT 2yr'!AE37</f>
        <v>116115.425</v>
      </c>
    </row>
    <row r="38" spans="1:31">
      <c r="A38" s="1" t="s">
        <v>54</v>
      </c>
      <c r="B38" s="47">
        <f>'ACADEMIC SUPP 2yr'!B38+'STU SERVICES 2yr'!B38+'INST SUPPORT 2yr'!B38</f>
        <v>0</v>
      </c>
      <c r="C38" s="47">
        <f>'ACADEMIC SUPP 2yr'!C38+'STU SERVICES 2yr'!C38+'INST SUPPORT 2yr'!C38</f>
        <v>0</v>
      </c>
      <c r="D38" s="47">
        <f>'ACADEMIC SUPP 2yr'!D38+'STU SERVICES 2yr'!D38+'INST SUPPORT 2yr'!D38</f>
        <v>0</v>
      </c>
      <c r="E38" s="47">
        <f>'ACADEMIC SUPP 2yr'!E38+'STU SERVICES 2yr'!E38+'INST SUPPORT 2yr'!E38</f>
        <v>0</v>
      </c>
      <c r="F38" s="47">
        <f>'ACADEMIC SUPP 2yr'!F38+'STU SERVICES 2yr'!F38+'INST SUPPORT 2yr'!F38</f>
        <v>150052.01500000001</v>
      </c>
      <c r="G38" s="47">
        <f>'ACADEMIC SUPP 2yr'!G38+'STU SERVICES 2yr'!G38+'INST SUPPORT 2yr'!G38</f>
        <v>0</v>
      </c>
      <c r="H38" s="47">
        <f>'ACADEMIC SUPP 2yr'!H38+'STU SERVICES 2yr'!H38+'INST SUPPORT 2yr'!H38</f>
        <v>0</v>
      </c>
      <c r="I38" s="47">
        <f>'ACADEMIC SUPP 2yr'!I38+'STU SERVICES 2yr'!I38+'INST SUPPORT 2yr'!I38</f>
        <v>188900.72899999999</v>
      </c>
      <c r="J38" s="47">
        <f>'ACADEMIC SUPP 2yr'!J38+'STU SERVICES 2yr'!J38+'INST SUPPORT 2yr'!J38</f>
        <v>0</v>
      </c>
      <c r="K38" s="47">
        <f>'ACADEMIC SUPP 2yr'!K38+'STU SERVICES 2yr'!K38+'INST SUPPORT 2yr'!K38</f>
        <v>229165.67604000002</v>
      </c>
      <c r="L38" s="47">
        <f>'ACADEMIC SUPP 2yr'!L38+'STU SERVICES 2yr'!L38+'INST SUPPORT 2yr'!L38</f>
        <v>273000.109</v>
      </c>
      <c r="M38" s="47">
        <f>'ACADEMIC SUPP 2yr'!M38+'STU SERVICES 2yr'!M38+'INST SUPPORT 2yr'!M38</f>
        <v>309315.05700000003</v>
      </c>
      <c r="N38" s="47">
        <f>'ACADEMIC SUPP 2yr'!N38+'STU SERVICES 2yr'!N38+'INST SUPPORT 2yr'!N38</f>
        <v>305153.19199999998</v>
      </c>
      <c r="O38" s="47">
        <f>'ACADEMIC SUPP 2yr'!O38+'STU SERVICES 2yr'!O38+'INST SUPPORT 2yr'!O38</f>
        <v>318615.00799999997</v>
      </c>
      <c r="P38" s="47">
        <f>'ACADEMIC SUPP 2yr'!P38+'STU SERVICES 2yr'!P38+'INST SUPPORT 2yr'!P38</f>
        <v>325453.91099999996</v>
      </c>
      <c r="Q38" s="47">
        <f>'ACADEMIC SUPP 2yr'!Q38+'STU SERVICES 2yr'!Q38+'INST SUPPORT 2yr'!Q38</f>
        <v>336964.14799999999</v>
      </c>
      <c r="R38" s="47">
        <f>'ACADEMIC SUPP 2yr'!R38+'STU SERVICES 2yr'!R38+'INST SUPPORT 2yr'!R38</f>
        <v>359312.25800000003</v>
      </c>
      <c r="S38" s="47">
        <f>'ACADEMIC SUPP 2yr'!S38+'STU SERVICES 2yr'!S38+'INST SUPPORT 2yr'!S38</f>
        <v>332501.3</v>
      </c>
      <c r="T38" s="47">
        <f>'ACADEMIC SUPP 2yr'!T38+'STU SERVICES 2yr'!T38+'INST SUPPORT 2yr'!T38</f>
        <v>370799.02799999999</v>
      </c>
      <c r="U38" s="47">
        <f>'ACADEMIC SUPP 2yr'!U38+'STU SERVICES 2yr'!U38+'INST SUPPORT 2yr'!U38</f>
        <v>432107.38</v>
      </c>
      <c r="V38" s="47">
        <f>'ACADEMIC SUPP 2yr'!V38+'STU SERVICES 2yr'!V38+'INST SUPPORT 2yr'!V38</f>
        <v>501514.65399999998</v>
      </c>
      <c r="W38" s="47">
        <f>'ACADEMIC SUPP 2yr'!W38+'STU SERVICES 2yr'!W38+'INST SUPPORT 2yr'!W38</f>
        <v>516239.44399999996</v>
      </c>
      <c r="X38" s="47">
        <f>'ACADEMIC SUPP 2yr'!X38+'STU SERVICES 2yr'!X38+'INST SUPPORT 2yr'!X38</f>
        <v>495086.37700000004</v>
      </c>
      <c r="Y38" s="47">
        <f>'ACADEMIC SUPP 2yr'!Y38+'STU SERVICES 2yr'!Y38+'INST SUPPORT 2yr'!Y38</f>
        <v>400621.96799999999</v>
      </c>
      <c r="Z38" s="47">
        <f>'ACADEMIC SUPP 2yr'!Z38+'STU SERVICES 2yr'!Z38+'INST SUPPORT 2yr'!Z38</f>
        <v>468124.5</v>
      </c>
      <c r="AA38" s="47">
        <f>'ACADEMIC SUPP 2yr'!AA38+'STU SERVICES 2yr'!AA38+'INST SUPPORT 2yr'!AA38</f>
        <v>496396.82700000005</v>
      </c>
      <c r="AB38" s="47">
        <f>'ACADEMIC SUPP 2yr'!AB38+'STU SERVICES 2yr'!AB38+'INST SUPPORT 2yr'!AB38</f>
        <v>670785.60499999998</v>
      </c>
      <c r="AC38" s="47">
        <f>'ACADEMIC SUPP 2yr'!AC38+'STU SERVICES 2yr'!AC38+'INST SUPPORT 2yr'!AC38</f>
        <v>730619.37</v>
      </c>
      <c r="AD38" s="47">
        <f>'ACADEMIC SUPP 2yr'!AD38+'STU SERVICES 2yr'!AD38+'INST SUPPORT 2yr'!AD38</f>
        <v>0</v>
      </c>
      <c r="AE38" s="47">
        <f>'ACADEMIC SUPP 2yr'!AE38+'STU SERVICES 2yr'!AE38+'INST SUPPORT 2yr'!AE38</f>
        <v>784152.37299999991</v>
      </c>
    </row>
    <row r="39" spans="1:31">
      <c r="A39" s="23" t="s">
        <v>55</v>
      </c>
      <c r="B39" s="49">
        <f>'ACADEMIC SUPP 2yr'!B39+'STU SERVICES 2yr'!B39+'INST SUPPORT 2yr'!B39</f>
        <v>0</v>
      </c>
      <c r="C39" s="49">
        <f>'ACADEMIC SUPP 2yr'!C39+'STU SERVICES 2yr'!C39+'INST SUPPORT 2yr'!C39</f>
        <v>0</v>
      </c>
      <c r="D39" s="49">
        <f>'ACADEMIC SUPP 2yr'!D39+'STU SERVICES 2yr'!D39+'INST SUPPORT 2yr'!D39</f>
        <v>0</v>
      </c>
      <c r="E39" s="49">
        <f>'ACADEMIC SUPP 2yr'!E39+'STU SERVICES 2yr'!E39+'INST SUPPORT 2yr'!E39</f>
        <v>0</v>
      </c>
      <c r="F39" s="49">
        <f>'ACADEMIC SUPP 2yr'!F39+'STU SERVICES 2yr'!F39+'INST SUPPORT 2yr'!F39</f>
        <v>24685.809000000001</v>
      </c>
      <c r="G39" s="49">
        <f>'ACADEMIC SUPP 2yr'!G39+'STU SERVICES 2yr'!G39+'INST SUPPORT 2yr'!G39</f>
        <v>0</v>
      </c>
      <c r="H39" s="49">
        <f>'ACADEMIC SUPP 2yr'!H39+'STU SERVICES 2yr'!H39+'INST SUPPORT 2yr'!H39</f>
        <v>0</v>
      </c>
      <c r="I39" s="49">
        <f>'ACADEMIC SUPP 2yr'!I39+'STU SERVICES 2yr'!I39+'INST SUPPORT 2yr'!I39</f>
        <v>24907.608</v>
      </c>
      <c r="J39" s="49">
        <f>'ACADEMIC SUPP 2yr'!J39+'STU SERVICES 2yr'!J39+'INST SUPPORT 2yr'!J39</f>
        <v>0</v>
      </c>
      <c r="K39" s="49">
        <f>'ACADEMIC SUPP 2yr'!K39+'STU SERVICES 2yr'!K39+'INST SUPPORT 2yr'!K39</f>
        <v>27164.461000000003</v>
      </c>
      <c r="L39" s="49">
        <f>'ACADEMIC SUPP 2yr'!L39+'STU SERVICES 2yr'!L39+'INST SUPPORT 2yr'!L39</f>
        <v>31385.666000000001</v>
      </c>
      <c r="M39" s="49">
        <f>'ACADEMIC SUPP 2yr'!M39+'STU SERVICES 2yr'!M39+'INST SUPPORT 2yr'!M39</f>
        <v>33169.589999999997</v>
      </c>
      <c r="N39" s="49">
        <f>'ACADEMIC SUPP 2yr'!N39+'STU SERVICES 2yr'!N39+'INST SUPPORT 2yr'!N39</f>
        <v>40672.188999999998</v>
      </c>
      <c r="O39" s="49">
        <f>'ACADEMIC SUPP 2yr'!O39+'STU SERVICES 2yr'!O39+'INST SUPPORT 2yr'!O39</f>
        <v>42648.705000000002</v>
      </c>
      <c r="P39" s="49">
        <f>'ACADEMIC SUPP 2yr'!P39+'STU SERVICES 2yr'!P39+'INST SUPPORT 2yr'!P39</f>
        <v>44564.403000000006</v>
      </c>
      <c r="Q39" s="49">
        <f>'ACADEMIC SUPP 2yr'!Q39+'STU SERVICES 2yr'!Q39+'INST SUPPORT 2yr'!Q39</f>
        <v>45148.826000000001</v>
      </c>
      <c r="R39" s="49">
        <f>'ACADEMIC SUPP 2yr'!R39+'STU SERVICES 2yr'!R39+'INST SUPPORT 2yr'!R39</f>
        <v>51073.05</v>
      </c>
      <c r="S39" s="49">
        <f>'ACADEMIC SUPP 2yr'!S39+'STU SERVICES 2yr'!S39+'INST SUPPORT 2yr'!S39</f>
        <v>54030.668999999994</v>
      </c>
      <c r="T39" s="49">
        <f>'ACADEMIC SUPP 2yr'!T39+'STU SERVICES 2yr'!T39+'INST SUPPORT 2yr'!T39</f>
        <v>65913.402000000002</v>
      </c>
      <c r="U39" s="49">
        <f>'ACADEMIC SUPP 2yr'!U39+'STU SERVICES 2yr'!U39+'INST SUPPORT 2yr'!U39</f>
        <v>69126.032999999996</v>
      </c>
      <c r="V39" s="49">
        <f>'ACADEMIC SUPP 2yr'!V39+'STU SERVICES 2yr'!V39+'INST SUPPORT 2yr'!V39</f>
        <v>79969.778999999995</v>
      </c>
      <c r="W39" s="49">
        <f>'ACADEMIC SUPP 2yr'!W39+'STU SERVICES 2yr'!W39+'INST SUPPORT 2yr'!W39</f>
        <v>85376.163</v>
      </c>
      <c r="X39" s="49">
        <f>'ACADEMIC SUPP 2yr'!X39+'STU SERVICES 2yr'!X39+'INST SUPPORT 2yr'!X39</f>
        <v>93107.622999999992</v>
      </c>
      <c r="Y39" s="49">
        <f>'ACADEMIC SUPP 2yr'!Y39+'STU SERVICES 2yr'!Y39+'INST SUPPORT 2yr'!Y39</f>
        <v>93775.233000000007</v>
      </c>
      <c r="Z39" s="49">
        <f>'ACADEMIC SUPP 2yr'!Z39+'STU SERVICES 2yr'!Z39+'INST SUPPORT 2yr'!Z39</f>
        <v>100738.179</v>
      </c>
      <c r="AA39" s="49">
        <f>'ACADEMIC SUPP 2yr'!AA39+'STU SERVICES 2yr'!AA39+'INST SUPPORT 2yr'!AA39</f>
        <v>106448.12700000001</v>
      </c>
      <c r="AB39" s="49">
        <f>'ACADEMIC SUPP 2yr'!AB39+'STU SERVICES 2yr'!AB39+'INST SUPPORT 2yr'!AB39</f>
        <v>106777.065</v>
      </c>
      <c r="AC39" s="49">
        <f>'ACADEMIC SUPP 2yr'!AC39+'STU SERVICES 2yr'!AC39+'INST SUPPORT 2yr'!AC39</f>
        <v>103649.727</v>
      </c>
      <c r="AD39" s="49">
        <f>'ACADEMIC SUPP 2yr'!AD39+'STU SERVICES 2yr'!AD39+'INST SUPPORT 2yr'!AD39</f>
        <v>0</v>
      </c>
      <c r="AE39" s="49">
        <f>'ACADEMIC SUPP 2yr'!AE39+'STU SERVICES 2yr'!AE39+'INST SUPPORT 2yr'!AE39</f>
        <v>103753.228</v>
      </c>
    </row>
    <row r="40" spans="1:31">
      <c r="A40" s="7" t="s">
        <v>56</v>
      </c>
      <c r="B40" s="47">
        <f>'ACADEMIC SUPP 2yr'!B40+'STU SERVICES 2yr'!B40+'INST SUPPORT 2yr'!B40</f>
        <v>0</v>
      </c>
      <c r="C40" s="47">
        <f>'ACADEMIC SUPP 2yr'!C40+'STU SERVICES 2yr'!C40+'INST SUPPORT 2yr'!C40</f>
        <v>0</v>
      </c>
      <c r="D40" s="47">
        <f>'ACADEMIC SUPP 2yr'!D40+'STU SERVICES 2yr'!D40+'INST SUPPORT 2yr'!D40</f>
        <v>0</v>
      </c>
      <c r="E40" s="47">
        <f>'ACADEMIC SUPP 2yr'!E40+'STU SERVICES 2yr'!E40+'INST SUPPORT 2yr'!E40</f>
        <v>0</v>
      </c>
      <c r="F40" s="47">
        <f>'ACADEMIC SUPP 2yr'!F40+'STU SERVICES 2yr'!F40+'INST SUPPORT 2yr'!F40</f>
        <v>1272245.8369999998</v>
      </c>
      <c r="G40" s="47">
        <f>'ACADEMIC SUPP 2yr'!G40+'STU SERVICES 2yr'!G40+'INST SUPPORT 2yr'!G40</f>
        <v>0</v>
      </c>
      <c r="H40" s="47">
        <f>'ACADEMIC SUPP 2yr'!H40+'STU SERVICES 2yr'!H40+'INST SUPPORT 2yr'!H40</f>
        <v>0</v>
      </c>
      <c r="I40" s="47">
        <f>'ACADEMIC SUPP 2yr'!I40+'STU SERVICES 2yr'!I40+'INST SUPPORT 2yr'!I40</f>
        <v>1469365.7740000002</v>
      </c>
      <c r="J40" s="47">
        <f>'ACADEMIC SUPP 2yr'!J40+'STU SERVICES 2yr'!J40+'INST SUPPORT 2yr'!J40</f>
        <v>0</v>
      </c>
      <c r="K40" s="47">
        <f>'ACADEMIC SUPP 2yr'!K40+'STU SERVICES 2yr'!K40+'INST SUPPORT 2yr'!K40</f>
        <v>1790511.2345300002</v>
      </c>
      <c r="L40" s="47">
        <f>'ACADEMIC SUPP 2yr'!L40+'STU SERVICES 2yr'!L40+'INST SUPPORT 2yr'!L40</f>
        <v>2108500.3689999999</v>
      </c>
      <c r="M40" s="47">
        <f>'ACADEMIC SUPP 2yr'!M40+'STU SERVICES 2yr'!M40+'INST SUPPORT 2yr'!M40</f>
        <v>2231858.9309999999</v>
      </c>
      <c r="N40" s="47">
        <f>'ACADEMIC SUPP 2yr'!N40+'STU SERVICES 2yr'!N40+'INST SUPPORT 2yr'!N40</f>
        <v>2336605.5209999997</v>
      </c>
      <c r="O40" s="47">
        <f>'ACADEMIC SUPP 2yr'!O40+'STU SERVICES 2yr'!O40+'INST SUPPORT 2yr'!O40</f>
        <v>2308036.3259999999</v>
      </c>
      <c r="P40" s="47">
        <f>'ACADEMIC SUPP 2yr'!P40+'STU SERVICES 2yr'!P40+'INST SUPPORT 2yr'!P40</f>
        <v>2511352.9650000003</v>
      </c>
      <c r="Q40" s="47">
        <f>'ACADEMIC SUPP 2yr'!Q40+'STU SERVICES 2yr'!Q40+'INST SUPPORT 2yr'!Q40</f>
        <v>2528246.1739999996</v>
      </c>
      <c r="R40" s="47">
        <f>'ACADEMIC SUPP 2yr'!R40+'STU SERVICES 2yr'!R40+'INST SUPPORT 2yr'!R40</f>
        <v>2672689.4849999994</v>
      </c>
      <c r="S40" s="47">
        <f>'ACADEMIC SUPP 2yr'!S40+'STU SERVICES 2yr'!S40+'INST SUPPORT 2yr'!S40</f>
        <v>2779598.3</v>
      </c>
      <c r="T40" s="47">
        <f>'ACADEMIC SUPP 2yr'!T40+'STU SERVICES 2yr'!T40+'INST SUPPORT 2yr'!T40</f>
        <v>2999746.6919999998</v>
      </c>
      <c r="U40" s="47">
        <f>'ACADEMIC SUPP 2yr'!U40+'STU SERVICES 2yr'!U40+'INST SUPPORT 2yr'!U40</f>
        <v>3331226.9510000004</v>
      </c>
      <c r="V40" s="47">
        <f>'ACADEMIC SUPP 2yr'!V40+'STU SERVICES 2yr'!V40+'INST SUPPORT 2yr'!V40</f>
        <v>3944127.6030000001</v>
      </c>
      <c r="W40" s="47">
        <f>'ACADEMIC SUPP 2yr'!W40+'STU SERVICES 2yr'!W40+'INST SUPPORT 2yr'!W40</f>
        <v>4171194.5290000001</v>
      </c>
      <c r="X40" s="47">
        <f>'ACADEMIC SUPP 2yr'!X40+'STU SERVICES 2yr'!X40+'INST SUPPORT 2yr'!X40</f>
        <v>4322943.284</v>
      </c>
      <c r="Y40" s="47">
        <f>'ACADEMIC SUPP 2yr'!Y40+'STU SERVICES 2yr'!Y40+'INST SUPPORT 2yr'!Y40</f>
        <v>3431539.6380000003</v>
      </c>
      <c r="Z40" s="47">
        <f>'ACADEMIC SUPP 2yr'!Z40+'STU SERVICES 2yr'!Z40+'INST SUPPORT 2yr'!Z40</f>
        <v>3558907.8480000002</v>
      </c>
      <c r="AA40" s="47">
        <f>'ACADEMIC SUPP 2yr'!AA40+'STU SERVICES 2yr'!AA40+'INST SUPPORT 2yr'!AA40</f>
        <v>3645918</v>
      </c>
      <c r="AB40" s="47">
        <f>'ACADEMIC SUPP 2yr'!AB40+'STU SERVICES 2yr'!AB40+'INST SUPPORT 2yr'!AB40</f>
        <v>4702338.5650000013</v>
      </c>
      <c r="AC40" s="47">
        <f>'ACADEMIC SUPP 2yr'!AC40+'STU SERVICES 2yr'!AC40+'INST SUPPORT 2yr'!AC40</f>
        <v>4832612.3719999995</v>
      </c>
      <c r="AD40" s="47">
        <f>'ACADEMIC SUPP 2yr'!AD40+'STU SERVICES 2yr'!AD40+'INST SUPPORT 2yr'!AD40</f>
        <v>0</v>
      </c>
      <c r="AE40" s="47">
        <f>'ACADEMIC SUPP 2yr'!AE40+'STU SERVICES 2yr'!AE40+'INST SUPPORT 2yr'!AE40</f>
        <v>4926303.5600000005</v>
      </c>
    </row>
    <row r="41" spans="1:31">
      <c r="A41" s="7" t="s">
        <v>97</v>
      </c>
      <c r="B41" s="47">
        <f>'ACADEMIC SUPP 2yr'!B41+'STU SERVICES 2yr'!B41+'INST SUPPORT 2yr'!B41</f>
        <v>0</v>
      </c>
      <c r="C41" s="47">
        <f>'ACADEMIC SUPP 2yr'!C41+'STU SERVICES 2yr'!C41+'INST SUPPORT 2yr'!C41</f>
        <v>0</v>
      </c>
      <c r="D41" s="47">
        <f>'ACADEMIC SUPP 2yr'!D41+'STU SERVICES 2yr'!D41+'INST SUPPORT 2yr'!D41</f>
        <v>0</v>
      </c>
      <c r="E41" s="47">
        <f>'ACADEMIC SUPP 2yr'!E41+'STU SERVICES 2yr'!E41+'INST SUPPORT 2yr'!E41</f>
        <v>0</v>
      </c>
      <c r="F41" s="47">
        <f>'ACADEMIC SUPP 2yr'!F41+'STU SERVICES 2yr'!F41+'INST SUPPORT 2yr'!F41</f>
        <v>0</v>
      </c>
      <c r="G41" s="47">
        <f>'ACADEMIC SUPP 2yr'!G41+'STU SERVICES 2yr'!G41+'INST SUPPORT 2yr'!G41</f>
        <v>0</v>
      </c>
      <c r="H41" s="47">
        <f>'ACADEMIC SUPP 2yr'!H41+'STU SERVICES 2yr'!H41+'INST SUPPORT 2yr'!H41</f>
        <v>0</v>
      </c>
      <c r="I41" s="47">
        <f>'ACADEMIC SUPP 2yr'!I41+'STU SERVICES 2yr'!I41+'INST SUPPORT 2yr'!I41</f>
        <v>0</v>
      </c>
      <c r="J41" s="47">
        <f>'ACADEMIC SUPP 2yr'!J41+'STU SERVICES 2yr'!J41+'INST SUPPORT 2yr'!J41</f>
        <v>0</v>
      </c>
      <c r="K41" s="47">
        <f>'ACADEMIC SUPP 2yr'!K41+'STU SERVICES 2yr'!K41+'INST SUPPORT 2yr'!K41</f>
        <v>0</v>
      </c>
      <c r="L41" s="47">
        <f>'ACADEMIC SUPP 2yr'!L41+'STU SERVICES 2yr'!L41+'INST SUPPORT 2yr'!L41</f>
        <v>0</v>
      </c>
      <c r="M41" s="47">
        <f>'ACADEMIC SUPP 2yr'!M41+'STU SERVICES 2yr'!M41+'INST SUPPORT 2yr'!M41</f>
        <v>0</v>
      </c>
      <c r="N41" s="47">
        <f>'ACADEMIC SUPP 2yr'!N41+'STU SERVICES 2yr'!N41+'INST SUPPORT 2yr'!N41</f>
        <v>0</v>
      </c>
      <c r="O41" s="47">
        <f>'ACADEMIC SUPP 2yr'!O41+'STU SERVICES 2yr'!O41+'INST SUPPORT 2yr'!O41</f>
        <v>0</v>
      </c>
      <c r="P41" s="47">
        <f>'ACADEMIC SUPP 2yr'!P41+'STU SERVICES 2yr'!P41+'INST SUPPORT 2yr'!P41</f>
        <v>0</v>
      </c>
      <c r="Q41" s="47">
        <f>'ACADEMIC SUPP 2yr'!Q41+'STU SERVICES 2yr'!Q41+'INST SUPPORT 2yr'!Q41</f>
        <v>0</v>
      </c>
      <c r="R41" s="47">
        <f>'ACADEMIC SUPP 2yr'!R41+'STU SERVICES 2yr'!R41+'INST SUPPORT 2yr'!R41</f>
        <v>0</v>
      </c>
      <c r="S41" s="47">
        <f>'ACADEMIC SUPP 2yr'!S41+'STU SERVICES 2yr'!S41+'INST SUPPORT 2yr'!S41</f>
        <v>0</v>
      </c>
      <c r="T41" s="47">
        <f>'ACADEMIC SUPP 2yr'!T41+'STU SERVICES 2yr'!T41+'INST SUPPORT 2yr'!T41</f>
        <v>0</v>
      </c>
      <c r="U41" s="47">
        <f>'ACADEMIC SUPP 2yr'!U41+'STU SERVICES 2yr'!U41+'INST SUPPORT 2yr'!U41</f>
        <v>0</v>
      </c>
      <c r="V41" s="47">
        <f>'ACADEMIC SUPP 2yr'!V41+'STU SERVICES 2yr'!V41+'INST SUPPORT 2yr'!V41</f>
        <v>0</v>
      </c>
      <c r="W41" s="47">
        <f>'ACADEMIC SUPP 2yr'!W41+'STU SERVICES 2yr'!W41+'INST SUPPORT 2yr'!W41</f>
        <v>0</v>
      </c>
      <c r="X41" s="47">
        <f>'ACADEMIC SUPP 2yr'!X41+'STU SERVICES 2yr'!X41+'INST SUPPORT 2yr'!X41</f>
        <v>0</v>
      </c>
      <c r="Y41" s="47">
        <f>'ACADEMIC SUPP 2yr'!Y41+'STU SERVICES 2yr'!Y41+'INST SUPPORT 2yr'!Y41</f>
        <v>0</v>
      </c>
      <c r="Z41" s="47">
        <f>'ACADEMIC SUPP 2yr'!Z41+'STU SERVICES 2yr'!Z41+'INST SUPPORT 2yr'!Z41</f>
        <v>0</v>
      </c>
      <c r="AA41" s="47">
        <f>'ACADEMIC SUPP 2yr'!AA41+'STU SERVICES 2yr'!AA41+'INST SUPPORT 2yr'!AA41</f>
        <v>0</v>
      </c>
      <c r="AB41" s="47">
        <f>'ACADEMIC SUPP 2yr'!AB41+'STU SERVICES 2yr'!AB41+'INST SUPPORT 2yr'!AB41</f>
        <v>0</v>
      </c>
      <c r="AC41" s="47">
        <f>'ACADEMIC SUPP 2yr'!AC41+'STU SERVICES 2yr'!AC41+'INST SUPPORT 2yr'!AC41</f>
        <v>0</v>
      </c>
      <c r="AD41" s="47">
        <f>'ACADEMIC SUPP 2yr'!AD41+'STU SERVICES 2yr'!AD41+'INST SUPPORT 2yr'!AD41</f>
        <v>0</v>
      </c>
      <c r="AE41" s="47">
        <f>'ACADEMIC SUPP 2yr'!AE41+'STU SERVICES 2yr'!AE41+'INST SUPPORT 2yr'!AE41</f>
        <v>0</v>
      </c>
    </row>
    <row r="42" spans="1:31">
      <c r="A42" s="1" t="s">
        <v>57</v>
      </c>
      <c r="B42" s="47">
        <f>'ACADEMIC SUPP 2yr'!B42+'STU SERVICES 2yr'!B42+'INST SUPPORT 2yr'!B42</f>
        <v>0</v>
      </c>
      <c r="C42" s="47">
        <f>'ACADEMIC SUPP 2yr'!C42+'STU SERVICES 2yr'!C42+'INST SUPPORT 2yr'!C42</f>
        <v>0</v>
      </c>
      <c r="D42" s="47">
        <f>'ACADEMIC SUPP 2yr'!D42+'STU SERVICES 2yr'!D42+'INST SUPPORT 2yr'!D42</f>
        <v>0</v>
      </c>
      <c r="E42" s="47">
        <f>'ACADEMIC SUPP 2yr'!E42+'STU SERVICES 2yr'!E42+'INST SUPPORT 2yr'!E42</f>
        <v>0</v>
      </c>
      <c r="F42" s="47">
        <f>'ACADEMIC SUPP 2yr'!F42+'STU SERVICES 2yr'!F42+'INST SUPPORT 2yr'!F42</f>
        <v>311986.93900000001</v>
      </c>
      <c r="G42" s="47">
        <f>'ACADEMIC SUPP 2yr'!G42+'STU SERVICES 2yr'!G42+'INST SUPPORT 2yr'!G42</f>
        <v>0</v>
      </c>
      <c r="H42" s="47">
        <f>'ACADEMIC SUPP 2yr'!H42+'STU SERVICES 2yr'!H42+'INST SUPPORT 2yr'!H42</f>
        <v>0</v>
      </c>
      <c r="I42" s="47">
        <f>'ACADEMIC SUPP 2yr'!I42+'STU SERVICES 2yr'!I42+'INST SUPPORT 2yr'!I42</f>
        <v>379695.67700000003</v>
      </c>
      <c r="J42" s="47">
        <f>'ACADEMIC SUPP 2yr'!J42+'STU SERVICES 2yr'!J42+'INST SUPPORT 2yr'!J42</f>
        <v>0</v>
      </c>
      <c r="K42" s="47">
        <f>'ACADEMIC SUPP 2yr'!K42+'STU SERVICES 2yr'!K42+'INST SUPPORT 2yr'!K42</f>
        <v>448148.63328000001</v>
      </c>
      <c r="L42" s="47">
        <f>'ACADEMIC SUPP 2yr'!L42+'STU SERVICES 2yr'!L42+'INST SUPPORT 2yr'!L42</f>
        <v>562355.98600000003</v>
      </c>
      <c r="M42" s="47">
        <f>'ACADEMIC SUPP 2yr'!M42+'STU SERVICES 2yr'!M42+'INST SUPPORT 2yr'!M42</f>
        <v>585028.63100000005</v>
      </c>
      <c r="N42" s="47">
        <f>'ACADEMIC SUPP 2yr'!N42+'STU SERVICES 2yr'!N42+'INST SUPPORT 2yr'!N42</f>
        <v>604544.66</v>
      </c>
      <c r="O42" s="47">
        <f>'ACADEMIC SUPP 2yr'!O42+'STU SERVICES 2yr'!O42+'INST SUPPORT 2yr'!O42</f>
        <v>520947</v>
      </c>
      <c r="P42" s="47">
        <f>'ACADEMIC SUPP 2yr'!P42+'STU SERVICES 2yr'!P42+'INST SUPPORT 2yr'!P42</f>
        <v>651449.03200000001</v>
      </c>
      <c r="Q42" s="47">
        <f>'ACADEMIC SUPP 2yr'!Q42+'STU SERVICES 2yr'!Q42+'INST SUPPORT 2yr'!Q42</f>
        <v>582977.11199999996</v>
      </c>
      <c r="R42" s="47">
        <f>'ACADEMIC SUPP 2yr'!R42+'STU SERVICES 2yr'!R42+'INST SUPPORT 2yr'!R42</f>
        <v>609755.82799999998</v>
      </c>
      <c r="S42" s="47">
        <f>'ACADEMIC SUPP 2yr'!S42+'STU SERVICES 2yr'!S42+'INST SUPPORT 2yr'!S42</f>
        <v>645945.94699999993</v>
      </c>
      <c r="T42" s="47">
        <f>'ACADEMIC SUPP 2yr'!T42+'STU SERVICES 2yr'!T42+'INST SUPPORT 2yr'!T42</f>
        <v>716142.73399999994</v>
      </c>
      <c r="U42" s="47">
        <f>'ACADEMIC SUPP 2yr'!U42+'STU SERVICES 2yr'!U42+'INST SUPPORT 2yr'!U42</f>
        <v>793921.67699999991</v>
      </c>
      <c r="V42" s="47">
        <f>'ACADEMIC SUPP 2yr'!V42+'STU SERVICES 2yr'!V42+'INST SUPPORT 2yr'!V42</f>
        <v>934306.53300000005</v>
      </c>
      <c r="W42" s="47">
        <f>'ACADEMIC SUPP 2yr'!W42+'STU SERVICES 2yr'!W42+'INST SUPPORT 2yr'!W42</f>
        <v>986608.73400000005</v>
      </c>
      <c r="X42" s="47">
        <f>'ACADEMIC SUPP 2yr'!X42+'STU SERVICES 2yr'!X42+'INST SUPPORT 2yr'!X42</f>
        <v>1025142.928</v>
      </c>
      <c r="Y42" s="47">
        <f>'ACADEMIC SUPP 2yr'!Y42+'STU SERVICES 2yr'!Y42+'INST SUPPORT 2yr'!Y42</f>
        <v>636164.81000000006</v>
      </c>
      <c r="Z42" s="47">
        <f>'ACADEMIC SUPP 2yr'!Z42+'STU SERVICES 2yr'!Z42+'INST SUPPORT 2yr'!Z42</f>
        <v>658338.72399999993</v>
      </c>
      <c r="AA42" s="47">
        <f>'ACADEMIC SUPP 2yr'!AA42+'STU SERVICES 2yr'!AA42+'INST SUPPORT 2yr'!AA42</f>
        <v>699176.29399999999</v>
      </c>
      <c r="AB42" s="47">
        <f>'ACADEMIC SUPP 2yr'!AB42+'STU SERVICES 2yr'!AB42+'INST SUPPORT 2yr'!AB42</f>
        <v>1151765.983</v>
      </c>
      <c r="AC42" s="47">
        <f>'ACADEMIC SUPP 2yr'!AC42+'STU SERVICES 2yr'!AC42+'INST SUPPORT 2yr'!AC42</f>
        <v>1195997.6230000001</v>
      </c>
      <c r="AD42" s="47">
        <f>'ACADEMIC SUPP 2yr'!AD42+'STU SERVICES 2yr'!AD42+'INST SUPPORT 2yr'!AD42</f>
        <v>0</v>
      </c>
      <c r="AE42" s="47">
        <f>'ACADEMIC SUPP 2yr'!AE42+'STU SERVICES 2yr'!AE42+'INST SUPPORT 2yr'!AE42</f>
        <v>1228607.5109999999</v>
      </c>
    </row>
    <row r="43" spans="1:31">
      <c r="A43" s="1" t="s">
        <v>58</v>
      </c>
      <c r="B43" s="47">
        <f>'ACADEMIC SUPP 2yr'!B43+'STU SERVICES 2yr'!B43+'INST SUPPORT 2yr'!B43</f>
        <v>0</v>
      </c>
      <c r="C43" s="47">
        <f>'ACADEMIC SUPP 2yr'!C43+'STU SERVICES 2yr'!C43+'INST SUPPORT 2yr'!C43</f>
        <v>0</v>
      </c>
      <c r="D43" s="47">
        <f>'ACADEMIC SUPP 2yr'!D43+'STU SERVICES 2yr'!D43+'INST SUPPORT 2yr'!D43</f>
        <v>0</v>
      </c>
      <c r="E43" s="47">
        <f>'ACADEMIC SUPP 2yr'!E43+'STU SERVICES 2yr'!E43+'INST SUPPORT 2yr'!E43</f>
        <v>0</v>
      </c>
      <c r="F43" s="47">
        <f>'ACADEMIC SUPP 2yr'!F43+'STU SERVICES 2yr'!F43+'INST SUPPORT 2yr'!F43</f>
        <v>43457.861000000004</v>
      </c>
      <c r="G43" s="47">
        <f>'ACADEMIC SUPP 2yr'!G43+'STU SERVICES 2yr'!G43+'INST SUPPORT 2yr'!G43</f>
        <v>0</v>
      </c>
      <c r="H43" s="47">
        <f>'ACADEMIC SUPP 2yr'!H43+'STU SERVICES 2yr'!H43+'INST SUPPORT 2yr'!H43</f>
        <v>0</v>
      </c>
      <c r="I43" s="47">
        <f>'ACADEMIC SUPP 2yr'!I43+'STU SERVICES 2yr'!I43+'INST SUPPORT 2yr'!I43</f>
        <v>47981.884999999995</v>
      </c>
      <c r="J43" s="47">
        <f>'ACADEMIC SUPP 2yr'!J43+'STU SERVICES 2yr'!J43+'INST SUPPORT 2yr'!J43</f>
        <v>0</v>
      </c>
      <c r="K43" s="47">
        <f>'ACADEMIC SUPP 2yr'!K43+'STU SERVICES 2yr'!K43+'INST SUPPORT 2yr'!K43</f>
        <v>65144.349000000002</v>
      </c>
      <c r="L43" s="47">
        <f>'ACADEMIC SUPP 2yr'!L43+'STU SERVICES 2yr'!L43+'INST SUPPORT 2yr'!L43</f>
        <v>60696.457999999999</v>
      </c>
      <c r="M43" s="47">
        <f>'ACADEMIC SUPP 2yr'!M43+'STU SERVICES 2yr'!M43+'INST SUPPORT 2yr'!M43</f>
        <v>64717.021000000001</v>
      </c>
      <c r="N43" s="47">
        <f>'ACADEMIC SUPP 2yr'!N43+'STU SERVICES 2yr'!N43+'INST SUPPORT 2yr'!N43</f>
        <v>69654.95</v>
      </c>
      <c r="O43" s="47">
        <f>'ACADEMIC SUPP 2yr'!O43+'STU SERVICES 2yr'!O43+'INST SUPPORT 2yr'!O43</f>
        <v>71436.22099999999</v>
      </c>
      <c r="P43" s="47">
        <f>'ACADEMIC SUPP 2yr'!P43+'STU SERVICES 2yr'!P43+'INST SUPPORT 2yr'!P43</f>
        <v>63721.611000000004</v>
      </c>
      <c r="Q43" s="47">
        <f>'ACADEMIC SUPP 2yr'!Q43+'STU SERVICES 2yr'!Q43+'INST SUPPORT 2yr'!Q43</f>
        <v>77140.638000000006</v>
      </c>
      <c r="R43" s="47">
        <f>'ACADEMIC SUPP 2yr'!R43+'STU SERVICES 2yr'!R43+'INST SUPPORT 2yr'!R43</f>
        <v>83347.364999999991</v>
      </c>
      <c r="S43" s="47">
        <f>'ACADEMIC SUPP 2yr'!S43+'STU SERVICES 2yr'!S43+'INST SUPPORT 2yr'!S43</f>
        <v>89218.118999999992</v>
      </c>
      <c r="T43" s="47">
        <f>'ACADEMIC SUPP 2yr'!T43+'STU SERVICES 2yr'!T43+'INST SUPPORT 2yr'!T43</f>
        <v>80871.945999999996</v>
      </c>
      <c r="U43" s="47">
        <f>'ACADEMIC SUPP 2yr'!U43+'STU SERVICES 2yr'!U43+'INST SUPPORT 2yr'!U43</f>
        <v>108101.739</v>
      </c>
      <c r="V43" s="47">
        <f>'ACADEMIC SUPP 2yr'!V43+'STU SERVICES 2yr'!V43+'INST SUPPORT 2yr'!V43</f>
        <v>146151.04800000001</v>
      </c>
      <c r="W43" s="47">
        <f>'ACADEMIC SUPP 2yr'!W43+'STU SERVICES 2yr'!W43+'INST SUPPORT 2yr'!W43</f>
        <v>148926.603</v>
      </c>
      <c r="X43" s="47">
        <f>'ACADEMIC SUPP 2yr'!X43+'STU SERVICES 2yr'!X43+'INST SUPPORT 2yr'!X43</f>
        <v>217520.23200000002</v>
      </c>
      <c r="Y43" s="47">
        <f>'ACADEMIC SUPP 2yr'!Y43+'STU SERVICES 2yr'!Y43+'INST SUPPORT 2yr'!Y43</f>
        <v>239742.07400000002</v>
      </c>
      <c r="Z43" s="47">
        <f>'ACADEMIC SUPP 2yr'!Z43+'STU SERVICES 2yr'!Z43+'INST SUPPORT 2yr'!Z43</f>
        <v>249946.02000000002</v>
      </c>
      <c r="AA43" s="47">
        <f>'ACADEMIC SUPP 2yr'!AA43+'STU SERVICES 2yr'!AA43+'INST SUPPORT 2yr'!AA43</f>
        <v>245106.10700000002</v>
      </c>
      <c r="AB43" s="47">
        <f>'ACADEMIC SUPP 2yr'!AB43+'STU SERVICES 2yr'!AB43+'INST SUPPORT 2yr'!AB43</f>
        <v>190874.15100000001</v>
      </c>
      <c r="AC43" s="47">
        <f>'ACADEMIC SUPP 2yr'!AC43+'STU SERVICES 2yr'!AC43+'INST SUPPORT 2yr'!AC43</f>
        <v>223699.579</v>
      </c>
      <c r="AD43" s="47">
        <f>'ACADEMIC SUPP 2yr'!AD43+'STU SERVICES 2yr'!AD43+'INST SUPPORT 2yr'!AD43</f>
        <v>0</v>
      </c>
      <c r="AE43" s="47">
        <f>'ACADEMIC SUPP 2yr'!AE43+'STU SERVICES 2yr'!AE43+'INST SUPPORT 2yr'!AE43</f>
        <v>251274.791</v>
      </c>
    </row>
    <row r="44" spans="1:31">
      <c r="A44" s="1" t="s">
        <v>59</v>
      </c>
      <c r="B44" s="47">
        <f>'ACADEMIC SUPP 2yr'!B44+'STU SERVICES 2yr'!B44+'INST SUPPORT 2yr'!B44</f>
        <v>0</v>
      </c>
      <c r="C44" s="47">
        <f>'ACADEMIC SUPP 2yr'!C44+'STU SERVICES 2yr'!C44+'INST SUPPORT 2yr'!C44</f>
        <v>0</v>
      </c>
      <c r="D44" s="47">
        <f>'ACADEMIC SUPP 2yr'!D44+'STU SERVICES 2yr'!D44+'INST SUPPORT 2yr'!D44</f>
        <v>0</v>
      </c>
      <c r="E44" s="47">
        <f>'ACADEMIC SUPP 2yr'!E44+'STU SERVICES 2yr'!E44+'INST SUPPORT 2yr'!E44</f>
        <v>0</v>
      </c>
      <c r="F44" s="47">
        <f>'ACADEMIC SUPP 2yr'!F44+'STU SERVICES 2yr'!F44+'INST SUPPORT 2yr'!F44</f>
        <v>76347.894</v>
      </c>
      <c r="G44" s="47">
        <f>'ACADEMIC SUPP 2yr'!G44+'STU SERVICES 2yr'!G44+'INST SUPPORT 2yr'!G44</f>
        <v>0</v>
      </c>
      <c r="H44" s="47">
        <f>'ACADEMIC SUPP 2yr'!H44+'STU SERVICES 2yr'!H44+'INST SUPPORT 2yr'!H44</f>
        <v>0</v>
      </c>
      <c r="I44" s="47">
        <f>'ACADEMIC SUPP 2yr'!I44+'STU SERVICES 2yr'!I44+'INST SUPPORT 2yr'!I44</f>
        <v>88547.54</v>
      </c>
      <c r="J44" s="47">
        <f>'ACADEMIC SUPP 2yr'!J44+'STU SERVICES 2yr'!J44+'INST SUPPORT 2yr'!J44</f>
        <v>0</v>
      </c>
      <c r="K44" s="47">
        <f>'ACADEMIC SUPP 2yr'!K44+'STU SERVICES 2yr'!K44+'INST SUPPORT 2yr'!K44</f>
        <v>95727.758000000002</v>
      </c>
      <c r="L44" s="47">
        <f>'ACADEMIC SUPP 2yr'!L44+'STU SERVICES 2yr'!L44+'INST SUPPORT 2yr'!L44</f>
        <v>128138.35800000001</v>
      </c>
      <c r="M44" s="47">
        <f>'ACADEMIC SUPP 2yr'!M44+'STU SERVICES 2yr'!M44+'INST SUPPORT 2yr'!M44</f>
        <v>134592.36799999999</v>
      </c>
      <c r="N44" s="47">
        <f>'ACADEMIC SUPP 2yr'!N44+'STU SERVICES 2yr'!N44+'INST SUPPORT 2yr'!N44</f>
        <v>145672.845</v>
      </c>
      <c r="O44" s="47">
        <f>'ACADEMIC SUPP 2yr'!O44+'STU SERVICES 2yr'!O44+'INST SUPPORT 2yr'!O44</f>
        <v>129632.405</v>
      </c>
      <c r="P44" s="47">
        <f>'ACADEMIC SUPP 2yr'!P44+'STU SERVICES 2yr'!P44+'INST SUPPORT 2yr'!P44</f>
        <v>146148.09999999998</v>
      </c>
      <c r="Q44" s="47">
        <f>'ACADEMIC SUPP 2yr'!Q44+'STU SERVICES 2yr'!Q44+'INST SUPPORT 2yr'!Q44</f>
        <v>152845.65299999999</v>
      </c>
      <c r="R44" s="47">
        <f>'ACADEMIC SUPP 2yr'!R44+'STU SERVICES 2yr'!R44+'INST SUPPORT 2yr'!R44</f>
        <v>165134.296</v>
      </c>
      <c r="S44" s="47">
        <f>'ACADEMIC SUPP 2yr'!S44+'STU SERVICES 2yr'!S44+'INST SUPPORT 2yr'!S44</f>
        <v>175150.49099999998</v>
      </c>
      <c r="T44" s="47">
        <f>'ACADEMIC SUPP 2yr'!T44+'STU SERVICES 2yr'!T44+'INST SUPPORT 2yr'!T44</f>
        <v>190649.93599999999</v>
      </c>
      <c r="U44" s="47">
        <f>'ACADEMIC SUPP 2yr'!U44+'STU SERVICES 2yr'!U44+'INST SUPPORT 2yr'!U44</f>
        <v>208011.27299999999</v>
      </c>
      <c r="V44" s="47">
        <f>'ACADEMIC SUPP 2yr'!V44+'STU SERVICES 2yr'!V44+'INST SUPPORT 2yr'!V44</f>
        <v>243574.94100000002</v>
      </c>
      <c r="W44" s="47">
        <f>'ACADEMIC SUPP 2yr'!W44+'STU SERVICES 2yr'!W44+'INST SUPPORT 2yr'!W44</f>
        <v>254998.94899999999</v>
      </c>
      <c r="X44" s="47">
        <f>'ACADEMIC SUPP 2yr'!X44+'STU SERVICES 2yr'!X44+'INST SUPPORT 2yr'!X44</f>
        <v>266470.3</v>
      </c>
      <c r="Y44" s="47">
        <f>'ACADEMIC SUPP 2yr'!Y44+'STU SERVICES 2yr'!Y44+'INST SUPPORT 2yr'!Y44</f>
        <v>259969.851</v>
      </c>
      <c r="Z44" s="47">
        <f>'ACADEMIC SUPP 2yr'!Z44+'STU SERVICES 2yr'!Z44+'INST SUPPORT 2yr'!Z44</f>
        <v>274786.46799999999</v>
      </c>
      <c r="AA44" s="47">
        <f>'ACADEMIC SUPP 2yr'!AA44+'STU SERVICES 2yr'!AA44+'INST SUPPORT 2yr'!AA44</f>
        <v>284918.03700000001</v>
      </c>
      <c r="AB44" s="47">
        <f>'ACADEMIC SUPP 2yr'!AB44+'STU SERVICES 2yr'!AB44+'INST SUPPORT 2yr'!AB44</f>
        <v>315056.799</v>
      </c>
      <c r="AC44" s="47">
        <f>'ACADEMIC SUPP 2yr'!AC44+'STU SERVICES 2yr'!AC44+'INST SUPPORT 2yr'!AC44</f>
        <v>329590.21299999999</v>
      </c>
      <c r="AD44" s="47">
        <f>'ACADEMIC SUPP 2yr'!AD44+'STU SERVICES 2yr'!AD44+'INST SUPPORT 2yr'!AD44</f>
        <v>0</v>
      </c>
      <c r="AE44" s="47">
        <f>'ACADEMIC SUPP 2yr'!AE44+'STU SERVICES 2yr'!AE44+'INST SUPPORT 2yr'!AE44</f>
        <v>332250.28899999999</v>
      </c>
    </row>
    <row r="45" spans="1:31">
      <c r="A45" s="1" t="s">
        <v>60</v>
      </c>
      <c r="B45" s="47">
        <f>'ACADEMIC SUPP 2yr'!B45+'STU SERVICES 2yr'!B45+'INST SUPPORT 2yr'!B45</f>
        <v>0</v>
      </c>
      <c r="C45" s="47">
        <f>'ACADEMIC SUPP 2yr'!C45+'STU SERVICES 2yr'!C45+'INST SUPPORT 2yr'!C45</f>
        <v>0</v>
      </c>
      <c r="D45" s="47">
        <f>'ACADEMIC SUPP 2yr'!D45+'STU SERVICES 2yr'!D45+'INST SUPPORT 2yr'!D45</f>
        <v>0</v>
      </c>
      <c r="E45" s="47">
        <f>'ACADEMIC SUPP 2yr'!E45+'STU SERVICES 2yr'!E45+'INST SUPPORT 2yr'!E45</f>
        <v>0</v>
      </c>
      <c r="F45" s="47">
        <f>'ACADEMIC SUPP 2yr'!F45+'STU SERVICES 2yr'!F45+'INST SUPPORT 2yr'!F45</f>
        <v>73604.540999999997</v>
      </c>
      <c r="G45" s="47">
        <f>'ACADEMIC SUPP 2yr'!G45+'STU SERVICES 2yr'!G45+'INST SUPPORT 2yr'!G45</f>
        <v>0</v>
      </c>
      <c r="H45" s="47">
        <f>'ACADEMIC SUPP 2yr'!H45+'STU SERVICES 2yr'!H45+'INST SUPPORT 2yr'!H45</f>
        <v>0</v>
      </c>
      <c r="I45" s="47">
        <f>'ACADEMIC SUPP 2yr'!I45+'STU SERVICES 2yr'!I45+'INST SUPPORT 2yr'!I45</f>
        <v>88489.752999999997</v>
      </c>
      <c r="J45" s="47">
        <f>'ACADEMIC SUPP 2yr'!J45+'STU SERVICES 2yr'!J45+'INST SUPPORT 2yr'!J45</f>
        <v>0</v>
      </c>
      <c r="K45" s="47">
        <f>'ACADEMIC SUPP 2yr'!K45+'STU SERVICES 2yr'!K45+'INST SUPPORT 2yr'!K45</f>
        <v>101900.63828000001</v>
      </c>
      <c r="L45" s="47">
        <f>'ACADEMIC SUPP 2yr'!L45+'STU SERVICES 2yr'!L45+'INST SUPPORT 2yr'!L45</f>
        <v>121717.31200000001</v>
      </c>
      <c r="M45" s="47">
        <f>'ACADEMIC SUPP 2yr'!M45+'STU SERVICES 2yr'!M45+'INST SUPPORT 2yr'!M45</f>
        <v>133787.823</v>
      </c>
      <c r="N45" s="47">
        <f>'ACADEMIC SUPP 2yr'!N45+'STU SERVICES 2yr'!N45+'INST SUPPORT 2yr'!N45</f>
        <v>142745.83000000002</v>
      </c>
      <c r="O45" s="47">
        <f>'ACADEMIC SUPP 2yr'!O45+'STU SERVICES 2yr'!O45+'INST SUPPORT 2yr'!O45</f>
        <v>139117.91800000001</v>
      </c>
      <c r="P45" s="47">
        <f>'ACADEMIC SUPP 2yr'!P45+'STU SERVICES 2yr'!P45+'INST SUPPORT 2yr'!P45</f>
        <v>141067.07</v>
      </c>
      <c r="Q45" s="47">
        <f>'ACADEMIC SUPP 2yr'!Q45+'STU SERVICES 2yr'!Q45+'INST SUPPORT 2yr'!Q45</f>
        <v>154373.23800000001</v>
      </c>
      <c r="R45" s="47">
        <f>'ACADEMIC SUPP 2yr'!R45+'STU SERVICES 2yr'!R45+'INST SUPPORT 2yr'!R45</f>
        <v>165596.891</v>
      </c>
      <c r="S45" s="47">
        <f>'ACADEMIC SUPP 2yr'!S45+'STU SERVICES 2yr'!S45+'INST SUPPORT 2yr'!S45</f>
        <v>177605.48200000002</v>
      </c>
      <c r="T45" s="47">
        <f>'ACADEMIC SUPP 2yr'!T45+'STU SERVICES 2yr'!T45+'INST SUPPORT 2yr'!T45</f>
        <v>187454.18599999999</v>
      </c>
      <c r="U45" s="47">
        <f>'ACADEMIC SUPP 2yr'!U45+'STU SERVICES 2yr'!U45+'INST SUPPORT 2yr'!U45</f>
        <v>217369.16200000001</v>
      </c>
      <c r="V45" s="47">
        <f>'ACADEMIC SUPP 2yr'!V45+'STU SERVICES 2yr'!V45+'INST SUPPORT 2yr'!V45</f>
        <v>241741.652</v>
      </c>
      <c r="W45" s="47">
        <f>'ACADEMIC SUPP 2yr'!W45+'STU SERVICES 2yr'!W45+'INST SUPPORT 2yr'!W45</f>
        <v>248872.09099999999</v>
      </c>
      <c r="X45" s="47">
        <f>'ACADEMIC SUPP 2yr'!X45+'STU SERVICES 2yr'!X45+'INST SUPPORT 2yr'!X45</f>
        <v>259796.80600000004</v>
      </c>
      <c r="Y45" s="47">
        <f>'ACADEMIC SUPP 2yr'!Y45+'STU SERVICES 2yr'!Y45+'INST SUPPORT 2yr'!Y45</f>
        <v>217562.886</v>
      </c>
      <c r="Z45" s="47">
        <f>'ACADEMIC SUPP 2yr'!Z45+'STU SERVICES 2yr'!Z45+'INST SUPPORT 2yr'!Z45</f>
        <v>221023.27900000001</v>
      </c>
      <c r="AA45" s="47">
        <f>'ACADEMIC SUPP 2yr'!AA45+'STU SERVICES 2yr'!AA45+'INST SUPPORT 2yr'!AA45</f>
        <v>232202.413</v>
      </c>
      <c r="AB45" s="47">
        <f>'ACADEMIC SUPP 2yr'!AB45+'STU SERVICES 2yr'!AB45+'INST SUPPORT 2yr'!AB45</f>
        <v>289812.31599999999</v>
      </c>
      <c r="AC45" s="47">
        <f>'ACADEMIC SUPP 2yr'!AC45+'STU SERVICES 2yr'!AC45+'INST SUPPORT 2yr'!AC45</f>
        <v>291018.77600000001</v>
      </c>
      <c r="AD45" s="47">
        <f>'ACADEMIC SUPP 2yr'!AD45+'STU SERVICES 2yr'!AD45+'INST SUPPORT 2yr'!AD45</f>
        <v>0</v>
      </c>
      <c r="AE45" s="47">
        <f>'ACADEMIC SUPP 2yr'!AE45+'STU SERVICES 2yr'!AE45+'INST SUPPORT 2yr'!AE45</f>
        <v>308276.15299999999</v>
      </c>
    </row>
    <row r="46" spans="1:31">
      <c r="A46" s="1" t="s">
        <v>61</v>
      </c>
      <c r="B46" s="47">
        <f>'ACADEMIC SUPP 2yr'!B46+'STU SERVICES 2yr'!B46+'INST SUPPORT 2yr'!B46</f>
        <v>0</v>
      </c>
      <c r="C46" s="47">
        <f>'ACADEMIC SUPP 2yr'!C46+'STU SERVICES 2yr'!C46+'INST SUPPORT 2yr'!C46</f>
        <v>0</v>
      </c>
      <c r="D46" s="47">
        <f>'ACADEMIC SUPP 2yr'!D46+'STU SERVICES 2yr'!D46+'INST SUPPORT 2yr'!D46</f>
        <v>0</v>
      </c>
      <c r="E46" s="47">
        <f>'ACADEMIC SUPP 2yr'!E46+'STU SERVICES 2yr'!E46+'INST SUPPORT 2yr'!E46</f>
        <v>0</v>
      </c>
      <c r="F46" s="47">
        <f>'ACADEMIC SUPP 2yr'!F46+'STU SERVICES 2yr'!F46+'INST SUPPORT 2yr'!F46</f>
        <v>266520.36499999999</v>
      </c>
      <c r="G46" s="47">
        <f>'ACADEMIC SUPP 2yr'!G46+'STU SERVICES 2yr'!G46+'INST SUPPORT 2yr'!G46</f>
        <v>0</v>
      </c>
      <c r="H46" s="47">
        <f>'ACADEMIC SUPP 2yr'!H46+'STU SERVICES 2yr'!H46+'INST SUPPORT 2yr'!H46</f>
        <v>0</v>
      </c>
      <c r="I46" s="47">
        <f>'ACADEMIC SUPP 2yr'!I46+'STU SERVICES 2yr'!I46+'INST SUPPORT 2yr'!I46</f>
        <v>298278.01699999999</v>
      </c>
      <c r="J46" s="47">
        <f>'ACADEMIC SUPP 2yr'!J46+'STU SERVICES 2yr'!J46+'INST SUPPORT 2yr'!J46</f>
        <v>0</v>
      </c>
      <c r="K46" s="47">
        <f>'ACADEMIC SUPP 2yr'!K46+'STU SERVICES 2yr'!K46+'INST SUPPORT 2yr'!K46</f>
        <v>330907.00781000004</v>
      </c>
      <c r="L46" s="47">
        <f>'ACADEMIC SUPP 2yr'!L46+'STU SERVICES 2yr'!L46+'INST SUPPORT 2yr'!L46</f>
        <v>406954.98499999999</v>
      </c>
      <c r="M46" s="47">
        <f>'ACADEMIC SUPP 2yr'!M46+'STU SERVICES 2yr'!M46+'INST SUPPORT 2yr'!M46</f>
        <v>420820.08600000001</v>
      </c>
      <c r="N46" s="47">
        <f>'ACADEMIC SUPP 2yr'!N46+'STU SERVICES 2yr'!N46+'INST SUPPORT 2yr'!N46</f>
        <v>481042.09600000002</v>
      </c>
      <c r="O46" s="47">
        <f>'ACADEMIC SUPP 2yr'!O46+'STU SERVICES 2yr'!O46+'INST SUPPORT 2yr'!O46</f>
        <v>511733.71699999995</v>
      </c>
      <c r="P46" s="47">
        <f>'ACADEMIC SUPP 2yr'!P46+'STU SERVICES 2yr'!P46+'INST SUPPORT 2yr'!P46</f>
        <v>538565.59499999997</v>
      </c>
      <c r="Q46" s="47">
        <f>'ACADEMIC SUPP 2yr'!Q46+'STU SERVICES 2yr'!Q46+'INST SUPPORT 2yr'!Q46</f>
        <v>534737.54799999995</v>
      </c>
      <c r="R46" s="47">
        <f>'ACADEMIC SUPP 2yr'!R46+'STU SERVICES 2yr'!R46+'INST SUPPORT 2yr'!R46</f>
        <v>561118.97</v>
      </c>
      <c r="S46" s="47">
        <f>'ACADEMIC SUPP 2yr'!S46+'STU SERVICES 2yr'!S46+'INST SUPPORT 2yr'!S46</f>
        <v>585003.08900000004</v>
      </c>
      <c r="T46" s="47">
        <f>'ACADEMIC SUPP 2yr'!T46+'STU SERVICES 2yr'!T46+'INST SUPPORT 2yr'!T46</f>
        <v>573912.62100000004</v>
      </c>
      <c r="U46" s="47">
        <f>'ACADEMIC SUPP 2yr'!U46+'STU SERVICES 2yr'!U46+'INST SUPPORT 2yr'!U46</f>
        <v>605469.13199999998</v>
      </c>
      <c r="V46" s="47">
        <f>'ACADEMIC SUPP 2yr'!V46+'STU SERVICES 2yr'!V46+'INST SUPPORT 2yr'!V46</f>
        <v>767852.57199999993</v>
      </c>
      <c r="W46" s="47">
        <f>'ACADEMIC SUPP 2yr'!W46+'STU SERVICES 2yr'!W46+'INST SUPPORT 2yr'!W46</f>
        <v>746227.91499999992</v>
      </c>
      <c r="X46" s="47">
        <f>'ACADEMIC SUPP 2yr'!X46+'STU SERVICES 2yr'!X46+'INST SUPPORT 2yr'!X46</f>
        <v>751411.18099999998</v>
      </c>
      <c r="Y46" s="47">
        <f>'ACADEMIC SUPP 2yr'!Y46+'STU SERVICES 2yr'!Y46+'INST SUPPORT 2yr'!Y46</f>
        <v>678114.201</v>
      </c>
      <c r="Z46" s="47">
        <f>'ACADEMIC SUPP 2yr'!Z46+'STU SERVICES 2yr'!Z46+'INST SUPPORT 2yr'!Z46</f>
        <v>668569.93900000001</v>
      </c>
      <c r="AA46" s="47">
        <f>'ACADEMIC SUPP 2yr'!AA46+'STU SERVICES 2yr'!AA46+'INST SUPPORT 2yr'!AA46</f>
        <v>694181.51</v>
      </c>
      <c r="AB46" s="47">
        <f>'ACADEMIC SUPP 2yr'!AB46+'STU SERVICES 2yr'!AB46+'INST SUPPORT 2yr'!AB46</f>
        <v>747551.60600000003</v>
      </c>
      <c r="AC46" s="47">
        <f>'ACADEMIC SUPP 2yr'!AC46+'STU SERVICES 2yr'!AC46+'INST SUPPORT 2yr'!AC46</f>
        <v>750363.95799999998</v>
      </c>
      <c r="AD46" s="47">
        <f>'ACADEMIC SUPP 2yr'!AD46+'STU SERVICES 2yr'!AD46+'INST SUPPORT 2yr'!AD46</f>
        <v>0</v>
      </c>
      <c r="AE46" s="47">
        <f>'ACADEMIC SUPP 2yr'!AE46+'STU SERVICES 2yr'!AE46+'INST SUPPORT 2yr'!AE46</f>
        <v>753836.91700000002</v>
      </c>
    </row>
    <row r="47" spans="1:31">
      <c r="A47" s="1" t="s">
        <v>62</v>
      </c>
      <c r="B47" s="47">
        <f>'ACADEMIC SUPP 2yr'!B47+'STU SERVICES 2yr'!B47+'INST SUPPORT 2yr'!B47</f>
        <v>0</v>
      </c>
      <c r="C47" s="47">
        <f>'ACADEMIC SUPP 2yr'!C47+'STU SERVICES 2yr'!C47+'INST SUPPORT 2yr'!C47</f>
        <v>0</v>
      </c>
      <c r="D47" s="47">
        <f>'ACADEMIC SUPP 2yr'!D47+'STU SERVICES 2yr'!D47+'INST SUPPORT 2yr'!D47</f>
        <v>0</v>
      </c>
      <c r="E47" s="47">
        <f>'ACADEMIC SUPP 2yr'!E47+'STU SERVICES 2yr'!E47+'INST SUPPORT 2yr'!E47</f>
        <v>0</v>
      </c>
      <c r="F47" s="47">
        <f>'ACADEMIC SUPP 2yr'!F47+'STU SERVICES 2yr'!F47+'INST SUPPORT 2yr'!F47</f>
        <v>113633.352</v>
      </c>
      <c r="G47" s="47">
        <f>'ACADEMIC SUPP 2yr'!G47+'STU SERVICES 2yr'!G47+'INST SUPPORT 2yr'!G47</f>
        <v>0</v>
      </c>
      <c r="H47" s="47">
        <f>'ACADEMIC SUPP 2yr'!H47+'STU SERVICES 2yr'!H47+'INST SUPPORT 2yr'!H47</f>
        <v>0</v>
      </c>
      <c r="I47" s="47">
        <f>'ACADEMIC SUPP 2yr'!I47+'STU SERVICES 2yr'!I47+'INST SUPPORT 2yr'!I47</f>
        <v>154117.34299999999</v>
      </c>
      <c r="J47" s="47">
        <f>'ACADEMIC SUPP 2yr'!J47+'STU SERVICES 2yr'!J47+'INST SUPPORT 2yr'!J47</f>
        <v>0</v>
      </c>
      <c r="K47" s="47">
        <f>'ACADEMIC SUPP 2yr'!K47+'STU SERVICES 2yr'!K47+'INST SUPPORT 2yr'!K47</f>
        <v>204374.09265000001</v>
      </c>
      <c r="L47" s="47">
        <f>'ACADEMIC SUPP 2yr'!L47+'STU SERVICES 2yr'!L47+'INST SUPPORT 2yr'!L47</f>
        <v>222265.57299999997</v>
      </c>
      <c r="M47" s="47">
        <f>'ACADEMIC SUPP 2yr'!M47+'STU SERVICES 2yr'!M47+'INST SUPPORT 2yr'!M47</f>
        <v>241668.67799999999</v>
      </c>
      <c r="N47" s="47">
        <f>'ACADEMIC SUPP 2yr'!N47+'STU SERVICES 2yr'!N47+'INST SUPPORT 2yr'!N47</f>
        <v>242735.448</v>
      </c>
      <c r="O47" s="47">
        <f>'ACADEMIC SUPP 2yr'!O47+'STU SERVICES 2yr'!O47+'INST SUPPORT 2yr'!O47</f>
        <v>230977.22899999999</v>
      </c>
      <c r="P47" s="47">
        <f>'ACADEMIC SUPP 2yr'!P47+'STU SERVICES 2yr'!P47+'INST SUPPORT 2yr'!P47</f>
        <v>248517.46500000003</v>
      </c>
      <c r="Q47" s="47">
        <f>'ACADEMIC SUPP 2yr'!Q47+'STU SERVICES 2yr'!Q47+'INST SUPPORT 2yr'!Q47</f>
        <v>264486.223</v>
      </c>
      <c r="R47" s="47">
        <f>'ACADEMIC SUPP 2yr'!R47+'STU SERVICES 2yr'!R47+'INST SUPPORT 2yr'!R47</f>
        <v>278514.16899999999</v>
      </c>
      <c r="S47" s="47">
        <f>'ACADEMIC SUPP 2yr'!S47+'STU SERVICES 2yr'!S47+'INST SUPPORT 2yr'!S47</f>
        <v>298297.83</v>
      </c>
      <c r="T47" s="47">
        <f>'ACADEMIC SUPP 2yr'!T47+'STU SERVICES 2yr'!T47+'INST SUPPORT 2yr'!T47</f>
        <v>338058.26400000002</v>
      </c>
      <c r="U47" s="47">
        <f>'ACADEMIC SUPP 2yr'!U47+'STU SERVICES 2yr'!U47+'INST SUPPORT 2yr'!U47</f>
        <v>351635.94699999999</v>
      </c>
      <c r="V47" s="47">
        <f>'ACADEMIC SUPP 2yr'!V47+'STU SERVICES 2yr'!V47+'INST SUPPORT 2yr'!V47</f>
        <v>405362.91700000002</v>
      </c>
      <c r="W47" s="47">
        <f>'ACADEMIC SUPP 2yr'!W47+'STU SERVICES 2yr'!W47+'INST SUPPORT 2yr'!W47</f>
        <v>416314</v>
      </c>
      <c r="X47" s="47">
        <f>'ACADEMIC SUPP 2yr'!X47+'STU SERVICES 2yr'!X47+'INST SUPPORT 2yr'!X47</f>
        <v>402368.04499999998</v>
      </c>
      <c r="Y47" s="47">
        <f>'ACADEMIC SUPP 2yr'!Y47+'STU SERVICES 2yr'!Y47+'INST SUPPORT 2yr'!Y47</f>
        <v>321237.29600000003</v>
      </c>
      <c r="Z47" s="47">
        <f>'ACADEMIC SUPP 2yr'!Z47+'STU SERVICES 2yr'!Z47+'INST SUPPORT 2yr'!Z47</f>
        <v>325027.47899999999</v>
      </c>
      <c r="AA47" s="47">
        <f>'ACADEMIC SUPP 2yr'!AA47+'STU SERVICES 2yr'!AA47+'INST SUPPORT 2yr'!AA47</f>
        <v>327963.087</v>
      </c>
      <c r="AB47" s="47">
        <f>'ACADEMIC SUPP 2yr'!AB47+'STU SERVICES 2yr'!AB47+'INST SUPPORT 2yr'!AB47</f>
        <v>423245.29200000002</v>
      </c>
      <c r="AC47" s="47">
        <f>'ACADEMIC SUPP 2yr'!AC47+'STU SERVICES 2yr'!AC47+'INST SUPPORT 2yr'!AC47</f>
        <v>427100.57999999996</v>
      </c>
      <c r="AD47" s="47">
        <f>'ACADEMIC SUPP 2yr'!AD47+'STU SERVICES 2yr'!AD47+'INST SUPPORT 2yr'!AD47</f>
        <v>0</v>
      </c>
      <c r="AE47" s="47">
        <f>'ACADEMIC SUPP 2yr'!AE47+'STU SERVICES 2yr'!AE47+'INST SUPPORT 2yr'!AE47</f>
        <v>441478.75399999996</v>
      </c>
    </row>
    <row r="48" spans="1:31">
      <c r="A48" s="1" t="s">
        <v>63</v>
      </c>
      <c r="B48" s="47">
        <f>'ACADEMIC SUPP 2yr'!B48+'STU SERVICES 2yr'!B48+'INST SUPPORT 2yr'!B48</f>
        <v>0</v>
      </c>
      <c r="C48" s="47">
        <f>'ACADEMIC SUPP 2yr'!C48+'STU SERVICES 2yr'!C48+'INST SUPPORT 2yr'!C48</f>
        <v>0</v>
      </c>
      <c r="D48" s="47">
        <f>'ACADEMIC SUPP 2yr'!D48+'STU SERVICES 2yr'!D48+'INST SUPPORT 2yr'!D48</f>
        <v>0</v>
      </c>
      <c r="E48" s="47">
        <f>'ACADEMIC SUPP 2yr'!E48+'STU SERVICES 2yr'!E48+'INST SUPPORT 2yr'!E48</f>
        <v>0</v>
      </c>
      <c r="F48" s="47">
        <f>'ACADEMIC SUPP 2yr'!F48+'STU SERVICES 2yr'!F48+'INST SUPPORT 2yr'!F48</f>
        <v>63777.624000000003</v>
      </c>
      <c r="G48" s="47">
        <f>'ACADEMIC SUPP 2yr'!G48+'STU SERVICES 2yr'!G48+'INST SUPPORT 2yr'!G48</f>
        <v>0</v>
      </c>
      <c r="H48" s="47">
        <f>'ACADEMIC SUPP 2yr'!H48+'STU SERVICES 2yr'!H48+'INST SUPPORT 2yr'!H48</f>
        <v>0</v>
      </c>
      <c r="I48" s="47">
        <f>'ACADEMIC SUPP 2yr'!I48+'STU SERVICES 2yr'!I48+'INST SUPPORT 2yr'!I48</f>
        <v>28589.809999999998</v>
      </c>
      <c r="J48" s="47">
        <f>'ACADEMIC SUPP 2yr'!J48+'STU SERVICES 2yr'!J48+'INST SUPPORT 2yr'!J48</f>
        <v>0</v>
      </c>
      <c r="K48" s="47">
        <f>'ACADEMIC SUPP 2yr'!K48+'STU SERVICES 2yr'!K48+'INST SUPPORT 2yr'!K48</f>
        <v>97162.141999999993</v>
      </c>
      <c r="L48" s="47">
        <f>'ACADEMIC SUPP 2yr'!L48+'STU SERVICES 2yr'!L48+'INST SUPPORT 2yr'!L48</f>
        <v>49277.941000000006</v>
      </c>
      <c r="M48" s="47">
        <f>'ACADEMIC SUPP 2yr'!M48+'STU SERVICES 2yr'!M48+'INST SUPPORT 2yr'!M48</f>
        <v>62783.708000000006</v>
      </c>
      <c r="N48" s="47">
        <f>'ACADEMIC SUPP 2yr'!N48+'STU SERVICES 2yr'!N48+'INST SUPPORT 2yr'!N48</f>
        <v>52775.256999999998</v>
      </c>
      <c r="O48" s="47">
        <f>'ACADEMIC SUPP 2yr'!O48+'STU SERVICES 2yr'!O48+'INST SUPPORT 2yr'!O48</f>
        <v>57198.509000000005</v>
      </c>
      <c r="P48" s="47">
        <f>'ACADEMIC SUPP 2yr'!P48+'STU SERVICES 2yr'!P48+'INST SUPPORT 2yr'!P48</f>
        <v>60796.411999999997</v>
      </c>
      <c r="Q48" s="47">
        <f>'ACADEMIC SUPP 2yr'!Q48+'STU SERVICES 2yr'!Q48+'INST SUPPORT 2yr'!Q48</f>
        <v>67343.687000000005</v>
      </c>
      <c r="R48" s="47">
        <f>'ACADEMIC SUPP 2yr'!R48+'STU SERVICES 2yr'!R48+'INST SUPPORT 2yr'!R48</f>
        <v>73771.195000000007</v>
      </c>
      <c r="S48" s="47">
        <f>'ACADEMIC SUPP 2yr'!S48+'STU SERVICES 2yr'!S48+'INST SUPPORT 2yr'!S48</f>
        <v>76761.187999999995</v>
      </c>
      <c r="T48" s="47">
        <f>'ACADEMIC SUPP 2yr'!T48+'STU SERVICES 2yr'!T48+'INST SUPPORT 2yr'!T48</f>
        <v>86726.054999999993</v>
      </c>
      <c r="U48" s="47">
        <f>'ACADEMIC SUPP 2yr'!U48+'STU SERVICES 2yr'!U48+'INST SUPPORT 2yr'!U48</f>
        <v>97473.688999999998</v>
      </c>
      <c r="V48" s="47">
        <f>'ACADEMIC SUPP 2yr'!V48+'STU SERVICES 2yr'!V48+'INST SUPPORT 2yr'!V48</f>
        <v>109217.81200000001</v>
      </c>
      <c r="W48" s="47">
        <f>'ACADEMIC SUPP 2yr'!W48+'STU SERVICES 2yr'!W48+'INST SUPPORT 2yr'!W48</f>
        <v>198329.008</v>
      </c>
      <c r="X48" s="47">
        <f>'ACADEMIC SUPP 2yr'!X48+'STU SERVICES 2yr'!X48+'INST SUPPORT 2yr'!X48</f>
        <v>211820.747</v>
      </c>
      <c r="Y48" s="47">
        <f>'ACADEMIC SUPP 2yr'!Y48+'STU SERVICES 2yr'!Y48+'INST SUPPORT 2yr'!Y48</f>
        <v>205475.47</v>
      </c>
      <c r="Z48" s="47">
        <f>'ACADEMIC SUPP 2yr'!Z48+'STU SERVICES 2yr'!Z48+'INST SUPPORT 2yr'!Z48</f>
        <v>267943.18900000001</v>
      </c>
      <c r="AA48" s="47">
        <f>'ACADEMIC SUPP 2yr'!AA48+'STU SERVICES 2yr'!AA48+'INST SUPPORT 2yr'!AA48</f>
        <v>256484.106</v>
      </c>
      <c r="AB48" s="47">
        <f>'ACADEMIC SUPP 2yr'!AB48+'STU SERVICES 2yr'!AB48+'INST SUPPORT 2yr'!AB48</f>
        <v>283894.77500000002</v>
      </c>
      <c r="AC48" s="47">
        <f>'ACADEMIC SUPP 2yr'!AC48+'STU SERVICES 2yr'!AC48+'INST SUPPORT 2yr'!AC48</f>
        <v>282403.39800000004</v>
      </c>
      <c r="AD48" s="47">
        <f>'ACADEMIC SUPP 2yr'!AD48+'STU SERVICES 2yr'!AD48+'INST SUPPORT 2yr'!AD48</f>
        <v>0</v>
      </c>
      <c r="AE48" s="47">
        <f>'ACADEMIC SUPP 2yr'!AE48+'STU SERVICES 2yr'!AE48+'INST SUPPORT 2yr'!AE48</f>
        <v>286267.83600000001</v>
      </c>
    </row>
    <row r="49" spans="1:31">
      <c r="A49" s="1" t="s">
        <v>64</v>
      </c>
      <c r="B49" s="47">
        <f>'ACADEMIC SUPP 2yr'!B49+'STU SERVICES 2yr'!B49+'INST SUPPORT 2yr'!B49</f>
        <v>0</v>
      </c>
      <c r="C49" s="47">
        <f>'ACADEMIC SUPP 2yr'!C49+'STU SERVICES 2yr'!C49+'INST SUPPORT 2yr'!C49</f>
        <v>0</v>
      </c>
      <c r="D49" s="47">
        <f>'ACADEMIC SUPP 2yr'!D49+'STU SERVICES 2yr'!D49+'INST SUPPORT 2yr'!D49</f>
        <v>0</v>
      </c>
      <c r="E49" s="47">
        <f>'ACADEMIC SUPP 2yr'!E49+'STU SERVICES 2yr'!E49+'INST SUPPORT 2yr'!E49</f>
        <v>0</v>
      </c>
      <c r="F49" s="47">
        <f>'ACADEMIC SUPP 2yr'!F49+'STU SERVICES 2yr'!F49+'INST SUPPORT 2yr'!F49</f>
        <v>30534.481</v>
      </c>
      <c r="G49" s="47">
        <f>'ACADEMIC SUPP 2yr'!G49+'STU SERVICES 2yr'!G49+'INST SUPPORT 2yr'!G49</f>
        <v>0</v>
      </c>
      <c r="H49" s="47">
        <f>'ACADEMIC SUPP 2yr'!H49+'STU SERVICES 2yr'!H49+'INST SUPPORT 2yr'!H49</f>
        <v>0</v>
      </c>
      <c r="I49" s="47">
        <f>'ACADEMIC SUPP 2yr'!I49+'STU SERVICES 2yr'!I49+'INST SUPPORT 2yr'!I49</f>
        <v>34509.885999999999</v>
      </c>
      <c r="J49" s="47">
        <f>'ACADEMIC SUPP 2yr'!J49+'STU SERVICES 2yr'!J49+'INST SUPPORT 2yr'!J49</f>
        <v>0</v>
      </c>
      <c r="K49" s="47">
        <f>'ACADEMIC SUPP 2yr'!K49+'STU SERVICES 2yr'!K49+'INST SUPPORT 2yr'!K49</f>
        <v>51850.368000000002</v>
      </c>
      <c r="L49" s="47">
        <f>'ACADEMIC SUPP 2yr'!L49+'STU SERVICES 2yr'!L49+'INST SUPPORT 2yr'!L49</f>
        <v>62991.790999999997</v>
      </c>
      <c r="M49" s="47">
        <f>'ACADEMIC SUPP 2yr'!M49+'STU SERVICES 2yr'!M49+'INST SUPPORT 2yr'!M49</f>
        <v>66463.652000000002</v>
      </c>
      <c r="N49" s="47">
        <f>'ACADEMIC SUPP 2yr'!N49+'STU SERVICES 2yr'!N49+'INST SUPPORT 2yr'!N49</f>
        <v>69882.643000000011</v>
      </c>
      <c r="O49" s="47">
        <f>'ACADEMIC SUPP 2yr'!O49+'STU SERVICES 2yr'!O49+'INST SUPPORT 2yr'!O49</f>
        <v>74591.768000000011</v>
      </c>
      <c r="P49" s="47">
        <f>'ACADEMIC SUPP 2yr'!P49+'STU SERVICES 2yr'!P49+'INST SUPPORT 2yr'!P49</f>
        <v>78758.82699999999</v>
      </c>
      <c r="Q49" s="47">
        <f>'ACADEMIC SUPP 2yr'!Q49+'STU SERVICES 2yr'!Q49+'INST SUPPORT 2yr'!Q49</f>
        <v>80122.953999999998</v>
      </c>
      <c r="R49" s="47">
        <f>'ACADEMIC SUPP 2yr'!R49+'STU SERVICES 2yr'!R49+'INST SUPPORT 2yr'!R49</f>
        <v>84202.006999999998</v>
      </c>
      <c r="S49" s="47">
        <f>'ACADEMIC SUPP 2yr'!S49+'STU SERVICES 2yr'!S49+'INST SUPPORT 2yr'!S49</f>
        <v>88268.157999999996</v>
      </c>
      <c r="T49" s="47">
        <f>'ACADEMIC SUPP 2yr'!T49+'STU SERVICES 2yr'!T49+'INST SUPPORT 2yr'!T49</f>
        <v>93294.203000000009</v>
      </c>
      <c r="U49" s="47">
        <f>'ACADEMIC SUPP 2yr'!U49+'STU SERVICES 2yr'!U49+'INST SUPPORT 2yr'!U49</f>
        <v>98835.502000000008</v>
      </c>
      <c r="V49" s="47">
        <f>'ACADEMIC SUPP 2yr'!V49+'STU SERVICES 2yr'!V49+'INST SUPPORT 2yr'!V49</f>
        <v>119858.202</v>
      </c>
      <c r="W49" s="47">
        <f>'ACADEMIC SUPP 2yr'!W49+'STU SERVICES 2yr'!W49+'INST SUPPORT 2yr'!W49</f>
        <v>128637.96100000001</v>
      </c>
      <c r="X49" s="47">
        <f>'ACADEMIC SUPP 2yr'!X49+'STU SERVICES 2yr'!X49+'INST SUPPORT 2yr'!X49</f>
        <v>133639.22999999998</v>
      </c>
      <c r="Y49" s="47">
        <f>'ACADEMIC SUPP 2yr'!Y49+'STU SERVICES 2yr'!Y49+'INST SUPPORT 2yr'!Y49</f>
        <v>112410.63400000001</v>
      </c>
      <c r="Z49" s="47">
        <f>'ACADEMIC SUPP 2yr'!Z49+'STU SERVICES 2yr'!Z49+'INST SUPPORT 2yr'!Z49</f>
        <v>118585.155</v>
      </c>
      <c r="AA49" s="47">
        <f>'ACADEMIC SUPP 2yr'!AA49+'STU SERVICES 2yr'!AA49+'INST SUPPORT 2yr'!AA49</f>
        <v>127821.48999999999</v>
      </c>
      <c r="AB49" s="47">
        <f>'ACADEMIC SUPP 2yr'!AB49+'STU SERVICES 2yr'!AB49+'INST SUPPORT 2yr'!AB49</f>
        <v>167605.93700000001</v>
      </c>
      <c r="AC49" s="47">
        <f>'ACADEMIC SUPP 2yr'!AC49+'STU SERVICES 2yr'!AC49+'INST SUPPORT 2yr'!AC49</f>
        <v>172507.951</v>
      </c>
      <c r="AD49" s="47">
        <f>'ACADEMIC SUPP 2yr'!AD49+'STU SERVICES 2yr'!AD49+'INST SUPPORT 2yr'!AD49</f>
        <v>0</v>
      </c>
      <c r="AE49" s="47">
        <f>'ACADEMIC SUPP 2yr'!AE49+'STU SERVICES 2yr'!AE49+'INST SUPPORT 2yr'!AE49</f>
        <v>200378.00699999998</v>
      </c>
    </row>
    <row r="50" spans="1:31">
      <c r="A50" s="1" t="s">
        <v>65</v>
      </c>
      <c r="B50" s="47">
        <f>'ACADEMIC SUPP 2yr'!B50+'STU SERVICES 2yr'!B50+'INST SUPPORT 2yr'!B50</f>
        <v>0</v>
      </c>
      <c r="C50" s="47">
        <f>'ACADEMIC SUPP 2yr'!C50+'STU SERVICES 2yr'!C50+'INST SUPPORT 2yr'!C50</f>
        <v>0</v>
      </c>
      <c r="D50" s="47">
        <f>'ACADEMIC SUPP 2yr'!D50+'STU SERVICES 2yr'!D50+'INST SUPPORT 2yr'!D50</f>
        <v>0</v>
      </c>
      <c r="E50" s="47">
        <f>'ACADEMIC SUPP 2yr'!E50+'STU SERVICES 2yr'!E50+'INST SUPPORT 2yr'!E50</f>
        <v>0</v>
      </c>
      <c r="F50" s="47">
        <f>'ACADEMIC SUPP 2yr'!F50+'STU SERVICES 2yr'!F50+'INST SUPPORT 2yr'!F50</f>
        <v>11368.238000000001</v>
      </c>
      <c r="G50" s="47">
        <f>'ACADEMIC SUPP 2yr'!G50+'STU SERVICES 2yr'!G50+'INST SUPPORT 2yr'!G50</f>
        <v>0</v>
      </c>
      <c r="H50" s="47">
        <f>'ACADEMIC SUPP 2yr'!H50+'STU SERVICES 2yr'!H50+'INST SUPPORT 2yr'!H50</f>
        <v>0</v>
      </c>
      <c r="I50" s="47">
        <f>'ACADEMIC SUPP 2yr'!I50+'STU SERVICES 2yr'!I50+'INST SUPPORT 2yr'!I50</f>
        <v>12024.779999999999</v>
      </c>
      <c r="J50" s="47">
        <f>'ACADEMIC SUPP 2yr'!J50+'STU SERVICES 2yr'!J50+'INST SUPPORT 2yr'!J50</f>
        <v>0</v>
      </c>
      <c r="K50" s="47">
        <f>'ACADEMIC SUPP 2yr'!K50+'STU SERVICES 2yr'!K50+'INST SUPPORT 2yr'!K50</f>
        <v>13366.028010000002</v>
      </c>
      <c r="L50" s="47">
        <f>'ACADEMIC SUPP 2yr'!L50+'STU SERVICES 2yr'!L50+'INST SUPPORT 2yr'!L50</f>
        <v>18668.205000000002</v>
      </c>
      <c r="M50" s="47">
        <f>'ACADEMIC SUPP 2yr'!M50+'STU SERVICES 2yr'!M50+'INST SUPPORT 2yr'!M50</f>
        <v>14878.691999999999</v>
      </c>
      <c r="N50" s="47">
        <f>'ACADEMIC SUPP 2yr'!N50+'STU SERVICES 2yr'!N50+'INST SUPPORT 2yr'!N50</f>
        <v>16501.181</v>
      </c>
      <c r="O50" s="47">
        <f>'ACADEMIC SUPP 2yr'!O50+'STU SERVICES 2yr'!O50+'INST SUPPORT 2yr'!O50</f>
        <v>16437.364999999998</v>
      </c>
      <c r="P50" s="47">
        <f>'ACADEMIC SUPP 2yr'!P50+'STU SERVICES 2yr'!P50+'INST SUPPORT 2yr'!P50</f>
        <v>17162.779000000002</v>
      </c>
      <c r="Q50" s="47">
        <f>'ACADEMIC SUPP 2yr'!Q50+'STU SERVICES 2yr'!Q50+'INST SUPPORT 2yr'!Q50</f>
        <v>23115.521999999997</v>
      </c>
      <c r="R50" s="47">
        <f>'ACADEMIC SUPP 2yr'!R50+'STU SERVICES 2yr'!R50+'INST SUPPORT 2yr'!R50</f>
        <v>24922.311000000002</v>
      </c>
      <c r="S50" s="47">
        <f>'ACADEMIC SUPP 2yr'!S50+'STU SERVICES 2yr'!S50+'INST SUPPORT 2yr'!S50</f>
        <v>22301.411</v>
      </c>
      <c r="T50" s="47">
        <f>'ACADEMIC SUPP 2yr'!T50+'STU SERVICES 2yr'!T50+'INST SUPPORT 2yr'!T50</f>
        <v>16313.994999999999</v>
      </c>
      <c r="U50" s="47">
        <f>'ACADEMIC SUPP 2yr'!U50+'STU SERVICES 2yr'!U50+'INST SUPPORT 2yr'!U50</f>
        <v>27863.139000000003</v>
      </c>
      <c r="V50" s="47">
        <f>'ACADEMIC SUPP 2yr'!V50+'STU SERVICES 2yr'!V50+'INST SUPPORT 2yr'!V50</f>
        <v>33972.801999999996</v>
      </c>
      <c r="W50" s="47">
        <f>'ACADEMIC SUPP 2yr'!W50+'STU SERVICES 2yr'!W50+'INST SUPPORT 2yr'!W50</f>
        <v>37096.173999999999</v>
      </c>
      <c r="X50" s="47">
        <f>'ACADEMIC SUPP 2yr'!X50+'STU SERVICES 2yr'!X50+'INST SUPPORT 2yr'!X50</f>
        <v>40953.752</v>
      </c>
      <c r="Y50" s="47">
        <f>'ACADEMIC SUPP 2yr'!Y50+'STU SERVICES 2yr'!Y50+'INST SUPPORT 2yr'!Y50</f>
        <v>42880.008000000002</v>
      </c>
      <c r="Z50" s="47">
        <f>'ACADEMIC SUPP 2yr'!Z50+'STU SERVICES 2yr'!Z50+'INST SUPPORT 2yr'!Z50</f>
        <v>49527.383000000002</v>
      </c>
      <c r="AA50" s="47">
        <f>'ACADEMIC SUPP 2yr'!AA50+'STU SERVICES 2yr'!AA50+'INST SUPPORT 2yr'!AA50</f>
        <v>51199.588999999993</v>
      </c>
      <c r="AB50" s="47">
        <f>'ACADEMIC SUPP 2yr'!AB50+'STU SERVICES 2yr'!AB50+'INST SUPPORT 2yr'!AB50</f>
        <v>55395.576000000001</v>
      </c>
      <c r="AC50" s="47">
        <f>'ACADEMIC SUPP 2yr'!AC50+'STU SERVICES 2yr'!AC50+'INST SUPPORT 2yr'!AC50</f>
        <v>55270.513999999996</v>
      </c>
      <c r="AD50" s="47">
        <f>'ACADEMIC SUPP 2yr'!AD50+'STU SERVICES 2yr'!AD50+'INST SUPPORT 2yr'!AD50</f>
        <v>0</v>
      </c>
      <c r="AE50" s="47">
        <f>'ACADEMIC SUPP 2yr'!AE50+'STU SERVICES 2yr'!AE50+'INST SUPPORT 2yr'!AE50</f>
        <v>53608.040999999997</v>
      </c>
    </row>
    <row r="51" spans="1:31">
      <c r="A51" s="1" t="s">
        <v>66</v>
      </c>
      <c r="B51" s="47">
        <f>'ACADEMIC SUPP 2yr'!B51+'STU SERVICES 2yr'!B51+'INST SUPPORT 2yr'!B51</f>
        <v>0</v>
      </c>
      <c r="C51" s="47">
        <f>'ACADEMIC SUPP 2yr'!C51+'STU SERVICES 2yr'!C51+'INST SUPPORT 2yr'!C51</f>
        <v>0</v>
      </c>
      <c r="D51" s="47">
        <f>'ACADEMIC SUPP 2yr'!D51+'STU SERVICES 2yr'!D51+'INST SUPPORT 2yr'!D51</f>
        <v>0</v>
      </c>
      <c r="E51" s="47">
        <f>'ACADEMIC SUPP 2yr'!E51+'STU SERVICES 2yr'!E51+'INST SUPPORT 2yr'!E51</f>
        <v>0</v>
      </c>
      <c r="F51" s="47">
        <f>'ACADEMIC SUPP 2yr'!F51+'STU SERVICES 2yr'!F51+'INST SUPPORT 2yr'!F51</f>
        <v>167082.122</v>
      </c>
      <c r="G51" s="47">
        <f>'ACADEMIC SUPP 2yr'!G51+'STU SERVICES 2yr'!G51+'INST SUPPORT 2yr'!G51</f>
        <v>0</v>
      </c>
      <c r="H51" s="47">
        <f>'ACADEMIC SUPP 2yr'!H51+'STU SERVICES 2yr'!H51+'INST SUPPORT 2yr'!H51</f>
        <v>0</v>
      </c>
      <c r="I51" s="47">
        <f>'ACADEMIC SUPP 2yr'!I51+'STU SERVICES 2yr'!I51+'INST SUPPORT 2yr'!I51</f>
        <v>197712.326</v>
      </c>
      <c r="J51" s="47">
        <f>'ACADEMIC SUPP 2yr'!J51+'STU SERVICES 2yr'!J51+'INST SUPPORT 2yr'!J51</f>
        <v>0</v>
      </c>
      <c r="K51" s="47">
        <f>'ACADEMIC SUPP 2yr'!K51+'STU SERVICES 2yr'!K51+'INST SUPPORT 2yr'!K51</f>
        <v>219731.647</v>
      </c>
      <c r="L51" s="47">
        <f>'ACADEMIC SUPP 2yr'!L51+'STU SERVICES 2yr'!L51+'INST SUPPORT 2yr'!L51</f>
        <v>277427.511</v>
      </c>
      <c r="M51" s="47">
        <f>'ACADEMIC SUPP 2yr'!M51+'STU SERVICES 2yr'!M51+'INST SUPPORT 2yr'!M51</f>
        <v>295094.201</v>
      </c>
      <c r="N51" s="47">
        <f>'ACADEMIC SUPP 2yr'!N51+'STU SERVICES 2yr'!N51+'INST SUPPORT 2yr'!N51</f>
        <v>282643.04599999997</v>
      </c>
      <c r="O51" s="47">
        <f>'ACADEMIC SUPP 2yr'!O51+'STU SERVICES 2yr'!O51+'INST SUPPORT 2yr'!O51</f>
        <v>308948.533</v>
      </c>
      <c r="P51" s="47">
        <f>'ACADEMIC SUPP 2yr'!P51+'STU SERVICES 2yr'!P51+'INST SUPPORT 2yr'!P51</f>
        <v>313588.08400000003</v>
      </c>
      <c r="Q51" s="47">
        <f>'ACADEMIC SUPP 2yr'!Q51+'STU SERVICES 2yr'!Q51+'INST SUPPORT 2yr'!Q51</f>
        <v>324665.00699999998</v>
      </c>
      <c r="R51" s="47">
        <f>'ACADEMIC SUPP 2yr'!R51+'STU SERVICES 2yr'!R51+'INST SUPPORT 2yr'!R51</f>
        <v>346744.59699999995</v>
      </c>
      <c r="S51" s="47">
        <f>'ACADEMIC SUPP 2yr'!S51+'STU SERVICES 2yr'!S51+'INST SUPPORT 2yr'!S51</f>
        <v>352003.87</v>
      </c>
      <c r="T51" s="47">
        <f>'ACADEMIC SUPP 2yr'!T51+'STU SERVICES 2yr'!T51+'INST SUPPORT 2yr'!T51</f>
        <v>423948.43799999997</v>
      </c>
      <c r="U51" s="47">
        <f>'ACADEMIC SUPP 2yr'!U51+'STU SERVICES 2yr'!U51+'INST SUPPORT 2yr'!U51</f>
        <v>499313.56799999997</v>
      </c>
      <c r="V51" s="47">
        <f>'ACADEMIC SUPP 2yr'!V51+'STU SERVICES 2yr'!V51+'INST SUPPORT 2yr'!V51</f>
        <v>548998.29299999995</v>
      </c>
      <c r="W51" s="47">
        <f>'ACADEMIC SUPP 2yr'!W51+'STU SERVICES 2yr'!W51+'INST SUPPORT 2yr'!W51</f>
        <v>583536.76799999992</v>
      </c>
      <c r="X51" s="47">
        <f>'ACADEMIC SUPP 2yr'!X51+'STU SERVICES 2yr'!X51+'INST SUPPORT 2yr'!X51</f>
        <v>601817.34400000004</v>
      </c>
      <c r="Y51" s="47">
        <f>'ACADEMIC SUPP 2yr'!Y51+'STU SERVICES 2yr'!Y51+'INST SUPPORT 2yr'!Y51</f>
        <v>592624.82799999998</v>
      </c>
      <c r="Z51" s="47">
        <f>'ACADEMIC SUPP 2yr'!Z51+'STU SERVICES 2yr'!Z51+'INST SUPPORT 2yr'!Z51</f>
        <v>595612.96</v>
      </c>
      <c r="AA51" s="47">
        <f>'ACADEMIC SUPP 2yr'!AA51+'STU SERVICES 2yr'!AA51+'INST SUPPORT 2yr'!AA51</f>
        <v>590014.64199999999</v>
      </c>
      <c r="AB51" s="47">
        <f>'ACADEMIC SUPP 2yr'!AB51+'STU SERVICES 2yr'!AB51+'INST SUPPORT 2yr'!AB51</f>
        <v>606710.01199999999</v>
      </c>
      <c r="AC51" s="47">
        <f>'ACADEMIC SUPP 2yr'!AC51+'STU SERVICES 2yr'!AC51+'INST SUPPORT 2yr'!AC51</f>
        <v>638518.84499999997</v>
      </c>
      <c r="AD51" s="47">
        <f>'ACADEMIC SUPP 2yr'!AD51+'STU SERVICES 2yr'!AD51+'INST SUPPORT 2yr'!AD51</f>
        <v>0</v>
      </c>
      <c r="AE51" s="47">
        <f>'ACADEMIC SUPP 2yr'!AE51+'STU SERVICES 2yr'!AE51+'INST SUPPORT 2yr'!AE51</f>
        <v>641025.89899999998</v>
      </c>
    </row>
    <row r="52" spans="1:31">
      <c r="A52" s="1" t="s">
        <v>67</v>
      </c>
      <c r="B52" s="47">
        <f>'ACADEMIC SUPP 2yr'!B52+'STU SERVICES 2yr'!B52+'INST SUPPORT 2yr'!B52</f>
        <v>0</v>
      </c>
      <c r="C52" s="47">
        <f>'ACADEMIC SUPP 2yr'!C52+'STU SERVICES 2yr'!C52+'INST SUPPORT 2yr'!C52</f>
        <v>0</v>
      </c>
      <c r="D52" s="47">
        <f>'ACADEMIC SUPP 2yr'!D52+'STU SERVICES 2yr'!D52+'INST SUPPORT 2yr'!D52</f>
        <v>0</v>
      </c>
      <c r="E52" s="47">
        <f>'ACADEMIC SUPP 2yr'!E52+'STU SERVICES 2yr'!E52+'INST SUPPORT 2yr'!E52</f>
        <v>0</v>
      </c>
      <c r="F52" s="47">
        <f>'ACADEMIC SUPP 2yr'!F52+'STU SERVICES 2yr'!F52+'INST SUPPORT 2yr'!F52</f>
        <v>249.44</v>
      </c>
      <c r="G52" s="47">
        <f>'ACADEMIC SUPP 2yr'!G52+'STU SERVICES 2yr'!G52+'INST SUPPORT 2yr'!G52</f>
        <v>0</v>
      </c>
      <c r="H52" s="47">
        <f>'ACADEMIC SUPP 2yr'!H52+'STU SERVICES 2yr'!H52+'INST SUPPORT 2yr'!H52</f>
        <v>0</v>
      </c>
      <c r="I52" s="47">
        <f>'ACADEMIC SUPP 2yr'!I52+'STU SERVICES 2yr'!I52+'INST SUPPORT 2yr'!I52</f>
        <v>532.13300000000004</v>
      </c>
      <c r="J52" s="47">
        <f>'ACADEMIC SUPP 2yr'!J52+'STU SERVICES 2yr'!J52+'INST SUPPORT 2yr'!J52</f>
        <v>0</v>
      </c>
      <c r="K52" s="47">
        <f>'ACADEMIC SUPP 2yr'!K52+'STU SERVICES 2yr'!K52+'INST SUPPORT 2yr'!K52</f>
        <v>7618.0184999999965</v>
      </c>
      <c r="L52" s="47">
        <f>'ACADEMIC SUPP 2yr'!L52+'STU SERVICES 2yr'!L52+'INST SUPPORT 2yr'!L52</f>
        <v>9756.9650000000001</v>
      </c>
      <c r="M52" s="47">
        <f>'ACADEMIC SUPP 2yr'!M52+'STU SERVICES 2yr'!M52+'INST SUPPORT 2yr'!M52</f>
        <v>9591.3389999999999</v>
      </c>
      <c r="N52" s="47">
        <f>'ACADEMIC SUPP 2yr'!N52+'STU SERVICES 2yr'!N52+'INST SUPPORT 2yr'!N52</f>
        <v>10951.16</v>
      </c>
      <c r="O52" s="47">
        <f>'ACADEMIC SUPP 2yr'!O52+'STU SERVICES 2yr'!O52+'INST SUPPORT 2yr'!O52</f>
        <v>12180.011</v>
      </c>
      <c r="P52" s="47">
        <f>'ACADEMIC SUPP 2yr'!P52+'STU SERVICES 2yr'!P52+'INST SUPPORT 2yr'!P52</f>
        <v>9795.7439999999988</v>
      </c>
      <c r="Q52" s="47">
        <f>'ACADEMIC SUPP 2yr'!Q52+'STU SERVICES 2yr'!Q52+'INST SUPPORT 2yr'!Q52</f>
        <v>8686.4380000000001</v>
      </c>
      <c r="R52" s="47">
        <f>'ACADEMIC SUPP 2yr'!R52+'STU SERVICES 2yr'!R52+'INST SUPPORT 2yr'!R52</f>
        <v>10366.192999999999</v>
      </c>
      <c r="S52" s="47">
        <f>'ACADEMIC SUPP 2yr'!S52+'STU SERVICES 2yr'!S52+'INST SUPPORT 2yr'!S52</f>
        <v>15774.739</v>
      </c>
      <c r="T52" s="47">
        <f>'ACADEMIC SUPP 2yr'!T52+'STU SERVICES 2yr'!T52+'INST SUPPORT 2yr'!T52</f>
        <v>17135.645</v>
      </c>
      <c r="U52" s="47">
        <f>'ACADEMIC SUPP 2yr'!U52+'STU SERVICES 2yr'!U52+'INST SUPPORT 2yr'!U52</f>
        <v>23504.671000000002</v>
      </c>
      <c r="V52" s="47">
        <f>'ACADEMIC SUPP 2yr'!V52+'STU SERVICES 2yr'!V52+'INST SUPPORT 2yr'!V52</f>
        <v>19689.116999999998</v>
      </c>
      <c r="W52" s="47">
        <f>'ACADEMIC SUPP 2yr'!W52+'STU SERVICES 2yr'!W52+'INST SUPPORT 2yr'!W52</f>
        <v>21188.129000000001</v>
      </c>
      <c r="X52" s="47">
        <f>'ACADEMIC SUPP 2yr'!X52+'STU SERVICES 2yr'!X52+'INST SUPPORT 2yr'!X52</f>
        <v>20486.592000000001</v>
      </c>
      <c r="Y52" s="47">
        <f>'ACADEMIC SUPP 2yr'!Y52+'STU SERVICES 2yr'!Y52+'INST SUPPORT 2yr'!Y52</f>
        <v>30450.373</v>
      </c>
      <c r="Z52" s="47">
        <f>'ACADEMIC SUPP 2yr'!Z52+'STU SERVICES 2yr'!Z52+'INST SUPPORT 2yr'!Z52</f>
        <v>30970.374</v>
      </c>
      <c r="AA52" s="47">
        <f>'ACADEMIC SUPP 2yr'!AA52+'STU SERVICES 2yr'!AA52+'INST SUPPORT 2yr'!AA52</f>
        <v>34446.381000000001</v>
      </c>
      <c r="AB52" s="47">
        <f>'ACADEMIC SUPP 2yr'!AB52+'STU SERVICES 2yr'!AB52+'INST SUPPORT 2yr'!AB52</f>
        <v>34550.853000000003</v>
      </c>
      <c r="AC52" s="47">
        <f>'ACADEMIC SUPP 2yr'!AC52+'STU SERVICES 2yr'!AC52+'INST SUPPORT 2yr'!AC52</f>
        <v>33976.384000000005</v>
      </c>
      <c r="AD52" s="47">
        <f>'ACADEMIC SUPP 2yr'!AD52+'STU SERVICES 2yr'!AD52+'INST SUPPORT 2yr'!AD52</f>
        <v>0</v>
      </c>
      <c r="AE52" s="47">
        <f>'ACADEMIC SUPP 2yr'!AE52+'STU SERVICES 2yr'!AE52+'INST SUPPORT 2yr'!AE52</f>
        <v>37420.546000000002</v>
      </c>
    </row>
    <row r="53" spans="1:31">
      <c r="A53" s="23" t="s">
        <v>68</v>
      </c>
      <c r="B53" s="49">
        <f>'ACADEMIC SUPP 2yr'!B53+'STU SERVICES 2yr'!B53+'INST SUPPORT 2yr'!B53</f>
        <v>0</v>
      </c>
      <c r="C53" s="49">
        <f>'ACADEMIC SUPP 2yr'!C53+'STU SERVICES 2yr'!C53+'INST SUPPORT 2yr'!C53</f>
        <v>0</v>
      </c>
      <c r="D53" s="49">
        <f>'ACADEMIC SUPP 2yr'!D53+'STU SERVICES 2yr'!D53+'INST SUPPORT 2yr'!D53</f>
        <v>0</v>
      </c>
      <c r="E53" s="49">
        <f>'ACADEMIC SUPP 2yr'!E53+'STU SERVICES 2yr'!E53+'INST SUPPORT 2yr'!E53</f>
        <v>0</v>
      </c>
      <c r="F53" s="49">
        <f>'ACADEMIC SUPP 2yr'!F53+'STU SERVICES 2yr'!F53+'INST SUPPORT 2yr'!F53</f>
        <v>113682.98000000001</v>
      </c>
      <c r="G53" s="49">
        <f>'ACADEMIC SUPP 2yr'!G53+'STU SERVICES 2yr'!G53+'INST SUPPORT 2yr'!G53</f>
        <v>0</v>
      </c>
      <c r="H53" s="49">
        <f>'ACADEMIC SUPP 2yr'!H53+'STU SERVICES 2yr'!H53+'INST SUPPORT 2yr'!H53</f>
        <v>0</v>
      </c>
      <c r="I53" s="49">
        <f>'ACADEMIC SUPP 2yr'!I53+'STU SERVICES 2yr'!I53+'INST SUPPORT 2yr'!I53</f>
        <v>138886.62400000001</v>
      </c>
      <c r="J53" s="49">
        <f>'ACADEMIC SUPP 2yr'!J53+'STU SERVICES 2yr'!J53+'INST SUPPORT 2yr'!J53</f>
        <v>0</v>
      </c>
      <c r="K53" s="49">
        <f>'ACADEMIC SUPP 2yr'!K53+'STU SERVICES 2yr'!K53+'INST SUPPORT 2yr'!K53</f>
        <v>154580.552</v>
      </c>
      <c r="L53" s="49">
        <f>'ACADEMIC SUPP 2yr'!L53+'STU SERVICES 2yr'!L53+'INST SUPPORT 2yr'!L53</f>
        <v>188249.28399999999</v>
      </c>
      <c r="M53" s="49">
        <f>'ACADEMIC SUPP 2yr'!M53+'STU SERVICES 2yr'!M53+'INST SUPPORT 2yr'!M53</f>
        <v>202432.73200000002</v>
      </c>
      <c r="N53" s="49">
        <f>'ACADEMIC SUPP 2yr'!N53+'STU SERVICES 2yr'!N53+'INST SUPPORT 2yr'!N53</f>
        <v>217456.405</v>
      </c>
      <c r="O53" s="49">
        <f>'ACADEMIC SUPP 2yr'!O53+'STU SERVICES 2yr'!O53+'INST SUPPORT 2yr'!O53</f>
        <v>234835.65</v>
      </c>
      <c r="P53" s="49">
        <f>'ACADEMIC SUPP 2yr'!P53+'STU SERVICES 2yr'!P53+'INST SUPPORT 2yr'!P53</f>
        <v>241782.24599999998</v>
      </c>
      <c r="Q53" s="49">
        <f>'ACADEMIC SUPP 2yr'!Q53+'STU SERVICES 2yr'!Q53+'INST SUPPORT 2yr'!Q53</f>
        <v>257752.15399999998</v>
      </c>
      <c r="R53" s="49">
        <f>'ACADEMIC SUPP 2yr'!R53+'STU SERVICES 2yr'!R53+'INST SUPPORT 2yr'!R53</f>
        <v>269215.663</v>
      </c>
      <c r="S53" s="49">
        <f>'ACADEMIC SUPP 2yr'!S53+'STU SERVICES 2yr'!S53+'INST SUPPORT 2yr'!S53</f>
        <v>253267.97600000002</v>
      </c>
      <c r="T53" s="49">
        <f>'ACADEMIC SUPP 2yr'!T53+'STU SERVICES 2yr'!T53+'INST SUPPORT 2yr'!T53</f>
        <v>275238.66899999999</v>
      </c>
      <c r="U53" s="49">
        <f>'ACADEMIC SUPP 2yr'!U53+'STU SERVICES 2yr'!U53+'INST SUPPORT 2yr'!U53</f>
        <v>299727.45199999999</v>
      </c>
      <c r="V53" s="49">
        <f>'ACADEMIC SUPP 2yr'!V53+'STU SERVICES 2yr'!V53+'INST SUPPORT 2yr'!V53</f>
        <v>373401.71400000004</v>
      </c>
      <c r="W53" s="49">
        <f>'ACADEMIC SUPP 2yr'!W53+'STU SERVICES 2yr'!W53+'INST SUPPORT 2yr'!W53</f>
        <v>400458.19700000004</v>
      </c>
      <c r="X53" s="49">
        <f>'ACADEMIC SUPP 2yr'!X53+'STU SERVICES 2yr'!X53+'INST SUPPORT 2yr'!X53</f>
        <v>391516.12699999998</v>
      </c>
      <c r="Y53" s="49">
        <f>'ACADEMIC SUPP 2yr'!Y53+'STU SERVICES 2yr'!Y53+'INST SUPPORT 2yr'!Y53</f>
        <v>94907.206999999995</v>
      </c>
      <c r="Z53" s="49">
        <f>'ACADEMIC SUPP 2yr'!Z53+'STU SERVICES 2yr'!Z53+'INST SUPPORT 2yr'!Z53</f>
        <v>98576.877999999997</v>
      </c>
      <c r="AA53" s="49">
        <f>'ACADEMIC SUPP 2yr'!AA53+'STU SERVICES 2yr'!AA53+'INST SUPPORT 2yr'!AA53</f>
        <v>102404.344</v>
      </c>
      <c r="AB53" s="49">
        <f>'ACADEMIC SUPP 2yr'!AB53+'STU SERVICES 2yr'!AB53+'INST SUPPORT 2yr'!AB53</f>
        <v>435875.26500000001</v>
      </c>
      <c r="AC53" s="49">
        <f>'ACADEMIC SUPP 2yr'!AC53+'STU SERVICES 2yr'!AC53+'INST SUPPORT 2yr'!AC53</f>
        <v>432164.55099999998</v>
      </c>
      <c r="AD53" s="49">
        <f>'ACADEMIC SUPP 2yr'!AD53+'STU SERVICES 2yr'!AD53+'INST SUPPORT 2yr'!AD53</f>
        <v>0</v>
      </c>
      <c r="AE53" s="49">
        <f>'ACADEMIC SUPP 2yr'!AE53+'STU SERVICES 2yr'!AE53+'INST SUPPORT 2yr'!AE53</f>
        <v>391878.81599999999</v>
      </c>
    </row>
    <row r="54" spans="1:31">
      <c r="A54" s="7" t="s">
        <v>69</v>
      </c>
      <c r="B54" s="47">
        <f>'ACADEMIC SUPP 2yr'!B54+'STU SERVICES 2yr'!B54+'INST SUPPORT 2yr'!B54</f>
        <v>0</v>
      </c>
      <c r="C54" s="47">
        <f>'ACADEMIC SUPP 2yr'!C54+'STU SERVICES 2yr'!C54+'INST SUPPORT 2yr'!C54</f>
        <v>0</v>
      </c>
      <c r="D54" s="47">
        <f>'ACADEMIC SUPP 2yr'!D54+'STU SERVICES 2yr'!D54+'INST SUPPORT 2yr'!D54</f>
        <v>0</v>
      </c>
      <c r="E54" s="47">
        <f>'ACADEMIC SUPP 2yr'!E54+'STU SERVICES 2yr'!E54+'INST SUPPORT 2yr'!E54</f>
        <v>0</v>
      </c>
      <c r="F54" s="47">
        <f>'ACADEMIC SUPP 2yr'!F54+'STU SERVICES 2yr'!F54+'INST SUPPORT 2yr'!F54</f>
        <v>749238.21600000001</v>
      </c>
      <c r="G54" s="47">
        <f>'ACADEMIC SUPP 2yr'!G54+'STU SERVICES 2yr'!G54+'INST SUPPORT 2yr'!G54</f>
        <v>0</v>
      </c>
      <c r="H54" s="47">
        <f>'ACADEMIC SUPP 2yr'!H54+'STU SERVICES 2yr'!H54+'INST SUPPORT 2yr'!H54</f>
        <v>0</v>
      </c>
      <c r="I54" s="47">
        <f>'ACADEMIC SUPP 2yr'!I54+'STU SERVICES 2yr'!I54+'INST SUPPORT 2yr'!I54</f>
        <v>913855.16599999997</v>
      </c>
      <c r="J54" s="47">
        <f>'ACADEMIC SUPP 2yr'!J54+'STU SERVICES 2yr'!J54+'INST SUPPORT 2yr'!J54</f>
        <v>0</v>
      </c>
      <c r="K54" s="47">
        <f>'ACADEMIC SUPP 2yr'!K54+'STU SERVICES 2yr'!K54+'INST SUPPORT 2yr'!K54</f>
        <v>1064701.2766200001</v>
      </c>
      <c r="L54" s="47">
        <f>'ACADEMIC SUPP 2yr'!L54+'STU SERVICES 2yr'!L54+'INST SUPPORT 2yr'!L54</f>
        <v>1166781.4869999997</v>
      </c>
      <c r="M54" s="47">
        <f>'ACADEMIC SUPP 2yr'!M54+'STU SERVICES 2yr'!M54+'INST SUPPORT 2yr'!M54</f>
        <v>1316999.415</v>
      </c>
      <c r="N54" s="47">
        <f>'ACADEMIC SUPP 2yr'!N54+'STU SERVICES 2yr'!N54+'INST SUPPORT 2yr'!N54</f>
        <v>1375479.0079999999</v>
      </c>
      <c r="O54" s="47">
        <f>'ACADEMIC SUPP 2yr'!O54+'STU SERVICES 2yr'!O54+'INST SUPPORT 2yr'!O54</f>
        <v>1447872.6489999997</v>
      </c>
      <c r="P54" s="47">
        <f>'ACADEMIC SUPP 2yr'!P54+'STU SERVICES 2yr'!P54+'INST SUPPORT 2yr'!P54</f>
        <v>1539187.0130000003</v>
      </c>
      <c r="Q54" s="47">
        <f>'ACADEMIC SUPP 2yr'!Q54+'STU SERVICES 2yr'!Q54+'INST SUPPORT 2yr'!Q54</f>
        <v>1625740.2140000002</v>
      </c>
      <c r="R54" s="47">
        <f>'ACADEMIC SUPP 2yr'!R54+'STU SERVICES 2yr'!R54+'INST SUPPORT 2yr'!R54</f>
        <v>1704880.3129999998</v>
      </c>
      <c r="S54" s="47">
        <f>'ACADEMIC SUPP 2yr'!S54+'STU SERVICES 2yr'!S54+'INST SUPPORT 2yr'!S54</f>
        <v>1821798.412</v>
      </c>
      <c r="T54" s="47">
        <f>'ACADEMIC SUPP 2yr'!T54+'STU SERVICES 2yr'!T54+'INST SUPPORT 2yr'!T54</f>
        <v>1993300.2920000001</v>
      </c>
      <c r="U54" s="47">
        <f>'ACADEMIC SUPP 2yr'!U54+'STU SERVICES 2yr'!U54+'INST SUPPORT 2yr'!U54</f>
        <v>2231173.3529999997</v>
      </c>
      <c r="V54" s="47">
        <f>'ACADEMIC SUPP 2yr'!V54+'STU SERVICES 2yr'!V54+'INST SUPPORT 2yr'!V54</f>
        <v>2608082.7540000002</v>
      </c>
      <c r="W54" s="47">
        <f>'ACADEMIC SUPP 2yr'!W54+'STU SERVICES 2yr'!W54+'INST SUPPORT 2yr'!W54</f>
        <v>2702106.9579999996</v>
      </c>
      <c r="X54" s="47">
        <f>'ACADEMIC SUPP 2yr'!X54+'STU SERVICES 2yr'!X54+'INST SUPPORT 2yr'!X54</f>
        <v>2746076.0559999999</v>
      </c>
      <c r="Y54" s="47">
        <f>'ACADEMIC SUPP 2yr'!Y54+'STU SERVICES 2yr'!Y54+'INST SUPPORT 2yr'!Y54</f>
        <v>2831945.2890000003</v>
      </c>
      <c r="Z54" s="47">
        <f>'ACADEMIC SUPP 2yr'!Z54+'STU SERVICES 2yr'!Z54+'INST SUPPORT 2yr'!Z54</f>
        <v>2952761.773</v>
      </c>
      <c r="AA54" s="47">
        <f>'ACADEMIC SUPP 2yr'!AA54+'STU SERVICES 2yr'!AA54+'INST SUPPORT 2yr'!AA54</f>
        <v>2957084.5599999996</v>
      </c>
      <c r="AB54" s="47">
        <f>'ACADEMIC SUPP 2yr'!AB54+'STU SERVICES 2yr'!AB54+'INST SUPPORT 2yr'!AB54</f>
        <v>2925117.4019999998</v>
      </c>
      <c r="AC54" s="47">
        <f>'ACADEMIC SUPP 2yr'!AC54+'STU SERVICES 2yr'!AC54+'INST SUPPORT 2yr'!AC54</f>
        <v>2955904.2420000006</v>
      </c>
      <c r="AD54" s="47">
        <f>'ACADEMIC SUPP 2yr'!AD54+'STU SERVICES 2yr'!AD54+'INST SUPPORT 2yr'!AD54</f>
        <v>0</v>
      </c>
      <c r="AE54" s="47">
        <f>'ACADEMIC SUPP 2yr'!AE54+'STU SERVICES 2yr'!AE54+'INST SUPPORT 2yr'!AE54</f>
        <v>2886285.4280000003</v>
      </c>
    </row>
    <row r="55" spans="1:31">
      <c r="A55" s="7" t="s">
        <v>97</v>
      </c>
      <c r="B55" s="47">
        <f>'ACADEMIC SUPP 2yr'!B55+'STU SERVICES 2yr'!B55+'INST SUPPORT 2yr'!B55</f>
        <v>0</v>
      </c>
      <c r="C55" s="47">
        <f>'ACADEMIC SUPP 2yr'!C55+'STU SERVICES 2yr'!C55+'INST SUPPORT 2yr'!C55</f>
        <v>0</v>
      </c>
      <c r="D55" s="47">
        <f>'ACADEMIC SUPP 2yr'!D55+'STU SERVICES 2yr'!D55+'INST SUPPORT 2yr'!D55</f>
        <v>0</v>
      </c>
      <c r="E55" s="47">
        <f>'ACADEMIC SUPP 2yr'!E55+'STU SERVICES 2yr'!E55+'INST SUPPORT 2yr'!E55</f>
        <v>0</v>
      </c>
      <c r="F55" s="47">
        <f>'ACADEMIC SUPP 2yr'!F55+'STU SERVICES 2yr'!F55+'INST SUPPORT 2yr'!F55</f>
        <v>0</v>
      </c>
      <c r="G55" s="47">
        <f>'ACADEMIC SUPP 2yr'!G55+'STU SERVICES 2yr'!G55+'INST SUPPORT 2yr'!G55</f>
        <v>0</v>
      </c>
      <c r="H55" s="47">
        <f>'ACADEMIC SUPP 2yr'!H55+'STU SERVICES 2yr'!H55+'INST SUPPORT 2yr'!H55</f>
        <v>0</v>
      </c>
      <c r="I55" s="47">
        <f>'ACADEMIC SUPP 2yr'!I55+'STU SERVICES 2yr'!I55+'INST SUPPORT 2yr'!I55</f>
        <v>0</v>
      </c>
      <c r="J55" s="47">
        <f>'ACADEMIC SUPP 2yr'!J55+'STU SERVICES 2yr'!J55+'INST SUPPORT 2yr'!J55</f>
        <v>0</v>
      </c>
      <c r="K55" s="47">
        <f>'ACADEMIC SUPP 2yr'!K55+'STU SERVICES 2yr'!K55+'INST SUPPORT 2yr'!K55</f>
        <v>0</v>
      </c>
      <c r="L55" s="47">
        <f>'ACADEMIC SUPP 2yr'!L55+'STU SERVICES 2yr'!L55+'INST SUPPORT 2yr'!L55</f>
        <v>0</v>
      </c>
      <c r="M55" s="47">
        <f>'ACADEMIC SUPP 2yr'!M55+'STU SERVICES 2yr'!M55+'INST SUPPORT 2yr'!M55</f>
        <v>0</v>
      </c>
      <c r="N55" s="47">
        <f>'ACADEMIC SUPP 2yr'!N55+'STU SERVICES 2yr'!N55+'INST SUPPORT 2yr'!N55</f>
        <v>0</v>
      </c>
      <c r="O55" s="47">
        <f>'ACADEMIC SUPP 2yr'!O55+'STU SERVICES 2yr'!O55+'INST SUPPORT 2yr'!O55</f>
        <v>0</v>
      </c>
      <c r="P55" s="47">
        <f>'ACADEMIC SUPP 2yr'!P55+'STU SERVICES 2yr'!P55+'INST SUPPORT 2yr'!P55</f>
        <v>0</v>
      </c>
      <c r="Q55" s="47">
        <f>'ACADEMIC SUPP 2yr'!Q55+'STU SERVICES 2yr'!Q55+'INST SUPPORT 2yr'!Q55</f>
        <v>0</v>
      </c>
      <c r="R55" s="47">
        <f>'ACADEMIC SUPP 2yr'!R55+'STU SERVICES 2yr'!R55+'INST SUPPORT 2yr'!R55</f>
        <v>0</v>
      </c>
      <c r="S55" s="47">
        <f>'ACADEMIC SUPP 2yr'!S55+'STU SERVICES 2yr'!S55+'INST SUPPORT 2yr'!S55</f>
        <v>0</v>
      </c>
      <c r="T55" s="47">
        <f>'ACADEMIC SUPP 2yr'!T55+'STU SERVICES 2yr'!T55+'INST SUPPORT 2yr'!T55</f>
        <v>0</v>
      </c>
      <c r="U55" s="47">
        <f>'ACADEMIC SUPP 2yr'!U55+'STU SERVICES 2yr'!U55+'INST SUPPORT 2yr'!U55</f>
        <v>0</v>
      </c>
      <c r="V55" s="47">
        <f>'ACADEMIC SUPP 2yr'!V55+'STU SERVICES 2yr'!V55+'INST SUPPORT 2yr'!V55</f>
        <v>0</v>
      </c>
      <c r="W55" s="47">
        <f>'ACADEMIC SUPP 2yr'!W55+'STU SERVICES 2yr'!W55+'INST SUPPORT 2yr'!W55</f>
        <v>0</v>
      </c>
      <c r="X55" s="47">
        <f>'ACADEMIC SUPP 2yr'!X55+'STU SERVICES 2yr'!X55+'INST SUPPORT 2yr'!X55</f>
        <v>0</v>
      </c>
      <c r="Y55" s="47">
        <f>'ACADEMIC SUPP 2yr'!Y55+'STU SERVICES 2yr'!Y55+'INST SUPPORT 2yr'!Y55</f>
        <v>0</v>
      </c>
      <c r="Z55" s="47">
        <f>'ACADEMIC SUPP 2yr'!Z55+'STU SERVICES 2yr'!Z55+'INST SUPPORT 2yr'!Z55</f>
        <v>0</v>
      </c>
      <c r="AA55" s="47">
        <f>'ACADEMIC SUPP 2yr'!AA55+'STU SERVICES 2yr'!AA55+'INST SUPPORT 2yr'!AA55</f>
        <v>0</v>
      </c>
      <c r="AB55" s="47">
        <f>'ACADEMIC SUPP 2yr'!AB55+'STU SERVICES 2yr'!AB55+'INST SUPPORT 2yr'!AB55</f>
        <v>0</v>
      </c>
      <c r="AC55" s="47">
        <f>'ACADEMIC SUPP 2yr'!AC55+'STU SERVICES 2yr'!AC55+'INST SUPPORT 2yr'!AC55</f>
        <v>0</v>
      </c>
      <c r="AD55" s="47">
        <f>'ACADEMIC SUPP 2yr'!AD55+'STU SERVICES 2yr'!AD55+'INST SUPPORT 2yr'!AD55</f>
        <v>0</v>
      </c>
      <c r="AE55" s="47">
        <f>'ACADEMIC SUPP 2yr'!AE55+'STU SERVICES 2yr'!AE55+'INST SUPPORT 2yr'!AE55</f>
        <v>0</v>
      </c>
    </row>
    <row r="56" spans="1:31">
      <c r="A56" s="1" t="s">
        <v>70</v>
      </c>
      <c r="B56" s="47">
        <f>'ACADEMIC SUPP 2yr'!B56+'STU SERVICES 2yr'!B56+'INST SUPPORT 2yr'!B56</f>
        <v>0</v>
      </c>
      <c r="C56" s="47">
        <f>'ACADEMIC SUPP 2yr'!C56+'STU SERVICES 2yr'!C56+'INST SUPPORT 2yr'!C56</f>
        <v>0</v>
      </c>
      <c r="D56" s="47">
        <f>'ACADEMIC SUPP 2yr'!D56+'STU SERVICES 2yr'!D56+'INST SUPPORT 2yr'!D56</f>
        <v>0</v>
      </c>
      <c r="E56" s="47">
        <f>'ACADEMIC SUPP 2yr'!E56+'STU SERVICES 2yr'!E56+'INST SUPPORT 2yr'!E56</f>
        <v>0</v>
      </c>
      <c r="F56" s="47">
        <f>'ACADEMIC SUPP 2yr'!F56+'STU SERVICES 2yr'!F56+'INST SUPPORT 2yr'!F56</f>
        <v>56842.539999999994</v>
      </c>
      <c r="G56" s="47"/>
      <c r="H56" s="47">
        <f>'ACADEMIC SUPP 2yr'!H56+'STU SERVICES 2yr'!H56+'INST SUPPORT 2yr'!H56</f>
        <v>0</v>
      </c>
      <c r="I56" s="47">
        <f>'ACADEMIC SUPP 2yr'!I56+'STU SERVICES 2yr'!I56+'INST SUPPORT 2yr'!I56</f>
        <v>60051.144</v>
      </c>
      <c r="J56" s="47">
        <f>'ACADEMIC SUPP 2yr'!J56+'STU SERVICES 2yr'!J56+'INST SUPPORT 2yr'!J56</f>
        <v>0</v>
      </c>
      <c r="K56" s="47">
        <f>'ACADEMIC SUPP 2yr'!K56+'STU SERVICES 2yr'!K56+'INST SUPPORT 2yr'!K56</f>
        <v>84821.226380000007</v>
      </c>
      <c r="L56" s="47">
        <f>'ACADEMIC SUPP 2yr'!L56+'STU SERVICES 2yr'!L56+'INST SUPPORT 2yr'!L56</f>
        <v>106152.897</v>
      </c>
      <c r="M56" s="47">
        <f>'ACADEMIC SUPP 2yr'!M56+'STU SERVICES 2yr'!M56+'INST SUPPORT 2yr'!M56</f>
        <v>107196.02600000001</v>
      </c>
      <c r="N56" s="47">
        <f>'ACADEMIC SUPP 2yr'!N56+'STU SERVICES 2yr'!N56+'INST SUPPORT 2yr'!N56</f>
        <v>115720.99600000001</v>
      </c>
      <c r="O56" s="47">
        <f>'ACADEMIC SUPP 2yr'!O56+'STU SERVICES 2yr'!O56+'INST SUPPORT 2yr'!O56</f>
        <v>116230.448</v>
      </c>
      <c r="P56" s="47">
        <f>'ACADEMIC SUPP 2yr'!P56+'STU SERVICES 2yr'!P56+'INST SUPPORT 2yr'!P56</f>
        <v>119850.52099999999</v>
      </c>
      <c r="Q56" s="47">
        <f>'ACADEMIC SUPP 2yr'!Q56+'STU SERVICES 2yr'!Q56+'INST SUPPORT 2yr'!Q56</f>
        <v>130518.01899999999</v>
      </c>
      <c r="R56" s="47">
        <f>'ACADEMIC SUPP 2yr'!R56+'STU SERVICES 2yr'!R56+'INST SUPPORT 2yr'!R56</f>
        <v>137218.00400000002</v>
      </c>
      <c r="S56" s="47">
        <f>'ACADEMIC SUPP 2yr'!S56+'STU SERVICES 2yr'!S56+'INST SUPPORT 2yr'!S56</f>
        <v>145773.522</v>
      </c>
      <c r="T56" s="47">
        <f>'ACADEMIC SUPP 2yr'!T56+'STU SERVICES 2yr'!T56+'INST SUPPORT 2yr'!T56</f>
        <v>163397.973</v>
      </c>
      <c r="U56" s="47">
        <f>'ACADEMIC SUPP 2yr'!U56+'STU SERVICES 2yr'!U56+'INST SUPPORT 2yr'!U56</f>
        <v>172847.78600000002</v>
      </c>
      <c r="V56" s="47">
        <f>'ACADEMIC SUPP 2yr'!V56+'STU SERVICES 2yr'!V56+'INST SUPPORT 2yr'!V56</f>
        <v>194538.49900000001</v>
      </c>
      <c r="W56" s="47">
        <f>'ACADEMIC SUPP 2yr'!W56+'STU SERVICES 2yr'!W56+'INST SUPPORT 2yr'!W56</f>
        <v>197784.05900000001</v>
      </c>
      <c r="X56" s="47">
        <f>'ACADEMIC SUPP 2yr'!X56+'STU SERVICES 2yr'!X56+'INST SUPPORT 2yr'!X56</f>
        <v>196458.70599999998</v>
      </c>
      <c r="Y56" s="47">
        <f>'ACADEMIC SUPP 2yr'!Y56+'STU SERVICES 2yr'!Y56+'INST SUPPORT 2yr'!Y56</f>
        <v>199461.70199999999</v>
      </c>
      <c r="Z56" s="47">
        <f>'ACADEMIC SUPP 2yr'!Z56+'STU SERVICES 2yr'!Z56+'INST SUPPORT 2yr'!Z56</f>
        <v>211629.00200000001</v>
      </c>
      <c r="AA56" s="47">
        <f>'ACADEMIC SUPP 2yr'!AA56+'STU SERVICES 2yr'!AA56+'INST SUPPORT 2yr'!AA56</f>
        <v>224292.62399999998</v>
      </c>
      <c r="AB56" s="47">
        <f>'ACADEMIC SUPP 2yr'!AB56+'STU SERVICES 2yr'!AB56+'INST SUPPORT 2yr'!AB56</f>
        <v>195393.94399999999</v>
      </c>
      <c r="AC56" s="47">
        <f>'ACADEMIC SUPP 2yr'!AC56+'STU SERVICES 2yr'!AC56+'INST SUPPORT 2yr'!AC56</f>
        <v>194741.89200000002</v>
      </c>
      <c r="AD56" s="47">
        <f>'ACADEMIC SUPP 2yr'!AD56+'STU SERVICES 2yr'!AD56+'INST SUPPORT 2yr'!AD56</f>
        <v>0</v>
      </c>
      <c r="AE56" s="47">
        <f>'ACADEMIC SUPP 2yr'!AE56+'STU SERVICES 2yr'!AE56+'INST SUPPORT 2yr'!AE56</f>
        <v>184964.29299999998</v>
      </c>
    </row>
    <row r="57" spans="1:31">
      <c r="A57" s="1" t="s">
        <v>71</v>
      </c>
      <c r="B57" s="47">
        <f>'ACADEMIC SUPP 2yr'!B57+'STU SERVICES 2yr'!B57+'INST SUPPORT 2yr'!B57</f>
        <v>0</v>
      </c>
      <c r="C57" s="47">
        <f>'ACADEMIC SUPP 2yr'!C57+'STU SERVICES 2yr'!C57+'INST SUPPORT 2yr'!C57</f>
        <v>0</v>
      </c>
      <c r="D57" s="47">
        <f>'ACADEMIC SUPP 2yr'!D57+'STU SERVICES 2yr'!D57+'INST SUPPORT 2yr'!D57</f>
        <v>0</v>
      </c>
      <c r="E57" s="47">
        <f>'ACADEMIC SUPP 2yr'!E57+'STU SERVICES 2yr'!E57+'INST SUPPORT 2yr'!E57</f>
        <v>0</v>
      </c>
      <c r="F57" s="47">
        <f>'ACADEMIC SUPP 2yr'!F57+'STU SERVICES 2yr'!F57+'INST SUPPORT 2yr'!F57</f>
        <v>10901.255999999999</v>
      </c>
      <c r="G57" s="47">
        <f>'ACADEMIC SUPP 2yr'!G57+'STU SERVICES 2yr'!G57+'INST SUPPORT 2yr'!G57</f>
        <v>0</v>
      </c>
      <c r="H57" s="47">
        <f>'ACADEMIC SUPP 2yr'!H57+'STU SERVICES 2yr'!H57+'INST SUPPORT 2yr'!H57</f>
        <v>0</v>
      </c>
      <c r="I57" s="47">
        <f>'ACADEMIC SUPP 2yr'!I57+'STU SERVICES 2yr'!I57+'INST SUPPORT 2yr'!I57</f>
        <v>13340.585999999999</v>
      </c>
      <c r="J57" s="47">
        <f>'ACADEMIC SUPP 2yr'!J57+'STU SERVICES 2yr'!J57+'INST SUPPORT 2yr'!J57</f>
        <v>0</v>
      </c>
      <c r="K57" s="47">
        <f>'ACADEMIC SUPP 2yr'!K57+'STU SERVICES 2yr'!K57+'INST SUPPORT 2yr'!K57</f>
        <v>15166.312999999998</v>
      </c>
      <c r="L57" s="47">
        <f>'ACADEMIC SUPP 2yr'!L57+'STU SERVICES 2yr'!L57+'INST SUPPORT 2yr'!L57</f>
        <v>20080.828000000001</v>
      </c>
      <c r="M57" s="47">
        <f>'ACADEMIC SUPP 2yr'!M57+'STU SERVICES 2yr'!M57+'INST SUPPORT 2yr'!M57</f>
        <v>20770.659</v>
      </c>
      <c r="N57" s="47">
        <f>'ACADEMIC SUPP 2yr'!N57+'STU SERVICES 2yr'!N57+'INST SUPPORT 2yr'!N57</f>
        <v>21639.589</v>
      </c>
      <c r="O57" s="47">
        <f>'ACADEMIC SUPP 2yr'!O57+'STU SERVICES 2yr'!O57+'INST SUPPORT 2yr'!O57</f>
        <v>22574.451999999997</v>
      </c>
      <c r="P57" s="47">
        <f>'ACADEMIC SUPP 2yr'!P57+'STU SERVICES 2yr'!P57+'INST SUPPORT 2yr'!P57</f>
        <v>24172.52</v>
      </c>
      <c r="Q57" s="47">
        <f>'ACADEMIC SUPP 2yr'!Q57+'STU SERVICES 2yr'!Q57+'INST SUPPORT 2yr'!Q57</f>
        <v>24539.275000000001</v>
      </c>
      <c r="R57" s="47">
        <f>'ACADEMIC SUPP 2yr'!R57+'STU SERVICES 2yr'!R57+'INST SUPPORT 2yr'!R57</f>
        <v>25742.200999999997</v>
      </c>
      <c r="S57" s="47">
        <f>'ACADEMIC SUPP 2yr'!S57+'STU SERVICES 2yr'!S57+'INST SUPPORT 2yr'!S57</f>
        <v>26930.698000000004</v>
      </c>
      <c r="T57" s="47">
        <f>'ACADEMIC SUPP 2yr'!T57+'STU SERVICES 2yr'!T57+'INST SUPPORT 2yr'!T57</f>
        <v>29905.963</v>
      </c>
      <c r="U57" s="47">
        <f>'ACADEMIC SUPP 2yr'!U57+'STU SERVICES 2yr'!U57+'INST SUPPORT 2yr'!U57</f>
        <v>38033.362000000001</v>
      </c>
      <c r="V57" s="47">
        <f>'ACADEMIC SUPP 2yr'!V57+'STU SERVICES 2yr'!V57+'INST SUPPORT 2yr'!V57</f>
        <v>38681.284</v>
      </c>
      <c r="W57" s="47">
        <f>'ACADEMIC SUPP 2yr'!W57+'STU SERVICES 2yr'!W57+'INST SUPPORT 2yr'!W57</f>
        <v>40539.491000000002</v>
      </c>
      <c r="X57" s="47">
        <f>'ACADEMIC SUPP 2yr'!X57+'STU SERVICES 2yr'!X57+'INST SUPPORT 2yr'!X57</f>
        <v>43330.449000000001</v>
      </c>
      <c r="Y57" s="47">
        <f>'ACADEMIC SUPP 2yr'!Y57+'STU SERVICES 2yr'!Y57+'INST SUPPORT 2yr'!Y57</f>
        <v>45417.284</v>
      </c>
      <c r="Z57" s="47">
        <f>'ACADEMIC SUPP 2yr'!Z57+'STU SERVICES 2yr'!Z57+'INST SUPPORT 2yr'!Z57</f>
        <v>45527.668000000005</v>
      </c>
      <c r="AA57" s="47">
        <f>'ACADEMIC SUPP 2yr'!AA57+'STU SERVICES 2yr'!AA57+'INST SUPPORT 2yr'!AA57</f>
        <v>47837.112000000001</v>
      </c>
      <c r="AB57" s="47">
        <f>'ACADEMIC SUPP 2yr'!AB57+'STU SERVICES 2yr'!AB57+'INST SUPPORT 2yr'!AB57</f>
        <v>47736.751999999993</v>
      </c>
      <c r="AC57" s="47">
        <f>'ACADEMIC SUPP 2yr'!AC57+'STU SERVICES 2yr'!AC57+'INST SUPPORT 2yr'!AC57</f>
        <v>49320.551999999996</v>
      </c>
      <c r="AD57" s="47">
        <f>'ACADEMIC SUPP 2yr'!AD57+'STU SERVICES 2yr'!AD57+'INST SUPPORT 2yr'!AD57</f>
        <v>0</v>
      </c>
      <c r="AE57" s="47">
        <f>'ACADEMIC SUPP 2yr'!AE57+'STU SERVICES 2yr'!AE57+'INST SUPPORT 2yr'!AE57</f>
        <v>51904.517</v>
      </c>
    </row>
    <row r="58" spans="1:31" s="11" customFormat="1">
      <c r="A58" s="1" t="s">
        <v>72</v>
      </c>
      <c r="B58" s="47">
        <f>'ACADEMIC SUPP 2yr'!B58+'STU SERVICES 2yr'!B58+'INST SUPPORT 2yr'!B58</f>
        <v>0</v>
      </c>
      <c r="C58" s="47">
        <f>'ACADEMIC SUPP 2yr'!C58+'STU SERVICES 2yr'!C58+'INST SUPPORT 2yr'!C58</f>
        <v>0</v>
      </c>
      <c r="D58" s="47">
        <f>'ACADEMIC SUPP 2yr'!D58+'STU SERVICES 2yr'!D58+'INST SUPPORT 2yr'!D58</f>
        <v>0</v>
      </c>
      <c r="E58" s="47">
        <f>'ACADEMIC SUPP 2yr'!E58+'STU SERVICES 2yr'!E58+'INST SUPPORT 2yr'!E58</f>
        <v>0</v>
      </c>
      <c r="F58" s="47">
        <f>'ACADEMIC SUPP 2yr'!F58+'STU SERVICES 2yr'!F58+'INST SUPPORT 2yr'!F58</f>
        <v>83256.008000000002</v>
      </c>
      <c r="G58" s="47">
        <f>'ACADEMIC SUPP 2yr'!G58+'STU SERVICES 2yr'!G58+'INST SUPPORT 2yr'!G58</f>
        <v>0</v>
      </c>
      <c r="H58" s="47">
        <f>'ACADEMIC SUPP 2yr'!H58+'STU SERVICES 2yr'!H58+'INST SUPPORT 2yr'!H58</f>
        <v>0</v>
      </c>
      <c r="I58" s="47">
        <f>'ACADEMIC SUPP 2yr'!I58+'STU SERVICES 2yr'!I58+'INST SUPPORT 2yr'!I58</f>
        <v>122870.54200000002</v>
      </c>
      <c r="J58" s="47">
        <f>'ACADEMIC SUPP 2yr'!J58+'STU SERVICES 2yr'!J58+'INST SUPPORT 2yr'!J58</f>
        <v>0</v>
      </c>
      <c r="K58" s="47">
        <f>'ACADEMIC SUPP 2yr'!K58+'STU SERVICES 2yr'!K58+'INST SUPPORT 2yr'!K58</f>
        <v>142947.02399999998</v>
      </c>
      <c r="L58" s="47">
        <f>'ACADEMIC SUPP 2yr'!L58+'STU SERVICES 2yr'!L58+'INST SUPPORT 2yr'!L58</f>
        <v>181584.48699999999</v>
      </c>
      <c r="M58" s="47">
        <f>'ACADEMIC SUPP 2yr'!M58+'STU SERVICES 2yr'!M58+'INST SUPPORT 2yr'!M58</f>
        <v>198998.435</v>
      </c>
      <c r="N58" s="47">
        <f>'ACADEMIC SUPP 2yr'!N58+'STU SERVICES 2yr'!N58+'INST SUPPORT 2yr'!N58</f>
        <v>196116.87599999999</v>
      </c>
      <c r="O58" s="47">
        <f>'ACADEMIC SUPP 2yr'!O58+'STU SERVICES 2yr'!O58+'INST SUPPORT 2yr'!O58</f>
        <v>193034.84</v>
      </c>
      <c r="P58" s="47">
        <f>'ACADEMIC SUPP 2yr'!P58+'STU SERVICES 2yr'!P58+'INST SUPPORT 2yr'!P58</f>
        <v>203012.85500000001</v>
      </c>
      <c r="Q58" s="47">
        <f>'ACADEMIC SUPP 2yr'!Q58+'STU SERVICES 2yr'!Q58+'INST SUPPORT 2yr'!Q58</f>
        <v>218476.85399999999</v>
      </c>
      <c r="R58" s="47">
        <f>'ACADEMIC SUPP 2yr'!R58+'STU SERVICES 2yr'!R58+'INST SUPPORT 2yr'!R58</f>
        <v>237797.99900000001</v>
      </c>
      <c r="S58" s="47">
        <f>'ACADEMIC SUPP 2yr'!S58+'STU SERVICES 2yr'!S58+'INST SUPPORT 2yr'!S58</f>
        <v>250339.13200000001</v>
      </c>
      <c r="T58" s="47">
        <f>'ACADEMIC SUPP 2yr'!T58+'STU SERVICES 2yr'!T58+'INST SUPPORT 2yr'!T58</f>
        <v>264240.98600000003</v>
      </c>
      <c r="U58" s="47">
        <f>'ACADEMIC SUPP 2yr'!U58+'STU SERVICES 2yr'!U58+'INST SUPPORT 2yr'!U58</f>
        <v>255126.88500000001</v>
      </c>
      <c r="V58" s="47">
        <f>'ACADEMIC SUPP 2yr'!V58+'STU SERVICES 2yr'!V58+'INST SUPPORT 2yr'!V58</f>
        <v>299661.05200000003</v>
      </c>
      <c r="W58" s="47">
        <f>'ACADEMIC SUPP 2yr'!W58+'STU SERVICES 2yr'!W58+'INST SUPPORT 2yr'!W58</f>
        <v>319484.48200000002</v>
      </c>
      <c r="X58" s="47">
        <f>'ACADEMIC SUPP 2yr'!X58+'STU SERVICES 2yr'!X58+'INST SUPPORT 2yr'!X58</f>
        <v>335008.01100000006</v>
      </c>
      <c r="Y58" s="47">
        <f>'ACADEMIC SUPP 2yr'!Y58+'STU SERVICES 2yr'!Y58+'INST SUPPORT 2yr'!Y58</f>
        <v>344580.15399999998</v>
      </c>
      <c r="Z58" s="47">
        <f>'ACADEMIC SUPP 2yr'!Z58+'STU SERVICES 2yr'!Z58+'INST SUPPORT 2yr'!Z58</f>
        <v>365072.55900000001</v>
      </c>
      <c r="AA58" s="47">
        <f>'ACADEMIC SUPP 2yr'!AA58+'STU SERVICES 2yr'!AA58+'INST SUPPORT 2yr'!AA58</f>
        <v>388391.326</v>
      </c>
      <c r="AB58" s="47">
        <f>'ACADEMIC SUPP 2yr'!AB58+'STU SERVICES 2yr'!AB58+'INST SUPPORT 2yr'!AB58</f>
        <v>387394.62899999996</v>
      </c>
      <c r="AC58" s="47">
        <f>'ACADEMIC SUPP 2yr'!AC58+'STU SERVICES 2yr'!AC58+'INST SUPPORT 2yr'!AC58</f>
        <v>399573.13599999994</v>
      </c>
      <c r="AD58" s="47">
        <f>'ACADEMIC SUPP 2yr'!AD58+'STU SERVICES 2yr'!AD58+'INST SUPPORT 2yr'!AD58</f>
        <v>0</v>
      </c>
      <c r="AE58" s="47">
        <f>'ACADEMIC SUPP 2yr'!AE58+'STU SERVICES 2yr'!AE58+'INST SUPPORT 2yr'!AE58</f>
        <v>405187.82899999997</v>
      </c>
    </row>
    <row r="59" spans="1:31">
      <c r="A59" s="1" t="s">
        <v>73</v>
      </c>
      <c r="B59" s="47">
        <f>'ACADEMIC SUPP 2yr'!B59+'STU SERVICES 2yr'!B59+'INST SUPPORT 2yr'!B59</f>
        <v>0</v>
      </c>
      <c r="C59" s="47">
        <f>'ACADEMIC SUPP 2yr'!C59+'STU SERVICES 2yr'!C59+'INST SUPPORT 2yr'!C59</f>
        <v>0</v>
      </c>
      <c r="D59" s="47">
        <f>'ACADEMIC SUPP 2yr'!D59+'STU SERVICES 2yr'!D59+'INST SUPPORT 2yr'!D59</f>
        <v>0</v>
      </c>
      <c r="E59" s="47">
        <f>'ACADEMIC SUPP 2yr'!E59+'STU SERVICES 2yr'!E59+'INST SUPPORT 2yr'!E59</f>
        <v>0</v>
      </c>
      <c r="F59" s="47">
        <f>'ACADEMIC SUPP 2yr'!F59+'STU SERVICES 2yr'!F59+'INST SUPPORT 2yr'!F59</f>
        <v>9499.8349999999991</v>
      </c>
      <c r="G59" s="47">
        <f>'ACADEMIC SUPP 2yr'!G59+'STU SERVICES 2yr'!G59+'INST SUPPORT 2yr'!G59</f>
        <v>0</v>
      </c>
      <c r="H59" s="47">
        <f>'ACADEMIC SUPP 2yr'!H59+'STU SERVICES 2yr'!H59+'INST SUPPORT 2yr'!H59</f>
        <v>0</v>
      </c>
      <c r="I59" s="47">
        <f>'ACADEMIC SUPP 2yr'!I59+'STU SERVICES 2yr'!I59+'INST SUPPORT 2yr'!I59</f>
        <v>16250.873000000001</v>
      </c>
      <c r="J59" s="47">
        <f>'ACADEMIC SUPP 2yr'!J59+'STU SERVICES 2yr'!J59+'INST SUPPORT 2yr'!J59</f>
        <v>0</v>
      </c>
      <c r="K59" s="47">
        <f>'ACADEMIC SUPP 2yr'!K59+'STU SERVICES 2yr'!K59+'INST SUPPORT 2yr'!K59</f>
        <v>20643.48271</v>
      </c>
      <c r="L59" s="47">
        <f>'ACADEMIC SUPP 2yr'!L59+'STU SERVICES 2yr'!L59+'INST SUPPORT 2yr'!L59</f>
        <v>20476.095999999998</v>
      </c>
      <c r="M59" s="47">
        <f>'ACADEMIC SUPP 2yr'!M59+'STU SERVICES 2yr'!M59+'INST SUPPORT 2yr'!M59</f>
        <v>21662.987000000001</v>
      </c>
      <c r="N59" s="47">
        <f>'ACADEMIC SUPP 2yr'!N59+'STU SERVICES 2yr'!N59+'INST SUPPORT 2yr'!N59</f>
        <v>23517.95</v>
      </c>
      <c r="O59" s="47">
        <f>'ACADEMIC SUPP 2yr'!O59+'STU SERVICES 2yr'!O59+'INST SUPPORT 2yr'!O59</f>
        <v>25842.241000000002</v>
      </c>
      <c r="P59" s="47">
        <f>'ACADEMIC SUPP 2yr'!P59+'STU SERVICES 2yr'!P59+'INST SUPPORT 2yr'!P59</f>
        <v>28157.664000000001</v>
      </c>
      <c r="Q59" s="47">
        <f>'ACADEMIC SUPP 2yr'!Q59+'STU SERVICES 2yr'!Q59+'INST SUPPORT 2yr'!Q59</f>
        <v>31393.897000000001</v>
      </c>
      <c r="R59" s="47">
        <f>'ACADEMIC SUPP 2yr'!R59+'STU SERVICES 2yr'!R59+'INST SUPPORT 2yr'!R59</f>
        <v>27987.628000000001</v>
      </c>
      <c r="S59" s="47">
        <f>'ACADEMIC SUPP 2yr'!S59+'STU SERVICES 2yr'!S59+'INST SUPPORT 2yr'!S59</f>
        <v>38344.504000000001</v>
      </c>
      <c r="T59" s="47">
        <f>'ACADEMIC SUPP 2yr'!T59+'STU SERVICES 2yr'!T59+'INST SUPPORT 2yr'!T59</f>
        <v>39217.883999999998</v>
      </c>
      <c r="U59" s="47">
        <f>'ACADEMIC SUPP 2yr'!U59+'STU SERVICES 2yr'!U59+'INST SUPPORT 2yr'!U59</f>
        <v>44479.37</v>
      </c>
      <c r="V59" s="47">
        <f>'ACADEMIC SUPP 2yr'!V59+'STU SERVICES 2yr'!V59+'INST SUPPORT 2yr'!V59</f>
        <v>63019.858</v>
      </c>
      <c r="W59" s="47">
        <f>'ACADEMIC SUPP 2yr'!W59+'STU SERVICES 2yr'!W59+'INST SUPPORT 2yr'!W59</f>
        <v>76015.491999999998</v>
      </c>
      <c r="X59" s="47">
        <f>'ACADEMIC SUPP 2yr'!X59+'STU SERVICES 2yr'!X59+'INST SUPPORT 2yr'!X59</f>
        <v>53361.747000000003</v>
      </c>
      <c r="Y59" s="47">
        <f>'ACADEMIC SUPP 2yr'!Y59+'STU SERVICES 2yr'!Y59+'INST SUPPORT 2yr'!Y59</f>
        <v>54002.114999999998</v>
      </c>
      <c r="Z59" s="47">
        <f>'ACADEMIC SUPP 2yr'!Z59+'STU SERVICES 2yr'!Z59+'INST SUPPORT 2yr'!Z59</f>
        <v>54274.347000000002</v>
      </c>
      <c r="AA59" s="47">
        <f>'ACADEMIC SUPP 2yr'!AA59+'STU SERVICES 2yr'!AA59+'INST SUPPORT 2yr'!AA59</f>
        <v>56979.013999999996</v>
      </c>
      <c r="AB59" s="47">
        <f>'ACADEMIC SUPP 2yr'!AB59+'STU SERVICES 2yr'!AB59+'INST SUPPORT 2yr'!AB59</f>
        <v>56076.368000000002</v>
      </c>
      <c r="AC59" s="47">
        <f>'ACADEMIC SUPP 2yr'!AC59+'STU SERVICES 2yr'!AC59+'INST SUPPORT 2yr'!AC59</f>
        <v>57732.896999999997</v>
      </c>
      <c r="AD59" s="47">
        <f>'ACADEMIC SUPP 2yr'!AD59+'STU SERVICES 2yr'!AD59+'INST SUPPORT 2yr'!AD59</f>
        <v>0</v>
      </c>
      <c r="AE59" s="47">
        <f>'ACADEMIC SUPP 2yr'!AE59+'STU SERVICES 2yr'!AE59+'INST SUPPORT 2yr'!AE59</f>
        <v>42176.067999999999</v>
      </c>
    </row>
    <row r="60" spans="1:31">
      <c r="A60" s="1" t="s">
        <v>74</v>
      </c>
      <c r="B60" s="47">
        <f>'ACADEMIC SUPP 2yr'!B60+'STU SERVICES 2yr'!B60+'INST SUPPORT 2yr'!B60</f>
        <v>0</v>
      </c>
      <c r="C60" s="47">
        <f>'ACADEMIC SUPP 2yr'!C60+'STU SERVICES 2yr'!C60+'INST SUPPORT 2yr'!C60</f>
        <v>0</v>
      </c>
      <c r="D60" s="47">
        <f>'ACADEMIC SUPP 2yr'!D60+'STU SERVICES 2yr'!D60+'INST SUPPORT 2yr'!D60</f>
        <v>0</v>
      </c>
      <c r="E60" s="47">
        <f>'ACADEMIC SUPP 2yr'!E60+'STU SERVICES 2yr'!E60+'INST SUPPORT 2yr'!E60</f>
        <v>0</v>
      </c>
      <c r="F60" s="47">
        <f>'ACADEMIC SUPP 2yr'!F60+'STU SERVICES 2yr'!F60+'INST SUPPORT 2yr'!F60</f>
        <v>155432.85499999998</v>
      </c>
      <c r="G60" s="47">
        <f>'ACADEMIC SUPP 2yr'!G60+'STU SERVICES 2yr'!G60+'INST SUPPORT 2yr'!G60</f>
        <v>0</v>
      </c>
      <c r="H60" s="47">
        <f>'ACADEMIC SUPP 2yr'!H60+'STU SERVICES 2yr'!H60+'INST SUPPORT 2yr'!H60</f>
        <v>0</v>
      </c>
      <c r="I60" s="47">
        <f>'ACADEMIC SUPP 2yr'!I60+'STU SERVICES 2yr'!I60+'INST SUPPORT 2yr'!I60</f>
        <v>186319.33100000001</v>
      </c>
      <c r="J60" s="47">
        <f>'ACADEMIC SUPP 2yr'!J60+'STU SERVICES 2yr'!J60+'INST SUPPORT 2yr'!J60</f>
        <v>0</v>
      </c>
      <c r="K60" s="47">
        <f>'ACADEMIC SUPP 2yr'!K60+'STU SERVICES 2yr'!K60+'INST SUPPORT 2yr'!K60</f>
        <v>202467.36199999999</v>
      </c>
      <c r="L60" s="47">
        <f>'ACADEMIC SUPP 2yr'!L60+'STU SERVICES 2yr'!L60+'INST SUPPORT 2yr'!L60</f>
        <v>225687.09299999999</v>
      </c>
      <c r="M60" s="47">
        <f>'ACADEMIC SUPP 2yr'!M60+'STU SERVICES 2yr'!M60+'INST SUPPORT 2yr'!M60</f>
        <v>247055.91100000002</v>
      </c>
      <c r="N60" s="47">
        <f>'ACADEMIC SUPP 2yr'!N60+'STU SERVICES 2yr'!N60+'INST SUPPORT 2yr'!N60</f>
        <v>254849.38699999999</v>
      </c>
      <c r="O60" s="47">
        <f>'ACADEMIC SUPP 2yr'!O60+'STU SERVICES 2yr'!O60+'INST SUPPORT 2yr'!O60</f>
        <v>279654.97400000005</v>
      </c>
      <c r="P60" s="47">
        <f>'ACADEMIC SUPP 2yr'!P60+'STU SERVICES 2yr'!P60+'INST SUPPORT 2yr'!P60</f>
        <v>300749.71399999998</v>
      </c>
      <c r="Q60" s="47">
        <f>'ACADEMIC SUPP 2yr'!Q60+'STU SERVICES 2yr'!Q60+'INST SUPPORT 2yr'!Q60</f>
        <v>312584.03500000003</v>
      </c>
      <c r="R60" s="47">
        <f>'ACADEMIC SUPP 2yr'!R60+'STU SERVICES 2yr'!R60+'INST SUPPORT 2yr'!R60</f>
        <v>322191.69299999997</v>
      </c>
      <c r="S60" s="47">
        <f>'ACADEMIC SUPP 2yr'!S60+'STU SERVICES 2yr'!S60+'INST SUPPORT 2yr'!S60</f>
        <v>330565.34000000003</v>
      </c>
      <c r="T60" s="47">
        <f>'ACADEMIC SUPP 2yr'!T60+'STU SERVICES 2yr'!T60+'INST SUPPORT 2yr'!T60</f>
        <v>365091.78</v>
      </c>
      <c r="U60" s="47">
        <f>'ACADEMIC SUPP 2yr'!U60+'STU SERVICES 2yr'!U60+'INST SUPPORT 2yr'!U60</f>
        <v>392457.61699999997</v>
      </c>
      <c r="V60" s="47">
        <f>'ACADEMIC SUPP 2yr'!V60+'STU SERVICES 2yr'!V60+'INST SUPPORT 2yr'!V60</f>
        <v>479518.66200000001</v>
      </c>
      <c r="W60" s="47">
        <f>'ACADEMIC SUPP 2yr'!W60+'STU SERVICES 2yr'!W60+'INST SUPPORT 2yr'!W60</f>
        <v>488439.511</v>
      </c>
      <c r="X60" s="47">
        <f>'ACADEMIC SUPP 2yr'!X60+'STU SERVICES 2yr'!X60+'INST SUPPORT 2yr'!X60</f>
        <v>487614.14799999999</v>
      </c>
      <c r="Y60" s="47">
        <f>'ACADEMIC SUPP 2yr'!Y60+'STU SERVICES 2yr'!Y60+'INST SUPPORT 2yr'!Y60</f>
        <v>484767.60499999998</v>
      </c>
      <c r="Z60" s="47">
        <f>'ACADEMIC SUPP 2yr'!Z60+'STU SERVICES 2yr'!Z60+'INST SUPPORT 2yr'!Z60</f>
        <v>486999.40599999996</v>
      </c>
      <c r="AA60" s="47">
        <f>'ACADEMIC SUPP 2yr'!AA60+'STU SERVICES 2yr'!AA60+'INST SUPPORT 2yr'!AA60</f>
        <v>484306.79300000001</v>
      </c>
      <c r="AB60" s="47">
        <f>'ACADEMIC SUPP 2yr'!AB60+'STU SERVICES 2yr'!AB60+'INST SUPPORT 2yr'!AB60</f>
        <v>465756.78500000003</v>
      </c>
      <c r="AC60" s="47">
        <f>'ACADEMIC SUPP 2yr'!AC60+'STU SERVICES 2yr'!AC60+'INST SUPPORT 2yr'!AC60</f>
        <v>495002.63899999997</v>
      </c>
      <c r="AD60" s="47">
        <f>'ACADEMIC SUPP 2yr'!AD60+'STU SERVICES 2yr'!AD60+'INST SUPPORT 2yr'!AD60</f>
        <v>0</v>
      </c>
      <c r="AE60" s="47">
        <f>'ACADEMIC SUPP 2yr'!AE60+'STU SERVICES 2yr'!AE60+'INST SUPPORT 2yr'!AE60</f>
        <v>485106.10800000001</v>
      </c>
    </row>
    <row r="61" spans="1:31">
      <c r="A61" s="1" t="s">
        <v>75</v>
      </c>
      <c r="B61" s="47">
        <f>'ACADEMIC SUPP 2yr'!B61+'STU SERVICES 2yr'!B61+'INST SUPPORT 2yr'!B61</f>
        <v>0</v>
      </c>
      <c r="C61" s="47">
        <f>'ACADEMIC SUPP 2yr'!C61+'STU SERVICES 2yr'!C61+'INST SUPPORT 2yr'!C61</f>
        <v>0</v>
      </c>
      <c r="D61" s="47">
        <f>'ACADEMIC SUPP 2yr'!D61+'STU SERVICES 2yr'!D61+'INST SUPPORT 2yr'!D61</f>
        <v>0</v>
      </c>
      <c r="E61" s="47">
        <f>'ACADEMIC SUPP 2yr'!E61+'STU SERVICES 2yr'!E61+'INST SUPPORT 2yr'!E61</f>
        <v>0</v>
      </c>
      <c r="F61" s="47">
        <f>'ACADEMIC SUPP 2yr'!F61+'STU SERVICES 2yr'!F61+'INST SUPPORT 2yr'!F61</f>
        <v>293134.21499999997</v>
      </c>
      <c r="G61" s="47">
        <f>'ACADEMIC SUPP 2yr'!G61+'STU SERVICES 2yr'!G61+'INST SUPPORT 2yr'!G61</f>
        <v>0</v>
      </c>
      <c r="H61" s="47">
        <f>'ACADEMIC SUPP 2yr'!H61+'STU SERVICES 2yr'!H61+'INST SUPPORT 2yr'!H61</f>
        <v>0</v>
      </c>
      <c r="I61" s="47">
        <f>'ACADEMIC SUPP 2yr'!I61+'STU SERVICES 2yr'!I61+'INST SUPPORT 2yr'!I61</f>
        <v>356506.93200000003</v>
      </c>
      <c r="J61" s="47">
        <f>'ACADEMIC SUPP 2yr'!J61+'STU SERVICES 2yr'!J61+'INST SUPPORT 2yr'!J61</f>
        <v>0</v>
      </c>
      <c r="K61" s="47">
        <f>'ACADEMIC SUPP 2yr'!K61+'STU SERVICES 2yr'!K61+'INST SUPPORT 2yr'!K61</f>
        <v>421409.52800000005</v>
      </c>
      <c r="L61" s="47">
        <f>'ACADEMIC SUPP 2yr'!L61+'STU SERVICES 2yr'!L61+'INST SUPPORT 2yr'!L61</f>
        <v>418255.98499999999</v>
      </c>
      <c r="M61" s="47">
        <f>'ACADEMIC SUPP 2yr'!M61+'STU SERVICES 2yr'!M61+'INST SUPPORT 2yr'!M61</f>
        <v>512516.85099999997</v>
      </c>
      <c r="N61" s="47">
        <f>'ACADEMIC SUPP 2yr'!N61+'STU SERVICES 2yr'!N61+'INST SUPPORT 2yr'!N61</f>
        <v>538951.75300000003</v>
      </c>
      <c r="O61" s="47">
        <f>'ACADEMIC SUPP 2yr'!O61+'STU SERVICES 2yr'!O61+'INST SUPPORT 2yr'!O61</f>
        <v>565481.72600000002</v>
      </c>
      <c r="P61" s="47">
        <f>'ACADEMIC SUPP 2yr'!P61+'STU SERVICES 2yr'!P61+'INST SUPPORT 2yr'!P61</f>
        <v>599003.94200000004</v>
      </c>
      <c r="Q61" s="47">
        <f>'ACADEMIC SUPP 2yr'!Q61+'STU SERVICES 2yr'!Q61+'INST SUPPORT 2yr'!Q61</f>
        <v>624085.90599999996</v>
      </c>
      <c r="R61" s="47">
        <f>'ACADEMIC SUPP 2yr'!R61+'STU SERVICES 2yr'!R61+'INST SUPPORT 2yr'!R61</f>
        <v>651355.19999999995</v>
      </c>
      <c r="S61" s="47">
        <f>'ACADEMIC SUPP 2yr'!S61+'STU SERVICES 2yr'!S61+'INST SUPPORT 2yr'!S61</f>
        <v>719306.96100000001</v>
      </c>
      <c r="T61" s="47">
        <f>'ACADEMIC SUPP 2yr'!T61+'STU SERVICES 2yr'!T61+'INST SUPPORT 2yr'!T61</f>
        <v>771034.25499999989</v>
      </c>
      <c r="U61" s="47">
        <f>'ACADEMIC SUPP 2yr'!U61+'STU SERVICES 2yr'!U61+'INST SUPPORT 2yr'!U61</f>
        <v>915976.83499999996</v>
      </c>
      <c r="V61" s="47">
        <f>'ACADEMIC SUPP 2yr'!V61+'STU SERVICES 2yr'!V61+'INST SUPPORT 2yr'!V61</f>
        <v>1080337.2540000002</v>
      </c>
      <c r="W61" s="47">
        <f>'ACADEMIC SUPP 2yr'!W61+'STU SERVICES 2yr'!W61+'INST SUPPORT 2yr'!W61</f>
        <v>1113827.2620000001</v>
      </c>
      <c r="X61" s="47">
        <f>'ACADEMIC SUPP 2yr'!X61+'STU SERVICES 2yr'!X61+'INST SUPPORT 2yr'!X61</f>
        <v>1142437.3470000001</v>
      </c>
      <c r="Y61" s="47">
        <f>'ACADEMIC SUPP 2yr'!Y61+'STU SERVICES 2yr'!Y61+'INST SUPPORT 2yr'!Y61</f>
        <v>1188076.023</v>
      </c>
      <c r="Z61" s="47">
        <f>'ACADEMIC SUPP 2yr'!Z61+'STU SERVICES 2yr'!Z61+'INST SUPPORT 2yr'!Z61</f>
        <v>1260184.943</v>
      </c>
      <c r="AA61" s="47">
        <f>'ACADEMIC SUPP 2yr'!AA61+'STU SERVICES 2yr'!AA61+'INST SUPPORT 2yr'!AA61</f>
        <v>1228780.8999999999</v>
      </c>
      <c r="AB61" s="47">
        <f>'ACADEMIC SUPP 2yr'!AB61+'STU SERVICES 2yr'!AB61+'INST SUPPORT 2yr'!AB61</f>
        <v>1267043.247</v>
      </c>
      <c r="AC61" s="47">
        <f>'ACADEMIC SUPP 2yr'!AC61+'STU SERVICES 2yr'!AC61+'INST SUPPORT 2yr'!AC61</f>
        <v>1248295.6430000002</v>
      </c>
      <c r="AD61" s="47">
        <f>'ACADEMIC SUPP 2yr'!AD61+'STU SERVICES 2yr'!AD61+'INST SUPPORT 2yr'!AD61</f>
        <v>0</v>
      </c>
      <c r="AE61" s="47">
        <f>'ACADEMIC SUPP 2yr'!AE61+'STU SERVICES 2yr'!AE61+'INST SUPPORT 2yr'!AE61</f>
        <v>1203306.557</v>
      </c>
    </row>
    <row r="62" spans="1:31">
      <c r="A62" s="1" t="s">
        <v>76</v>
      </c>
      <c r="B62" s="47">
        <f>'ACADEMIC SUPP 2yr'!B62+'STU SERVICES 2yr'!B62+'INST SUPPORT 2yr'!B62</f>
        <v>0</v>
      </c>
      <c r="C62" s="47">
        <f>'ACADEMIC SUPP 2yr'!C62+'STU SERVICES 2yr'!C62+'INST SUPPORT 2yr'!C62</f>
        <v>0</v>
      </c>
      <c r="D62" s="47">
        <f>'ACADEMIC SUPP 2yr'!D62+'STU SERVICES 2yr'!D62+'INST SUPPORT 2yr'!D62</f>
        <v>0</v>
      </c>
      <c r="E62" s="47">
        <f>'ACADEMIC SUPP 2yr'!E62+'STU SERVICES 2yr'!E62+'INST SUPPORT 2yr'!E62</f>
        <v>0</v>
      </c>
      <c r="F62" s="47">
        <f>'ACADEMIC SUPP 2yr'!F62+'STU SERVICES 2yr'!F62+'INST SUPPORT 2yr'!F62</f>
        <v>119245.993</v>
      </c>
      <c r="G62" s="47">
        <f>'ACADEMIC SUPP 2yr'!G62+'STU SERVICES 2yr'!G62+'INST SUPPORT 2yr'!G62</f>
        <v>0</v>
      </c>
      <c r="H62" s="47">
        <f>'ACADEMIC SUPP 2yr'!H62+'STU SERVICES 2yr'!H62+'INST SUPPORT 2yr'!H62</f>
        <v>0</v>
      </c>
      <c r="I62" s="47">
        <f>'ACADEMIC SUPP 2yr'!I62+'STU SERVICES 2yr'!I62+'INST SUPPORT 2yr'!I62</f>
        <v>138423.80300000001</v>
      </c>
      <c r="J62" s="47">
        <f>'ACADEMIC SUPP 2yr'!J62+'STU SERVICES 2yr'!J62+'INST SUPPORT 2yr'!J62</f>
        <v>0</v>
      </c>
      <c r="K62" s="47">
        <f>'ACADEMIC SUPP 2yr'!K62+'STU SERVICES 2yr'!K62+'INST SUPPORT 2yr'!K62</f>
        <v>154935.51053000003</v>
      </c>
      <c r="L62" s="47">
        <f>'ACADEMIC SUPP 2yr'!L62+'STU SERVICES 2yr'!L62+'INST SUPPORT 2yr'!L62</f>
        <v>168232.655</v>
      </c>
      <c r="M62" s="47">
        <f>'ACADEMIC SUPP 2yr'!M62+'STU SERVICES 2yr'!M62+'INST SUPPORT 2yr'!M62</f>
        <v>180725.15299999999</v>
      </c>
      <c r="N62" s="47">
        <f>'ACADEMIC SUPP 2yr'!N62+'STU SERVICES 2yr'!N62+'INST SUPPORT 2yr'!N62</f>
        <v>193930.73700000002</v>
      </c>
      <c r="O62" s="47">
        <f>'ACADEMIC SUPP 2yr'!O62+'STU SERVICES 2yr'!O62+'INST SUPPORT 2yr'!O62</f>
        <v>212063.55</v>
      </c>
      <c r="P62" s="47">
        <f>'ACADEMIC SUPP 2yr'!P62+'STU SERVICES 2yr'!P62+'INST SUPPORT 2yr'!P62</f>
        <v>228148.43799999999</v>
      </c>
      <c r="Q62" s="47">
        <f>'ACADEMIC SUPP 2yr'!Q62+'STU SERVICES 2yr'!Q62+'INST SUPPORT 2yr'!Q62</f>
        <v>243294.288</v>
      </c>
      <c r="R62" s="47">
        <f>'ACADEMIC SUPP 2yr'!R62+'STU SERVICES 2yr'!R62+'INST SUPPORT 2yr'!R62</f>
        <v>258306.99199999997</v>
      </c>
      <c r="S62" s="47">
        <f>'ACADEMIC SUPP 2yr'!S62+'STU SERVICES 2yr'!S62+'INST SUPPORT 2yr'!S62</f>
        <v>266138.15099999995</v>
      </c>
      <c r="T62" s="47">
        <f>'ACADEMIC SUPP 2yr'!T62+'STU SERVICES 2yr'!T62+'INST SUPPORT 2yr'!T62</f>
        <v>310979.875</v>
      </c>
      <c r="U62" s="47">
        <f>'ACADEMIC SUPP 2yr'!U62+'STU SERVICES 2yr'!U62+'INST SUPPORT 2yr'!U62</f>
        <v>346313.44299999997</v>
      </c>
      <c r="V62" s="47">
        <f>'ACADEMIC SUPP 2yr'!V62+'STU SERVICES 2yr'!V62+'INST SUPPORT 2yr'!V62</f>
        <v>395496.55699999997</v>
      </c>
      <c r="W62" s="47">
        <f>'ACADEMIC SUPP 2yr'!W62+'STU SERVICES 2yr'!W62+'INST SUPPORT 2yr'!W62</f>
        <v>406797.64599999995</v>
      </c>
      <c r="X62" s="47">
        <f>'ACADEMIC SUPP 2yr'!X62+'STU SERVICES 2yr'!X62+'INST SUPPORT 2yr'!X62</f>
        <v>426278.97700000001</v>
      </c>
      <c r="Y62" s="47">
        <f>'ACADEMIC SUPP 2yr'!Y62+'STU SERVICES 2yr'!Y62+'INST SUPPORT 2yr'!Y62</f>
        <v>437460.72</v>
      </c>
      <c r="Z62" s="47">
        <f>'ACADEMIC SUPP 2yr'!Z62+'STU SERVICES 2yr'!Z62+'INST SUPPORT 2yr'!Z62</f>
        <v>450039.14199999999</v>
      </c>
      <c r="AA62" s="47">
        <f>'ACADEMIC SUPP 2yr'!AA62+'STU SERVICES 2yr'!AA62+'INST SUPPORT 2yr'!AA62</f>
        <v>448152.69400000002</v>
      </c>
      <c r="AB62" s="47">
        <f>'ACADEMIC SUPP 2yr'!AB62+'STU SERVICES 2yr'!AB62+'INST SUPPORT 2yr'!AB62</f>
        <v>440671.93900000001</v>
      </c>
      <c r="AC62" s="47">
        <f>'ACADEMIC SUPP 2yr'!AC62+'STU SERVICES 2yr'!AC62+'INST SUPPORT 2yr'!AC62</f>
        <v>443756.68500000006</v>
      </c>
      <c r="AD62" s="47">
        <f>'ACADEMIC SUPP 2yr'!AD62+'STU SERVICES 2yr'!AD62+'INST SUPPORT 2yr'!AD62</f>
        <v>0</v>
      </c>
      <c r="AE62" s="47">
        <f>'ACADEMIC SUPP 2yr'!AE62+'STU SERVICES 2yr'!AE62+'INST SUPPORT 2yr'!AE62</f>
        <v>446966.33399999997</v>
      </c>
    </row>
    <row r="63" spans="1:31">
      <c r="A63" s="1" t="s">
        <v>77</v>
      </c>
      <c r="B63" s="47">
        <f>'ACADEMIC SUPP 2yr'!B63+'STU SERVICES 2yr'!B63+'INST SUPPORT 2yr'!B63</f>
        <v>0</v>
      </c>
      <c r="C63" s="47">
        <f>'ACADEMIC SUPP 2yr'!C63+'STU SERVICES 2yr'!C63+'INST SUPPORT 2yr'!C63</f>
        <v>0</v>
      </c>
      <c r="D63" s="47">
        <f>'ACADEMIC SUPP 2yr'!D63+'STU SERVICES 2yr'!D63+'INST SUPPORT 2yr'!D63</f>
        <v>0</v>
      </c>
      <c r="E63" s="47">
        <f>'ACADEMIC SUPP 2yr'!E63+'STU SERVICES 2yr'!E63+'INST SUPPORT 2yr'!E63</f>
        <v>0</v>
      </c>
      <c r="F63" s="47">
        <f>'ACADEMIC SUPP 2yr'!F63+'STU SERVICES 2yr'!F63+'INST SUPPORT 2yr'!F63</f>
        <v>12810.611000000001</v>
      </c>
      <c r="G63" s="47">
        <f>'ACADEMIC SUPP 2yr'!G63+'STU SERVICES 2yr'!G63+'INST SUPPORT 2yr'!G63</f>
        <v>0</v>
      </c>
      <c r="H63" s="47">
        <f>'ACADEMIC SUPP 2yr'!H63+'STU SERVICES 2yr'!H63+'INST SUPPORT 2yr'!H63</f>
        <v>0</v>
      </c>
      <c r="I63" s="47">
        <f>'ACADEMIC SUPP 2yr'!I63+'STU SERVICES 2yr'!I63+'INST SUPPORT 2yr'!I63</f>
        <v>15014.993999999999</v>
      </c>
      <c r="J63" s="47">
        <f>'ACADEMIC SUPP 2yr'!J63+'STU SERVICES 2yr'!J63+'INST SUPPORT 2yr'!J63</f>
        <v>0</v>
      </c>
      <c r="K63" s="47">
        <f>'ACADEMIC SUPP 2yr'!K63+'STU SERVICES 2yr'!K63+'INST SUPPORT 2yr'!K63</f>
        <v>16514.331999999999</v>
      </c>
      <c r="L63" s="47">
        <f>'ACADEMIC SUPP 2yr'!L63+'STU SERVICES 2yr'!L63+'INST SUPPORT 2yr'!L63</f>
        <v>19461.917000000001</v>
      </c>
      <c r="M63" s="47">
        <f>'ACADEMIC SUPP 2yr'!M63+'STU SERVICES 2yr'!M63+'INST SUPPORT 2yr'!M63</f>
        <v>20758.657999999999</v>
      </c>
      <c r="N63" s="47">
        <f>'ACADEMIC SUPP 2yr'!N63+'STU SERVICES 2yr'!N63+'INST SUPPORT 2yr'!N63</f>
        <v>21328.11</v>
      </c>
      <c r="O63" s="47">
        <f>'ACADEMIC SUPP 2yr'!O63+'STU SERVICES 2yr'!O63+'INST SUPPORT 2yr'!O63</f>
        <v>22630.550999999999</v>
      </c>
      <c r="P63" s="47">
        <f>'ACADEMIC SUPP 2yr'!P63+'STU SERVICES 2yr'!P63+'INST SUPPORT 2yr'!P63</f>
        <v>24744.468000000001</v>
      </c>
      <c r="Q63" s="47">
        <f>'ACADEMIC SUPP 2yr'!Q63+'STU SERVICES 2yr'!Q63+'INST SUPPORT 2yr'!Q63</f>
        <v>28789.781999999999</v>
      </c>
      <c r="R63" s="47">
        <f>'ACADEMIC SUPP 2yr'!R63+'STU SERVICES 2yr'!R63+'INST SUPPORT 2yr'!R63</f>
        <v>31607.991999999998</v>
      </c>
      <c r="S63" s="47">
        <f>'ACADEMIC SUPP 2yr'!S63+'STU SERVICES 2yr'!S63+'INST SUPPORT 2yr'!S63</f>
        <v>32928.452000000005</v>
      </c>
      <c r="T63" s="47">
        <f>'ACADEMIC SUPP 2yr'!T63+'STU SERVICES 2yr'!T63+'INST SUPPORT 2yr'!T63</f>
        <v>34598.021999999997</v>
      </c>
      <c r="U63" s="47">
        <f>'ACADEMIC SUPP 2yr'!U63+'STU SERVICES 2yr'!U63+'INST SUPPORT 2yr'!U63</f>
        <v>39250.741999999998</v>
      </c>
      <c r="V63" s="47">
        <f>'ACADEMIC SUPP 2yr'!V63+'STU SERVICES 2yr'!V63+'INST SUPPORT 2yr'!V63</f>
        <v>38805.118999999999</v>
      </c>
      <c r="W63" s="47">
        <f>'ACADEMIC SUPP 2yr'!W63+'STU SERVICES 2yr'!W63+'INST SUPPORT 2yr'!W63</f>
        <v>39902.934000000001</v>
      </c>
      <c r="X63" s="47">
        <f>'ACADEMIC SUPP 2yr'!X63+'STU SERVICES 2yr'!X63+'INST SUPPORT 2yr'!X63</f>
        <v>40972.120000000003</v>
      </c>
      <c r="Y63" s="47">
        <f>'ACADEMIC SUPP 2yr'!Y63+'STU SERVICES 2yr'!Y63+'INST SUPPORT 2yr'!Y63</f>
        <v>41367.633999999998</v>
      </c>
      <c r="Z63" s="47">
        <f>'ACADEMIC SUPP 2yr'!Z63+'STU SERVICES 2yr'!Z63+'INST SUPPORT 2yr'!Z63</f>
        <v>43399.926999999996</v>
      </c>
      <c r="AA63" s="47">
        <f>'ACADEMIC SUPP 2yr'!AA63+'STU SERVICES 2yr'!AA63+'INST SUPPORT 2yr'!AA63</f>
        <v>44671.100000000006</v>
      </c>
      <c r="AB63" s="47">
        <f>'ACADEMIC SUPP 2yr'!AB63+'STU SERVICES 2yr'!AB63+'INST SUPPORT 2yr'!AB63</f>
        <v>46351.937999999995</v>
      </c>
      <c r="AC63" s="47">
        <f>'ACADEMIC SUPP 2yr'!AC63+'STU SERVICES 2yr'!AC63+'INST SUPPORT 2yr'!AC63</f>
        <v>46906.637000000002</v>
      </c>
      <c r="AD63" s="47">
        <f>'ACADEMIC SUPP 2yr'!AD63+'STU SERVICES 2yr'!AD63+'INST SUPPORT 2yr'!AD63</f>
        <v>0</v>
      </c>
      <c r="AE63" s="47">
        <f>'ACADEMIC SUPP 2yr'!AE63+'STU SERVICES 2yr'!AE63+'INST SUPPORT 2yr'!AE63</f>
        <v>47404.162000000004</v>
      </c>
    </row>
    <row r="64" spans="1:31">
      <c r="A64" s="23" t="s">
        <v>78</v>
      </c>
      <c r="B64" s="49">
        <f>'ACADEMIC SUPP 2yr'!B64+'STU SERVICES 2yr'!B64+'INST SUPPORT 2yr'!B64</f>
        <v>0</v>
      </c>
      <c r="C64" s="49">
        <f>'ACADEMIC SUPP 2yr'!C64+'STU SERVICES 2yr'!C64+'INST SUPPORT 2yr'!C64</f>
        <v>0</v>
      </c>
      <c r="D64" s="49">
        <f>'ACADEMIC SUPP 2yr'!D64+'STU SERVICES 2yr'!D64+'INST SUPPORT 2yr'!D64</f>
        <v>0</v>
      </c>
      <c r="E64" s="49">
        <f>'ACADEMIC SUPP 2yr'!E64+'STU SERVICES 2yr'!E64+'INST SUPPORT 2yr'!E64</f>
        <v>0</v>
      </c>
      <c r="F64" s="49">
        <f>'ACADEMIC SUPP 2yr'!F64+'STU SERVICES 2yr'!F64+'INST SUPPORT 2yr'!F64</f>
        <v>8114.9030000000002</v>
      </c>
      <c r="G64" s="49">
        <f>'ACADEMIC SUPP 2yr'!G64+'STU SERVICES 2yr'!G64+'INST SUPPORT 2yr'!G64</f>
        <v>0</v>
      </c>
      <c r="H64" s="49">
        <f>'ACADEMIC SUPP 2yr'!H64+'STU SERVICES 2yr'!H64+'INST SUPPORT 2yr'!H64</f>
        <v>0</v>
      </c>
      <c r="I64" s="49">
        <f>'ACADEMIC SUPP 2yr'!I64+'STU SERVICES 2yr'!I64+'INST SUPPORT 2yr'!I64</f>
        <v>5076.9610000000002</v>
      </c>
      <c r="J64" s="49">
        <f>'ACADEMIC SUPP 2yr'!J64+'STU SERVICES 2yr'!J64+'INST SUPPORT 2yr'!J64</f>
        <v>0</v>
      </c>
      <c r="K64" s="49">
        <f>'ACADEMIC SUPP 2yr'!K64+'STU SERVICES 2yr'!K64+'INST SUPPORT 2yr'!K64</f>
        <v>5796.4979999999996</v>
      </c>
      <c r="L64" s="49">
        <f>'ACADEMIC SUPP 2yr'!L64+'STU SERVICES 2yr'!L64+'INST SUPPORT 2yr'!L64</f>
        <v>6849.5290000000005</v>
      </c>
      <c r="M64" s="49">
        <f>'ACADEMIC SUPP 2yr'!M64+'STU SERVICES 2yr'!M64+'INST SUPPORT 2yr'!M64</f>
        <v>7314.7350000000006</v>
      </c>
      <c r="N64" s="49">
        <f>'ACADEMIC SUPP 2yr'!N64+'STU SERVICES 2yr'!N64+'INST SUPPORT 2yr'!N64</f>
        <v>9423.61</v>
      </c>
      <c r="O64" s="49">
        <f>'ACADEMIC SUPP 2yr'!O64+'STU SERVICES 2yr'!O64+'INST SUPPORT 2yr'!O64</f>
        <v>10359.866999999998</v>
      </c>
      <c r="P64" s="49">
        <f>'ACADEMIC SUPP 2yr'!P64+'STU SERVICES 2yr'!P64+'INST SUPPORT 2yr'!P64</f>
        <v>11346.891</v>
      </c>
      <c r="Q64" s="49">
        <f>'ACADEMIC SUPP 2yr'!Q64+'STU SERVICES 2yr'!Q64+'INST SUPPORT 2yr'!Q64</f>
        <v>12058.157999999999</v>
      </c>
      <c r="R64" s="49">
        <f>'ACADEMIC SUPP 2yr'!R64+'STU SERVICES 2yr'!R64+'INST SUPPORT 2yr'!R64</f>
        <v>12672.603999999999</v>
      </c>
      <c r="S64" s="49">
        <f>'ACADEMIC SUPP 2yr'!S64+'STU SERVICES 2yr'!S64+'INST SUPPORT 2yr'!S64</f>
        <v>11471.652</v>
      </c>
      <c r="T64" s="49">
        <f>'ACADEMIC SUPP 2yr'!T64+'STU SERVICES 2yr'!T64+'INST SUPPORT 2yr'!T64</f>
        <v>14833.554</v>
      </c>
      <c r="U64" s="49">
        <f>'ACADEMIC SUPP 2yr'!U64+'STU SERVICES 2yr'!U64+'INST SUPPORT 2yr'!U64</f>
        <v>26687.313000000002</v>
      </c>
      <c r="V64" s="49">
        <f>'ACADEMIC SUPP 2yr'!V64+'STU SERVICES 2yr'!V64+'INST SUPPORT 2yr'!V64</f>
        <v>18024.468999999997</v>
      </c>
      <c r="W64" s="49">
        <f>'ACADEMIC SUPP 2yr'!W64+'STU SERVICES 2yr'!W64+'INST SUPPORT 2yr'!W64</f>
        <v>19316.080999999998</v>
      </c>
      <c r="X64" s="49">
        <f>'ACADEMIC SUPP 2yr'!X64+'STU SERVICES 2yr'!X64+'INST SUPPORT 2yr'!X64</f>
        <v>20614.550999999999</v>
      </c>
      <c r="Y64" s="49">
        <f>'ACADEMIC SUPP 2yr'!Y64+'STU SERVICES 2yr'!Y64+'INST SUPPORT 2yr'!Y64</f>
        <v>36812.051999999996</v>
      </c>
      <c r="Z64" s="49">
        <f>'ACADEMIC SUPP 2yr'!Z64+'STU SERVICES 2yr'!Z64+'INST SUPPORT 2yr'!Z64</f>
        <v>35634.779000000002</v>
      </c>
      <c r="AA64" s="49">
        <f>'ACADEMIC SUPP 2yr'!AA64+'STU SERVICES 2yr'!AA64+'INST SUPPORT 2yr'!AA64</f>
        <v>33672.997000000003</v>
      </c>
      <c r="AB64" s="49">
        <f>'ACADEMIC SUPP 2yr'!AB64+'STU SERVICES 2yr'!AB64+'INST SUPPORT 2yr'!AB64</f>
        <v>18691.8</v>
      </c>
      <c r="AC64" s="49">
        <f>'ACADEMIC SUPP 2yr'!AC64+'STU SERVICES 2yr'!AC64+'INST SUPPORT 2yr'!AC64</f>
        <v>20574.161</v>
      </c>
      <c r="AD64" s="49">
        <f>'ACADEMIC SUPP 2yr'!AD64+'STU SERVICES 2yr'!AD64+'INST SUPPORT 2yr'!AD64</f>
        <v>0</v>
      </c>
      <c r="AE64" s="49">
        <f>'ACADEMIC SUPP 2yr'!AE64+'STU SERVICES 2yr'!AE64+'INST SUPPORT 2yr'!AE64</f>
        <v>19269.559999999998</v>
      </c>
    </row>
    <row r="65" spans="1:31">
      <c r="A65" s="45" t="s">
        <v>79</v>
      </c>
      <c r="B65" s="50">
        <f>'ACADEMIC SUPP 2yr'!B65+'STU SERVICES 2yr'!B65+'INST SUPPORT 2yr'!B65</f>
        <v>0</v>
      </c>
      <c r="C65" s="50">
        <f>'ACADEMIC SUPP 2yr'!C65+'STU SERVICES 2yr'!C65+'INST SUPPORT 2yr'!C65</f>
        <v>0</v>
      </c>
      <c r="D65" s="50">
        <f>'ACADEMIC SUPP 2yr'!D65+'STU SERVICES 2yr'!D65+'INST SUPPORT 2yr'!D65</f>
        <v>0</v>
      </c>
      <c r="E65" s="50">
        <f>'ACADEMIC SUPP 2yr'!E65+'STU SERVICES 2yr'!E65+'INST SUPPORT 2yr'!E65</f>
        <v>0</v>
      </c>
      <c r="F65" s="50">
        <f>'ACADEMIC SUPP 2yr'!F65+'STU SERVICES 2yr'!F65+'INST SUPPORT 2yr'!F65</f>
        <v>0</v>
      </c>
      <c r="G65" s="50">
        <f>'ACADEMIC SUPP 2yr'!G65+'STU SERVICES 2yr'!G65+'INST SUPPORT 2yr'!G65</f>
        <v>0</v>
      </c>
      <c r="H65" s="50">
        <f>'ACADEMIC SUPP 2yr'!H65+'STU SERVICES 2yr'!H65+'INST SUPPORT 2yr'!H65</f>
        <v>0</v>
      </c>
      <c r="I65" s="50">
        <f>'ACADEMIC SUPP 2yr'!I65+'STU SERVICES 2yr'!I65+'INST SUPPORT 2yr'!I65</f>
        <v>0</v>
      </c>
      <c r="J65" s="50">
        <f>'ACADEMIC SUPP 2yr'!J65+'STU SERVICES 2yr'!J65+'INST SUPPORT 2yr'!J65</f>
        <v>0</v>
      </c>
      <c r="K65" s="50">
        <f>'ACADEMIC SUPP 2yr'!K65+'STU SERVICES 2yr'!K65+'INST SUPPORT 2yr'!K65</f>
        <v>0</v>
      </c>
      <c r="L65" s="50">
        <f>'ACADEMIC SUPP 2yr'!L65+'STU SERVICES 2yr'!L65+'INST SUPPORT 2yr'!L65</f>
        <v>0</v>
      </c>
      <c r="M65" s="50">
        <f>'ACADEMIC SUPP 2yr'!M65+'STU SERVICES 2yr'!M65+'INST SUPPORT 2yr'!M65</f>
        <v>0</v>
      </c>
      <c r="N65" s="50">
        <f>'ACADEMIC SUPP 2yr'!N65+'STU SERVICES 2yr'!N65+'INST SUPPORT 2yr'!N65</f>
        <v>0</v>
      </c>
      <c r="O65" s="50">
        <f>'ACADEMIC SUPP 2yr'!O65+'STU SERVICES 2yr'!O65+'INST SUPPORT 2yr'!O65</f>
        <v>0</v>
      </c>
      <c r="P65" s="50">
        <f>'ACADEMIC SUPP 2yr'!P65+'STU SERVICES 2yr'!P65+'INST SUPPORT 2yr'!P65</f>
        <v>0</v>
      </c>
      <c r="Q65" s="50">
        <f>'ACADEMIC SUPP 2yr'!Q65+'STU SERVICES 2yr'!Q65+'INST SUPPORT 2yr'!Q65</f>
        <v>0</v>
      </c>
      <c r="R65" s="50">
        <f>'ACADEMIC SUPP 2yr'!R65+'STU SERVICES 2yr'!R65+'INST SUPPORT 2yr'!R65</f>
        <v>0</v>
      </c>
      <c r="S65" s="50">
        <f>'ACADEMIC SUPP 2yr'!S65+'STU SERVICES 2yr'!S65+'INST SUPPORT 2yr'!S65</f>
        <v>0</v>
      </c>
      <c r="T65" s="50">
        <f>'ACADEMIC SUPP 2yr'!T65+'STU SERVICES 2yr'!T65+'INST SUPPORT 2yr'!T65</f>
        <v>0</v>
      </c>
      <c r="U65" s="50">
        <f>'ACADEMIC SUPP 2yr'!U65+'STU SERVICES 2yr'!U65+'INST SUPPORT 2yr'!U65</f>
        <v>0</v>
      </c>
      <c r="V65" s="50">
        <f>'ACADEMIC SUPP 2yr'!V65+'STU SERVICES 2yr'!V65+'INST SUPPORT 2yr'!V65</f>
        <v>0</v>
      </c>
      <c r="W65" s="50">
        <f>'ACADEMIC SUPP 2yr'!W65+'STU SERVICES 2yr'!W65+'INST SUPPORT 2yr'!W65</f>
        <v>0</v>
      </c>
      <c r="X65" s="45"/>
      <c r="Y65" s="45"/>
      <c r="Z65" s="45"/>
      <c r="AA65" s="45"/>
      <c r="AB65" s="45"/>
      <c r="AC65" s="45"/>
      <c r="AD65" s="23"/>
      <c r="AE65" s="23"/>
    </row>
    <row r="67" spans="1:31">
      <c r="I67" s="1" t="s">
        <v>99</v>
      </c>
      <c r="P67" s="1" t="s">
        <v>99</v>
      </c>
      <c r="Q67" s="1" t="s">
        <v>99</v>
      </c>
      <c r="R67" s="1" t="s">
        <v>99</v>
      </c>
      <c r="S67" s="1" t="s">
        <v>99</v>
      </c>
      <c r="T67" s="1" t="s">
        <v>99</v>
      </c>
    </row>
    <row r="68" spans="1:31">
      <c r="I68" s="1" t="s">
        <v>102</v>
      </c>
      <c r="P68" s="1" t="s">
        <v>102</v>
      </c>
      <c r="Q68" s="1" t="s">
        <v>102</v>
      </c>
      <c r="R68" s="1" t="s">
        <v>102</v>
      </c>
      <c r="S68" s="1" t="s">
        <v>102</v>
      </c>
      <c r="T68" s="1" t="s">
        <v>102</v>
      </c>
    </row>
    <row r="69" spans="1:31">
      <c r="I69" s="1" t="s">
        <v>105</v>
      </c>
      <c r="P69" s="1" t="s">
        <v>105</v>
      </c>
      <c r="Q69" s="1" t="s">
        <v>105</v>
      </c>
      <c r="R69" s="1" t="s">
        <v>105</v>
      </c>
      <c r="S69" s="1" t="s">
        <v>105</v>
      </c>
      <c r="T69" s="1" t="s">
        <v>105</v>
      </c>
    </row>
  </sheetData>
  <phoneticPr fontId="6" type="noConversion"/>
  <pageMargins left="0.5" right="0.5" top="0.5" bottom="0.55000000000000004" header="0.5" footer="0.5"/>
  <pageSetup scale="76" orientation="landscape" verticalDpi="300" r:id="rId1"/>
  <headerFooter alignWithMargins="0">
    <oddFooter>&amp;LSREB Fact Book 1996/1997&amp;CUpdate&amp;R&amp;D</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tabColor theme="4" tint="0.39997558519241921"/>
  </sheetPr>
  <dimension ref="A1:AE70"/>
  <sheetViews>
    <sheetView showZeros="0" zoomScale="80" zoomScaleNormal="80" workbookViewId="0">
      <pane xSplit="1" ySplit="5" topLeftCell="R6" activePane="bottomRight" state="frozen"/>
      <selection pane="topRight" activeCell="AC65" sqref="AC65"/>
      <selection pane="bottomLeft" activeCell="AC65" sqref="AC65"/>
      <selection pane="bottomRight" activeCell="AE9" sqref="AE9:AE24"/>
    </sheetView>
  </sheetViews>
  <sheetFormatPr defaultColWidth="9.85546875" defaultRowHeight="12.75"/>
  <cols>
    <col min="1" max="1" width="23.42578125" style="43" customWidth="1"/>
    <col min="2" max="23" width="12.42578125" style="1" customWidth="1"/>
    <col min="24" max="24" width="14.42578125" style="1" bestFit="1" customWidth="1"/>
    <col min="25" max="29" width="10.85546875" style="1" customWidth="1"/>
    <col min="30" max="31" width="12.42578125" style="1" customWidth="1"/>
    <col min="32" max="58" width="10.85546875" style="1" customWidth="1"/>
    <col min="59" max="16384" width="9.85546875" style="1"/>
  </cols>
  <sheetData>
    <row r="1" spans="1:31">
      <c r="A1" s="7" t="s">
        <v>94</v>
      </c>
      <c r="B1"/>
      <c r="C1"/>
      <c r="D1"/>
      <c r="E1"/>
      <c r="F1"/>
      <c r="G1"/>
      <c r="H1"/>
      <c r="I1"/>
      <c r="J1"/>
      <c r="K1"/>
      <c r="L1"/>
      <c r="M1"/>
      <c r="N1"/>
      <c r="O1"/>
      <c r="P1"/>
      <c r="Q1"/>
      <c r="R1"/>
      <c r="S1"/>
      <c r="T1"/>
      <c r="U1"/>
      <c r="V1"/>
      <c r="W1"/>
    </row>
    <row r="2" spans="1:31">
      <c r="A2" s="7"/>
      <c r="B2" s="9"/>
      <c r="C2" s="9"/>
      <c r="D2" s="9"/>
      <c r="E2" s="9"/>
      <c r="F2" s="9"/>
      <c r="AA2" s="1">
        <v>1000</v>
      </c>
    </row>
    <row r="3" spans="1:31">
      <c r="A3" s="7" t="s">
        <v>134</v>
      </c>
      <c r="B3"/>
      <c r="C3"/>
      <c r="D3"/>
      <c r="E3"/>
      <c r="F3"/>
      <c r="G3"/>
      <c r="H3"/>
    </row>
    <row r="4" spans="1:31" s="32" customFormat="1">
      <c r="B4" s="32">
        <v>1984</v>
      </c>
      <c r="C4" s="32">
        <v>1985</v>
      </c>
      <c r="D4" s="32">
        <v>1986</v>
      </c>
      <c r="E4" s="32">
        <v>1991</v>
      </c>
      <c r="F4" s="32">
        <v>1992</v>
      </c>
      <c r="G4" s="32">
        <v>1993</v>
      </c>
      <c r="H4" s="32">
        <v>1994</v>
      </c>
      <c r="I4" s="32">
        <v>1995</v>
      </c>
      <c r="J4" s="32">
        <v>1996</v>
      </c>
      <c r="K4" s="32">
        <v>1997</v>
      </c>
      <c r="L4" s="32">
        <v>2000</v>
      </c>
      <c r="M4" s="39">
        <v>2001</v>
      </c>
      <c r="N4" s="39">
        <v>2002</v>
      </c>
      <c r="O4" s="39">
        <v>2003</v>
      </c>
      <c r="P4" s="39">
        <v>2004</v>
      </c>
      <c r="Q4" s="39">
        <v>2005</v>
      </c>
      <c r="R4" s="39">
        <v>2006</v>
      </c>
      <c r="S4" s="39">
        <v>2007</v>
      </c>
      <c r="T4" s="39">
        <v>2008</v>
      </c>
      <c r="U4" s="39">
        <v>2009</v>
      </c>
      <c r="V4" s="39">
        <v>2010</v>
      </c>
      <c r="W4" s="39">
        <v>2011</v>
      </c>
      <c r="X4" s="32" t="s">
        <v>111</v>
      </c>
      <c r="Y4" s="32" t="s">
        <v>112</v>
      </c>
      <c r="Z4" s="32" t="s">
        <v>113</v>
      </c>
      <c r="AA4" s="32" t="s">
        <v>114</v>
      </c>
      <c r="AB4" s="95" t="s">
        <v>115</v>
      </c>
      <c r="AC4" s="95" t="s">
        <v>116</v>
      </c>
      <c r="AD4" s="96">
        <v>2018</v>
      </c>
      <c r="AE4" s="96">
        <v>2019</v>
      </c>
    </row>
    <row r="5" spans="1:31">
      <c r="B5" s="8" t="s">
        <v>96</v>
      </c>
      <c r="C5" s="8" t="s">
        <v>96</v>
      </c>
      <c r="D5" s="8" t="s">
        <v>96</v>
      </c>
      <c r="E5" s="8" t="s">
        <v>96</v>
      </c>
      <c r="F5" s="8" t="s">
        <v>96</v>
      </c>
      <c r="G5" s="8" t="s">
        <v>96</v>
      </c>
      <c r="H5" s="8" t="s">
        <v>96</v>
      </c>
      <c r="I5" s="8" t="s">
        <v>96</v>
      </c>
      <c r="J5" s="8" t="s">
        <v>96</v>
      </c>
      <c r="K5" s="8" t="s">
        <v>96</v>
      </c>
      <c r="L5" s="8" t="s">
        <v>96</v>
      </c>
      <c r="M5" s="8" t="s">
        <v>96</v>
      </c>
      <c r="N5" s="8" t="s">
        <v>96</v>
      </c>
      <c r="O5" s="8" t="s">
        <v>96</v>
      </c>
      <c r="P5" s="8" t="s">
        <v>96</v>
      </c>
      <c r="Q5" s="8" t="s">
        <v>96</v>
      </c>
      <c r="R5" s="8" t="s">
        <v>96</v>
      </c>
      <c r="S5" s="8" t="s">
        <v>96</v>
      </c>
      <c r="T5" s="8" t="s">
        <v>96</v>
      </c>
      <c r="U5" s="8" t="s">
        <v>96</v>
      </c>
      <c r="V5" s="8" t="s">
        <v>96</v>
      </c>
      <c r="W5" s="8" t="s">
        <v>96</v>
      </c>
      <c r="X5" s="8" t="s">
        <v>96</v>
      </c>
      <c r="Y5" s="8" t="s">
        <v>96</v>
      </c>
      <c r="Z5" s="8" t="s">
        <v>96</v>
      </c>
      <c r="AA5" s="8" t="s">
        <v>96</v>
      </c>
      <c r="AB5" s="8" t="s">
        <v>96</v>
      </c>
      <c r="AC5" s="8" t="s">
        <v>96</v>
      </c>
      <c r="AD5" s="8" t="s">
        <v>96</v>
      </c>
      <c r="AE5" s="8" t="s">
        <v>96</v>
      </c>
    </row>
    <row r="6" spans="1:31">
      <c r="A6" s="23" t="s">
        <v>24</v>
      </c>
      <c r="B6" s="1">
        <f>1340864+1745239</f>
        <v>3086103</v>
      </c>
      <c r="C6" s="1">
        <f>1497739+1962049</f>
        <v>3459788</v>
      </c>
      <c r="D6" s="1">
        <f>1663790+2152070</f>
        <v>3815860</v>
      </c>
      <c r="E6" s="1">
        <v>5545293.8880000003</v>
      </c>
      <c r="F6" s="48">
        <f>+F7+F25+F40+F54+F65</f>
        <v>5686630.2650000006</v>
      </c>
      <c r="G6" s="1">
        <v>6089686.9409999996</v>
      </c>
      <c r="H6" s="1">
        <v>6397088.4950000001</v>
      </c>
      <c r="I6" s="48">
        <f>+I7+I25+I40+I54+I65</f>
        <v>6610321.2369999997</v>
      </c>
      <c r="J6" s="41">
        <v>7152346.4639999997</v>
      </c>
      <c r="K6" s="48">
        <f t="shared" ref="K6:U6" si="0">+K7+K25+K40+K54+K65</f>
        <v>7642417.0765899988</v>
      </c>
      <c r="L6" s="48">
        <f t="shared" si="0"/>
        <v>9308598.353000002</v>
      </c>
      <c r="M6" s="48">
        <f t="shared" si="0"/>
        <v>9934908.8570000026</v>
      </c>
      <c r="N6" s="48">
        <f t="shared" si="0"/>
        <v>9351352.3530000001</v>
      </c>
      <c r="O6" s="48">
        <f t="shared" si="0"/>
        <v>9570340.6500000004</v>
      </c>
      <c r="P6" s="48">
        <f t="shared" si="0"/>
        <v>10000296.972000001</v>
      </c>
      <c r="Q6" s="48">
        <f t="shared" si="0"/>
        <v>10742711.851</v>
      </c>
      <c r="R6" s="48">
        <f t="shared" si="0"/>
        <v>11409273.796999998</v>
      </c>
      <c r="S6" s="48">
        <f t="shared" si="0"/>
        <v>12204171.228999998</v>
      </c>
      <c r="T6" s="48">
        <f t="shared" si="0"/>
        <v>14015910.691</v>
      </c>
      <c r="U6" s="48">
        <f t="shared" si="0"/>
        <v>13830159.676000001</v>
      </c>
      <c r="V6" s="48">
        <f t="shared" ref="V6:W6" si="1">+V7+V25+V40+V54+V65</f>
        <v>16736699.464999998</v>
      </c>
      <c r="W6" s="48">
        <f t="shared" si="1"/>
        <v>17264267.664000001</v>
      </c>
      <c r="X6" s="48">
        <f t="shared" ref="X6:Y6" si="2">+X7+X25+X40+X54+X65</f>
        <v>18310507.02</v>
      </c>
      <c r="Y6" s="48">
        <f t="shared" si="2"/>
        <v>18777636.374000002</v>
      </c>
      <c r="Z6" s="48">
        <f t="shared" ref="Z6:AA6" si="3">+Z7+Z25+Z40+Z54+Z65</f>
        <v>19927761.537999999</v>
      </c>
      <c r="AA6" s="48">
        <f t="shared" si="3"/>
        <v>20861180.876000002</v>
      </c>
      <c r="AB6" s="48">
        <f t="shared" ref="AB6:AE6" si="4">+AB7+AB25+AB40+AB54+AB65</f>
        <v>22441081.347999997</v>
      </c>
      <c r="AC6" s="48">
        <f t="shared" si="4"/>
        <v>23688014.59</v>
      </c>
      <c r="AD6" s="48">
        <f t="shared" si="4"/>
        <v>0</v>
      </c>
      <c r="AE6" s="48">
        <f t="shared" si="4"/>
        <v>25151169.710000001</v>
      </c>
    </row>
    <row r="7" spans="1:31">
      <c r="A7" s="1" t="s">
        <v>25</v>
      </c>
      <c r="B7" s="47">
        <f>SUM(B8:B24)</f>
        <v>916254</v>
      </c>
      <c r="C7" s="47">
        <f t="shared" ref="C7:U7" si="5">SUM(C8:C24)</f>
        <v>1048195</v>
      </c>
      <c r="D7" s="47">
        <f t="shared" si="5"/>
        <v>1157910</v>
      </c>
      <c r="E7" s="47">
        <f t="shared" si="5"/>
        <v>1708975.7900000003</v>
      </c>
      <c r="F7" s="47">
        <f t="shared" si="5"/>
        <v>1781559.5590000001</v>
      </c>
      <c r="G7" s="47">
        <f t="shared" si="5"/>
        <v>1855990.443</v>
      </c>
      <c r="H7" s="47">
        <f t="shared" si="5"/>
        <v>1999621.3380000002</v>
      </c>
      <c r="I7" s="47">
        <f t="shared" si="5"/>
        <v>2131579.6979999999</v>
      </c>
      <c r="J7" s="47">
        <f t="shared" si="5"/>
        <v>2288677.9049999998</v>
      </c>
      <c r="K7" s="47">
        <f t="shared" si="5"/>
        <v>2469315.33421</v>
      </c>
      <c r="L7" s="47">
        <f t="shared" si="5"/>
        <v>3126516.9830000005</v>
      </c>
      <c r="M7" s="47">
        <f t="shared" si="5"/>
        <v>3358742.0889999997</v>
      </c>
      <c r="N7" s="47">
        <f t="shared" si="5"/>
        <v>3217045.787</v>
      </c>
      <c r="O7" s="47">
        <f t="shared" si="5"/>
        <v>3394675.8839999996</v>
      </c>
      <c r="P7" s="47">
        <f t="shared" si="5"/>
        <v>3566866.5219999999</v>
      </c>
      <c r="Q7" s="47">
        <f t="shared" si="5"/>
        <v>3845494.6290000007</v>
      </c>
      <c r="R7" s="47">
        <f t="shared" si="5"/>
        <v>4165709.577</v>
      </c>
      <c r="S7" s="47">
        <f t="shared" si="5"/>
        <v>4505167.892</v>
      </c>
      <c r="T7" s="47">
        <f t="shared" si="5"/>
        <v>5292637.17</v>
      </c>
      <c r="U7" s="47">
        <f t="shared" si="5"/>
        <v>4977174.4350000005</v>
      </c>
      <c r="V7" s="47">
        <f t="shared" ref="V7:W7" si="6">SUM(V8:V24)</f>
        <v>6256231.2989999996</v>
      </c>
      <c r="W7" s="47">
        <f t="shared" si="6"/>
        <v>6190337.0389999999</v>
      </c>
      <c r="X7" s="47">
        <f t="shared" ref="X7:Y7" si="7">SUM(X8:X24)</f>
        <v>6502030.6059999997</v>
      </c>
      <c r="Y7" s="47">
        <f t="shared" si="7"/>
        <v>6395915.506000001</v>
      </c>
      <c r="Z7" s="47">
        <f t="shared" ref="Z7:AA7" si="8">SUM(Z8:Z24)</f>
        <v>6840363.0499999998</v>
      </c>
      <c r="AA7" s="47">
        <f t="shared" si="8"/>
        <v>7158812.5969999991</v>
      </c>
      <c r="AB7" s="47">
        <f t="shared" ref="AB7:AE7" si="9">SUM(AB8:AB24)</f>
        <v>7859007.4060000004</v>
      </c>
      <c r="AC7" s="47">
        <f t="shared" si="9"/>
        <v>8249105.5719999988</v>
      </c>
      <c r="AD7" s="47">
        <f t="shared" si="9"/>
        <v>0</v>
      </c>
      <c r="AE7" s="47">
        <f t="shared" si="9"/>
        <v>8909506.8770000003</v>
      </c>
    </row>
    <row r="8" spans="1:31">
      <c r="A8" s="7" t="s">
        <v>97</v>
      </c>
    </row>
    <row r="9" spans="1:31">
      <c r="A9" s="1" t="s">
        <v>26</v>
      </c>
      <c r="B9" s="1">
        <f>25615+35905</f>
        <v>61520</v>
      </c>
      <c r="C9" s="1">
        <f>28890+41626</f>
        <v>70516</v>
      </c>
      <c r="D9" s="1">
        <f>33922+45346</f>
        <v>79268</v>
      </c>
      <c r="E9" s="1">
        <v>110100.664</v>
      </c>
      <c r="F9" s="41">
        <v>108756.65700000001</v>
      </c>
      <c r="G9" s="1">
        <v>115096.978</v>
      </c>
      <c r="H9" s="1">
        <v>127401.758</v>
      </c>
      <c r="I9" s="1">
        <v>133333.34599999999</v>
      </c>
      <c r="J9" s="1">
        <v>135539.451</v>
      </c>
      <c r="K9" s="1">
        <v>141989.24799999999</v>
      </c>
      <c r="L9" s="1">
        <v>153601.701</v>
      </c>
      <c r="M9" s="1">
        <v>169250.83</v>
      </c>
      <c r="N9" s="1">
        <v>181261.66399999999</v>
      </c>
      <c r="O9" s="1">
        <v>201757.223</v>
      </c>
      <c r="P9" s="1">
        <v>206559.2</v>
      </c>
      <c r="Q9" s="1">
        <v>219637.364</v>
      </c>
      <c r="R9" s="1">
        <v>251150.09700000001</v>
      </c>
      <c r="S9" s="1">
        <v>285823.14</v>
      </c>
      <c r="T9" s="1">
        <v>591271.804</v>
      </c>
      <c r="U9" s="1">
        <v>644171.08299999998</v>
      </c>
      <c r="V9" s="1">
        <v>693045.54700000002</v>
      </c>
      <c r="W9" s="1">
        <v>394940.67599999998</v>
      </c>
      <c r="X9" s="1">
        <v>408920.652</v>
      </c>
      <c r="Y9" s="1">
        <v>420115.61800000002</v>
      </c>
      <c r="Z9" s="1">
        <v>435734.34600000002</v>
      </c>
      <c r="AA9" s="1">
        <v>443378.69</v>
      </c>
      <c r="AB9" s="1">
        <v>444657.826</v>
      </c>
      <c r="AC9" s="1">
        <v>489441.06599999999</v>
      </c>
      <c r="AE9" s="1">
        <v>546300.56000000006</v>
      </c>
    </row>
    <row r="10" spans="1:31">
      <c r="A10" s="1" t="s">
        <v>27</v>
      </c>
      <c r="B10" s="1">
        <f>6520+15542</f>
        <v>22062</v>
      </c>
      <c r="C10" s="1">
        <f>7855+19015</f>
        <v>26870</v>
      </c>
      <c r="D10" s="1">
        <f>8006+20154</f>
        <v>28160</v>
      </c>
      <c r="E10" s="1">
        <v>39920.677000000003</v>
      </c>
      <c r="F10" s="41">
        <v>43140.13</v>
      </c>
      <c r="G10" s="1">
        <v>47770.264000000003</v>
      </c>
      <c r="H10" s="1">
        <v>50813.23</v>
      </c>
      <c r="I10" s="1">
        <v>52712.851999999999</v>
      </c>
      <c r="J10" s="1">
        <v>55786.163</v>
      </c>
      <c r="K10" s="1">
        <v>63344.834999999999</v>
      </c>
      <c r="L10" s="1">
        <v>78238.900999999998</v>
      </c>
      <c r="M10" s="1">
        <v>81971.017999999996</v>
      </c>
      <c r="N10" s="1">
        <v>81908.138000000006</v>
      </c>
      <c r="O10" s="1">
        <v>83250.335000000006</v>
      </c>
      <c r="P10" s="1">
        <v>90656.142999999996</v>
      </c>
      <c r="Q10" s="1">
        <v>96635.864000000001</v>
      </c>
      <c r="R10" s="1">
        <v>101573.209</v>
      </c>
      <c r="S10" s="1">
        <v>101262.742</v>
      </c>
      <c r="T10" s="1">
        <v>108227.382</v>
      </c>
      <c r="U10" s="1">
        <v>105733.94</v>
      </c>
      <c r="V10" s="1">
        <v>144299.80900000001</v>
      </c>
      <c r="W10" s="1">
        <v>147289.791</v>
      </c>
      <c r="X10" s="1">
        <v>161077.78599999999</v>
      </c>
      <c r="Y10" s="1">
        <v>171954.883</v>
      </c>
      <c r="Z10" s="1">
        <v>169000.77900000001</v>
      </c>
      <c r="AA10" s="1">
        <v>178090.62700000001</v>
      </c>
      <c r="AB10" s="1">
        <v>176118.88099999999</v>
      </c>
      <c r="AC10" s="1">
        <v>193122.51300000001</v>
      </c>
      <c r="AE10" s="1">
        <v>205702.361</v>
      </c>
    </row>
    <row r="11" spans="1:31">
      <c r="A11" s="1" t="s">
        <v>28</v>
      </c>
      <c r="D11" s="1">
        <f>9387+1309</f>
        <v>10696</v>
      </c>
      <c r="E11" s="1">
        <v>18999.953000000001</v>
      </c>
      <c r="F11" s="41">
        <v>20785.327000000001</v>
      </c>
      <c r="I11" s="1">
        <v>24190.928</v>
      </c>
      <c r="J11" s="1">
        <v>22193.017</v>
      </c>
      <c r="K11" s="1">
        <v>24808.441999999999</v>
      </c>
      <c r="L11" s="1">
        <v>33788.309000000001</v>
      </c>
      <c r="M11" s="1">
        <v>37477.786</v>
      </c>
      <c r="N11" s="1">
        <v>39336.582000000002</v>
      </c>
      <c r="O11" s="1">
        <v>41519.186000000002</v>
      </c>
      <c r="P11" s="1">
        <v>46364.057000000001</v>
      </c>
      <c r="Q11" s="1">
        <f>3772.744+46689.985</f>
        <v>50462.728999999999</v>
      </c>
      <c r="R11" s="1">
        <v>53003.067000000003</v>
      </c>
      <c r="S11" s="1">
        <v>59000.673999999999</v>
      </c>
      <c r="T11" s="1">
        <v>60254.773999999998</v>
      </c>
      <c r="U11" s="1">
        <v>62150.786</v>
      </c>
      <c r="V11" s="1">
        <v>62321.694000000003</v>
      </c>
      <c r="W11" s="1">
        <v>64022.552000000003</v>
      </c>
      <c r="X11" s="1">
        <v>62912.044999999998</v>
      </c>
      <c r="Y11" s="1">
        <v>5390.3069999999998</v>
      </c>
      <c r="Z11" s="1">
        <v>71137.656000000003</v>
      </c>
      <c r="AA11" s="1">
        <v>77798.281000000003</v>
      </c>
      <c r="AB11" s="1">
        <v>81330.671000000002</v>
      </c>
      <c r="AC11" s="1">
        <v>5621.1819999999998</v>
      </c>
      <c r="AE11" s="1">
        <v>91709.61</v>
      </c>
    </row>
    <row r="12" spans="1:31">
      <c r="A12" s="1" t="s">
        <v>29</v>
      </c>
      <c r="B12" s="1">
        <f>23955+49411</f>
        <v>73366</v>
      </c>
      <c r="C12" s="1">
        <f>29405+55474</f>
        <v>84879</v>
      </c>
      <c r="D12" s="1">
        <f>31123+64222</f>
        <v>95345</v>
      </c>
      <c r="E12" s="1">
        <v>190161.557</v>
      </c>
      <c r="F12" s="41">
        <v>192407.628</v>
      </c>
      <c r="G12" s="1">
        <v>207661.484</v>
      </c>
      <c r="H12" s="1">
        <v>236564.796</v>
      </c>
      <c r="I12" s="1">
        <v>214479.09899999999</v>
      </c>
      <c r="J12" s="1">
        <v>259068.42</v>
      </c>
      <c r="K12" s="1">
        <v>292791.47200000001</v>
      </c>
      <c r="L12" s="1">
        <v>358582.67099999997</v>
      </c>
      <c r="M12" s="1">
        <v>386316.72700000001</v>
      </c>
      <c r="N12" s="1">
        <v>362871.89799999999</v>
      </c>
      <c r="O12" s="1">
        <v>420166.24200000003</v>
      </c>
      <c r="P12" s="1">
        <v>445341.57699999999</v>
      </c>
      <c r="Q12" s="1">
        <v>489523.603</v>
      </c>
      <c r="R12" s="1">
        <v>506429.18099999998</v>
      </c>
      <c r="S12" s="1">
        <v>505604.20500000002</v>
      </c>
      <c r="T12" s="1">
        <v>539813.37600000005</v>
      </c>
      <c r="U12" s="1">
        <v>522360.49800000002</v>
      </c>
      <c r="V12" s="1">
        <v>604796.37600000005</v>
      </c>
      <c r="W12" s="1">
        <v>668980.33299999998</v>
      </c>
      <c r="X12" s="1">
        <v>669291.19200000004</v>
      </c>
      <c r="Y12" s="1">
        <v>683257.321</v>
      </c>
      <c r="Z12" s="1">
        <v>754147.85100000002</v>
      </c>
      <c r="AA12" s="1">
        <v>784893.27099999995</v>
      </c>
      <c r="AB12" s="1">
        <v>828647.30700000003</v>
      </c>
      <c r="AC12" s="1">
        <v>887062.10199999996</v>
      </c>
      <c r="AE12" s="1">
        <v>962369.78500000003</v>
      </c>
    </row>
    <row r="13" spans="1:31">
      <c r="A13" s="1" t="s">
        <v>30</v>
      </c>
      <c r="B13" s="1">
        <f>24129+31845</f>
        <v>55974</v>
      </c>
      <c r="C13" s="1">
        <f>30076+33512</f>
        <v>63588</v>
      </c>
      <c r="D13" s="1">
        <f>31643+54766</f>
        <v>86409</v>
      </c>
      <c r="E13" s="1">
        <v>117247.03999999999</v>
      </c>
      <c r="F13" s="41">
        <v>118644.671</v>
      </c>
      <c r="G13" s="1">
        <v>122471.033</v>
      </c>
      <c r="H13" s="1">
        <v>134203.755</v>
      </c>
      <c r="I13" s="1">
        <v>150908.595</v>
      </c>
      <c r="J13" s="1">
        <v>163969.55900000001</v>
      </c>
      <c r="K13" s="1">
        <v>185716.70199999999</v>
      </c>
      <c r="L13" s="1">
        <v>235963.29699999999</v>
      </c>
      <c r="M13" s="1">
        <v>258080.22399999999</v>
      </c>
      <c r="N13" s="1">
        <v>239613.06299999999</v>
      </c>
      <c r="O13" s="1">
        <v>265163.80800000002</v>
      </c>
      <c r="P13" s="1">
        <v>274570.86300000001</v>
      </c>
      <c r="Q13" s="1">
        <v>279643.43800000002</v>
      </c>
      <c r="R13" s="1">
        <v>306279.73200000002</v>
      </c>
      <c r="S13" s="1">
        <v>334221.88</v>
      </c>
      <c r="T13" s="1">
        <v>370302.39799999999</v>
      </c>
      <c r="U13" s="1">
        <v>321228.67599999998</v>
      </c>
      <c r="V13" s="1">
        <v>401160.25400000002</v>
      </c>
      <c r="W13" s="1">
        <v>436361.77500000002</v>
      </c>
      <c r="X13" s="1">
        <v>466075.489</v>
      </c>
      <c r="Y13" s="1">
        <v>501173.17499999999</v>
      </c>
      <c r="Z13" s="1">
        <v>527044.14599999995</v>
      </c>
      <c r="AA13" s="1">
        <v>550865.28799999994</v>
      </c>
      <c r="AB13" s="1">
        <v>580031.97900000005</v>
      </c>
      <c r="AC13" s="1">
        <v>613462.625</v>
      </c>
      <c r="AE13" s="1">
        <v>713223.56700000004</v>
      </c>
    </row>
    <row r="14" spans="1:31">
      <c r="A14" s="1" t="s">
        <v>31</v>
      </c>
      <c r="B14" s="1">
        <f>45244+25900</f>
        <v>71144</v>
      </c>
      <c r="C14" s="1">
        <f>44029+26237</f>
        <v>70266</v>
      </c>
      <c r="D14" s="1">
        <f>49021+27225</f>
        <v>76246</v>
      </c>
      <c r="E14" s="1">
        <v>105863.08199999999</v>
      </c>
      <c r="F14" s="41">
        <v>109228.094</v>
      </c>
      <c r="G14" s="1">
        <v>105586.04300000001</v>
      </c>
      <c r="H14" s="1">
        <v>110094.90700000001</v>
      </c>
      <c r="I14" s="1">
        <v>121269.13</v>
      </c>
      <c r="J14" s="1">
        <v>139770.77499999999</v>
      </c>
      <c r="K14" s="1">
        <v>145062.92499999999</v>
      </c>
      <c r="L14" s="1">
        <v>176714.03700000001</v>
      </c>
      <c r="M14" s="1">
        <v>182949.89300000001</v>
      </c>
      <c r="N14" s="1">
        <v>151808.34299999999</v>
      </c>
      <c r="O14" s="1">
        <v>155261.69399999999</v>
      </c>
      <c r="P14" s="1">
        <v>162142.19500000001</v>
      </c>
      <c r="Q14" s="1">
        <v>165404.08900000001</v>
      </c>
      <c r="R14" s="1">
        <v>197579.674</v>
      </c>
      <c r="S14" s="1">
        <v>214722.891</v>
      </c>
      <c r="T14" s="1">
        <v>237127.84400000001</v>
      </c>
      <c r="U14" s="1">
        <v>251430.28899999999</v>
      </c>
      <c r="V14" s="1">
        <v>304755.26199999999</v>
      </c>
      <c r="W14" s="1">
        <v>311155.45299999998</v>
      </c>
      <c r="X14" s="1">
        <v>308717.027</v>
      </c>
      <c r="Y14" s="1">
        <v>332397.99099999998</v>
      </c>
      <c r="Z14" s="1">
        <v>324163.20500000002</v>
      </c>
      <c r="AA14" s="1">
        <v>354774.74200000003</v>
      </c>
      <c r="AB14" s="1">
        <v>374894.53499999997</v>
      </c>
      <c r="AC14" s="1">
        <v>394190.24900000001</v>
      </c>
      <c r="AE14" s="1">
        <v>399056.81800000003</v>
      </c>
    </row>
    <row r="15" spans="1:31">
      <c r="A15" s="1" t="s">
        <v>32</v>
      </c>
      <c r="B15" s="1">
        <f>21571+52602</f>
        <v>74173</v>
      </c>
      <c r="C15" s="1">
        <f>24074+56085</f>
        <v>80159</v>
      </c>
      <c r="D15" s="1">
        <f>24741+55197</f>
        <v>79938</v>
      </c>
      <c r="E15" s="1">
        <v>97960.288</v>
      </c>
      <c r="F15" s="41">
        <v>106830.704</v>
      </c>
      <c r="G15" s="1">
        <v>106390.685</v>
      </c>
      <c r="H15" s="1">
        <v>113431.071</v>
      </c>
      <c r="I15" s="1">
        <v>123346.04399999999</v>
      </c>
      <c r="J15" s="1">
        <v>128594.292</v>
      </c>
      <c r="K15" s="1">
        <v>135208.136</v>
      </c>
      <c r="L15" s="1">
        <v>197202.239</v>
      </c>
      <c r="M15" s="1">
        <v>205927.97899999999</v>
      </c>
      <c r="N15" s="1">
        <v>186268.52100000001</v>
      </c>
      <c r="O15" s="1">
        <v>197177.095</v>
      </c>
      <c r="P15" s="1">
        <v>183268.774</v>
      </c>
      <c r="Q15" s="1">
        <v>193142.54300000001</v>
      </c>
      <c r="R15" s="1">
        <v>192036.44</v>
      </c>
      <c r="S15" s="1">
        <v>204492.04300000001</v>
      </c>
      <c r="T15" s="1">
        <v>280829.45600000001</v>
      </c>
      <c r="U15" s="1">
        <v>256138.08199999999</v>
      </c>
      <c r="V15" s="1">
        <v>275184.57799999998</v>
      </c>
      <c r="W15" s="1">
        <v>272724.69900000002</v>
      </c>
      <c r="X15" s="1">
        <v>272362.45</v>
      </c>
      <c r="Y15" s="1">
        <v>266437.614</v>
      </c>
      <c r="Z15" s="1">
        <v>278547.266</v>
      </c>
      <c r="AA15" s="1">
        <v>318883.33100000001</v>
      </c>
      <c r="AB15" s="1">
        <v>294083.38099999999</v>
      </c>
      <c r="AC15" s="1">
        <v>364865.72399999999</v>
      </c>
      <c r="AE15" s="1">
        <v>304776.34399999998</v>
      </c>
    </row>
    <row r="16" spans="1:31">
      <c r="A16" s="1" t="s">
        <v>33</v>
      </c>
      <c r="B16" s="1">
        <v>29795</v>
      </c>
      <c r="C16" s="1">
        <f>0+46419</f>
        <v>46419</v>
      </c>
      <c r="D16" s="1">
        <f>0+55211</f>
        <v>55211</v>
      </c>
      <c r="E16" s="1">
        <v>92935.339000000007</v>
      </c>
      <c r="F16" s="41">
        <v>98759.29</v>
      </c>
      <c r="G16" s="1">
        <v>102312.966</v>
      </c>
      <c r="H16" s="1">
        <v>105583.102</v>
      </c>
      <c r="I16" s="1">
        <v>112724.17600000001</v>
      </c>
      <c r="J16" s="1">
        <v>118779.65300000001</v>
      </c>
      <c r="K16" s="1">
        <v>135579.58900000001</v>
      </c>
      <c r="L16" s="1">
        <v>182931.16399999999</v>
      </c>
      <c r="M16" s="1">
        <v>209147.00399999999</v>
      </c>
      <c r="N16" s="1">
        <v>222466.177</v>
      </c>
      <c r="O16" s="1">
        <v>242165.05</v>
      </c>
      <c r="P16" s="1">
        <v>248393.22099999999</v>
      </c>
      <c r="Q16" s="1">
        <v>295622.83899999998</v>
      </c>
      <c r="R16" s="1">
        <v>279391.69300000003</v>
      </c>
      <c r="S16" s="1">
        <v>298428.93</v>
      </c>
      <c r="T16" s="1">
        <v>353840.74099999998</v>
      </c>
      <c r="U16" s="1">
        <v>331598.125</v>
      </c>
      <c r="V16" s="1">
        <v>389591.89</v>
      </c>
      <c r="W16" s="1">
        <v>400794.30599999998</v>
      </c>
      <c r="X16" s="1">
        <v>437806.10600000003</v>
      </c>
      <c r="Y16" s="1">
        <v>474151.32500000001</v>
      </c>
      <c r="Z16" s="1">
        <v>490774.66399999999</v>
      </c>
      <c r="AA16" s="1">
        <v>477702.71399999998</v>
      </c>
      <c r="AB16" s="1">
        <v>469085.84600000002</v>
      </c>
      <c r="AC16" s="1">
        <v>503410.60100000002</v>
      </c>
      <c r="AE16" s="1">
        <v>512314.51299999998</v>
      </c>
    </row>
    <row r="17" spans="1:31">
      <c r="A17" s="1" t="s">
        <v>34</v>
      </c>
      <c r="B17" s="1">
        <f>8052+24454</f>
        <v>32506</v>
      </c>
      <c r="C17" s="1">
        <f>8358+24199</f>
        <v>32557</v>
      </c>
      <c r="D17" s="1">
        <f>9440+26488</f>
        <v>35928</v>
      </c>
      <c r="E17" s="1">
        <v>48488.756000000001</v>
      </c>
      <c r="F17" s="41">
        <v>51714.307999999997</v>
      </c>
      <c r="G17" s="1">
        <v>56230.881999999998</v>
      </c>
      <c r="H17" s="1">
        <v>61626.177000000003</v>
      </c>
      <c r="I17" s="1">
        <v>69205.275999999998</v>
      </c>
      <c r="J17" s="1">
        <v>71326.222999999998</v>
      </c>
      <c r="K17" s="1">
        <v>69292.764999999999</v>
      </c>
      <c r="L17" s="1">
        <v>90302.346000000005</v>
      </c>
      <c r="M17" s="1">
        <v>96513.917000000001</v>
      </c>
      <c r="N17" s="1">
        <v>79718.327999999994</v>
      </c>
      <c r="O17" s="1">
        <v>89937.599000000002</v>
      </c>
      <c r="P17" s="1">
        <v>88077.796000000002</v>
      </c>
      <c r="Q17" s="1">
        <v>92692.441000000006</v>
      </c>
      <c r="R17" s="1">
        <v>99256.384999999995</v>
      </c>
      <c r="S17" s="1">
        <v>105310.52099999999</v>
      </c>
      <c r="T17" s="1">
        <v>130270.796</v>
      </c>
      <c r="U17" s="1">
        <v>119778.311</v>
      </c>
      <c r="V17" s="1">
        <v>141695.764</v>
      </c>
      <c r="W17" s="1">
        <v>145607.92800000001</v>
      </c>
      <c r="X17" s="1">
        <v>154571.527</v>
      </c>
      <c r="Y17" s="1">
        <v>160799.726</v>
      </c>
      <c r="Z17" s="1">
        <v>178940.97399999999</v>
      </c>
      <c r="AA17" s="1">
        <v>167091.77499999999</v>
      </c>
      <c r="AB17" s="1">
        <v>169375.20300000001</v>
      </c>
      <c r="AC17" s="1">
        <v>181312.21799999999</v>
      </c>
      <c r="AE17" s="1">
        <v>171924.15700000001</v>
      </c>
    </row>
    <row r="18" spans="1:31">
      <c r="A18" s="1" t="s">
        <v>35</v>
      </c>
      <c r="B18" s="1">
        <f>19527+55240</f>
        <v>74767</v>
      </c>
      <c r="C18" s="1">
        <f>21645+62239</f>
        <v>83884</v>
      </c>
      <c r="D18" s="1">
        <f>23895+69674</f>
        <v>93569</v>
      </c>
      <c r="E18" s="1">
        <v>135195.64300000001</v>
      </c>
      <c r="F18" s="41">
        <v>137564.13200000001</v>
      </c>
      <c r="G18" s="1">
        <v>152266.554</v>
      </c>
      <c r="H18" s="1">
        <v>170937.261</v>
      </c>
      <c r="I18" s="1">
        <v>179321.34700000001</v>
      </c>
      <c r="J18" s="1">
        <v>187526.533</v>
      </c>
      <c r="K18" s="1">
        <v>203138.80799999999</v>
      </c>
      <c r="L18" s="1">
        <v>255538.86600000001</v>
      </c>
      <c r="M18" s="1">
        <v>279553.83899999998</v>
      </c>
      <c r="N18" s="1">
        <v>249706.4</v>
      </c>
      <c r="O18" s="1">
        <v>283237.978</v>
      </c>
      <c r="P18" s="1">
        <v>301934.20699999999</v>
      </c>
      <c r="Q18" s="1">
        <v>322741.06099999999</v>
      </c>
      <c r="R18" s="1">
        <v>353008.81900000002</v>
      </c>
      <c r="S18" s="1">
        <v>389900.71500000003</v>
      </c>
      <c r="T18" s="1">
        <v>414296.26500000001</v>
      </c>
      <c r="U18" s="1">
        <v>411148.51400000002</v>
      </c>
      <c r="V18" s="1">
        <v>512357.94300000003</v>
      </c>
      <c r="W18" s="1">
        <v>506701.32299999997</v>
      </c>
      <c r="X18" s="1">
        <v>512176.94799999997</v>
      </c>
      <c r="Y18" s="1">
        <v>543837.64199999999</v>
      </c>
      <c r="Z18" s="1">
        <v>557985.73400000005</v>
      </c>
      <c r="AA18" s="1">
        <v>563562.63</v>
      </c>
      <c r="AB18" s="1">
        <v>595353.87800000003</v>
      </c>
      <c r="AC18" s="1">
        <v>636540.397</v>
      </c>
      <c r="AE18" s="1">
        <v>638833.93599999999</v>
      </c>
    </row>
    <row r="19" spans="1:31">
      <c r="A19" s="1" t="s">
        <v>36</v>
      </c>
      <c r="B19" s="1">
        <v>22375</v>
      </c>
      <c r="C19" s="1">
        <f>0+25731</f>
        <v>25731</v>
      </c>
      <c r="D19" s="1">
        <f>0+26896</f>
        <v>26896</v>
      </c>
      <c r="E19" s="1">
        <v>51710.711000000003</v>
      </c>
      <c r="F19" s="41">
        <v>64029.048000000003</v>
      </c>
      <c r="G19" s="1">
        <v>78125.532999999996</v>
      </c>
      <c r="H19" s="1">
        <v>83363.5</v>
      </c>
      <c r="I19" s="1">
        <v>87351.014999999999</v>
      </c>
      <c r="J19" s="1">
        <v>91459.112999999998</v>
      </c>
      <c r="K19" s="1">
        <v>104179.37084</v>
      </c>
      <c r="L19" s="1">
        <v>138310.878</v>
      </c>
      <c r="M19" s="1">
        <v>141112.19099999999</v>
      </c>
      <c r="N19" s="1">
        <v>119138.749</v>
      </c>
      <c r="O19" s="1">
        <v>127832.71799999999</v>
      </c>
      <c r="P19" s="1">
        <v>141391.00599999999</v>
      </c>
      <c r="Q19" s="1">
        <v>136068.00099999999</v>
      </c>
      <c r="R19" s="1">
        <v>152264.82500000001</v>
      </c>
      <c r="S19" s="1">
        <v>173563.61199999999</v>
      </c>
      <c r="T19" s="1">
        <v>186950.85399999999</v>
      </c>
      <c r="U19" s="1">
        <v>171524.05600000001</v>
      </c>
      <c r="V19" s="1">
        <v>229500.23</v>
      </c>
      <c r="W19" s="1">
        <v>241175.11300000001</v>
      </c>
      <c r="X19" s="1">
        <v>252564.70499999999</v>
      </c>
      <c r="Y19" s="1">
        <v>243263.973</v>
      </c>
      <c r="Z19" s="1">
        <v>248388.47399999999</v>
      </c>
      <c r="AA19" s="1">
        <v>267654.85700000002</v>
      </c>
      <c r="AB19" s="1">
        <v>286265.49800000002</v>
      </c>
      <c r="AC19" s="1">
        <v>274378.23800000001</v>
      </c>
      <c r="AE19" s="1">
        <v>276587.734</v>
      </c>
    </row>
    <row r="20" spans="1:31">
      <c r="A20" s="1" t="s">
        <v>37</v>
      </c>
      <c r="B20" s="1">
        <f>20287+16920</f>
        <v>37207</v>
      </c>
      <c r="C20" s="1">
        <f>28043+19083</f>
        <v>47126</v>
      </c>
      <c r="D20" s="1">
        <f>26277+21412</f>
        <v>47689</v>
      </c>
      <c r="E20" s="1">
        <v>79349.782000000007</v>
      </c>
      <c r="F20" s="41">
        <v>79117.587</v>
      </c>
      <c r="G20" s="1">
        <v>79601.312999999995</v>
      </c>
      <c r="H20" s="1">
        <v>88107.37</v>
      </c>
      <c r="I20" s="1">
        <v>90632.938999999998</v>
      </c>
      <c r="J20" s="1">
        <v>95959.100999999995</v>
      </c>
      <c r="K20" s="1">
        <v>108550.874</v>
      </c>
      <c r="L20" s="1">
        <v>135172.91</v>
      </c>
      <c r="M20" s="1">
        <v>143051.28099999999</v>
      </c>
      <c r="N20" s="1">
        <v>141788.87</v>
      </c>
      <c r="O20" s="1">
        <v>142451.26699999999</v>
      </c>
      <c r="P20" s="1">
        <v>143987.19099999999</v>
      </c>
      <c r="Q20" s="1">
        <v>163478.81400000001</v>
      </c>
      <c r="R20" s="1">
        <v>173592.405</v>
      </c>
      <c r="S20" s="1">
        <v>182088.31700000001</v>
      </c>
      <c r="T20" s="1">
        <v>192404.53400000001</v>
      </c>
      <c r="U20" s="1">
        <v>152116.19200000001</v>
      </c>
      <c r="V20" s="1">
        <v>222901.89600000001</v>
      </c>
      <c r="W20" s="1">
        <v>228152.296</v>
      </c>
      <c r="X20" s="1">
        <v>233232.02799999999</v>
      </c>
      <c r="Y20" s="1">
        <v>260506.59599999999</v>
      </c>
      <c r="Z20" s="1">
        <v>279525.75099999999</v>
      </c>
      <c r="AA20" s="1">
        <v>305384.73200000002</v>
      </c>
      <c r="AB20" s="1">
        <v>302058.766</v>
      </c>
      <c r="AC20" s="1">
        <v>305858.22399999999</v>
      </c>
      <c r="AE20" s="1">
        <v>326442.59000000003</v>
      </c>
    </row>
    <row r="21" spans="1:31" s="11" customFormat="1">
      <c r="A21" s="1" t="s">
        <v>38</v>
      </c>
      <c r="B21" s="1">
        <f>19140+37530</f>
        <v>56670</v>
      </c>
      <c r="C21" s="1">
        <f>23178+42474</f>
        <v>65652</v>
      </c>
      <c r="D21" s="1">
        <f>25753+45328</f>
        <v>71081</v>
      </c>
      <c r="E21" s="1">
        <v>91716.36</v>
      </c>
      <c r="F21" s="41">
        <v>90083.429000000004</v>
      </c>
      <c r="G21" s="1">
        <v>101518.45</v>
      </c>
      <c r="H21" s="1">
        <v>110501.361</v>
      </c>
      <c r="I21" s="1">
        <v>120384.003</v>
      </c>
      <c r="J21" s="1">
        <v>126595.035</v>
      </c>
      <c r="K21" s="1">
        <v>127447.02276000001</v>
      </c>
      <c r="L21" s="1">
        <v>145423.508</v>
      </c>
      <c r="M21" s="1">
        <v>153745.35399999999</v>
      </c>
      <c r="N21" s="1">
        <v>145609.984</v>
      </c>
      <c r="O21" s="1">
        <v>165348.408</v>
      </c>
      <c r="P21" s="1">
        <v>155803.4</v>
      </c>
      <c r="Q21" s="1">
        <v>171595.117</v>
      </c>
      <c r="R21" s="1">
        <v>176269.82699999999</v>
      </c>
      <c r="S21" s="1">
        <v>190259.48300000001</v>
      </c>
      <c r="T21" s="1">
        <v>207929.97500000001</v>
      </c>
      <c r="U21" s="1">
        <v>208683.39499999999</v>
      </c>
      <c r="V21" s="1">
        <v>246349.66500000001</v>
      </c>
      <c r="W21" s="1">
        <v>264077.86900000001</v>
      </c>
      <c r="X21" s="1">
        <v>289529.46899999998</v>
      </c>
      <c r="Y21" s="1">
        <v>288287.76400000002</v>
      </c>
      <c r="Z21" s="1">
        <v>313497.99400000001</v>
      </c>
      <c r="AA21" s="1">
        <v>314986.11800000002</v>
      </c>
      <c r="AB21" s="1">
        <v>330467.88</v>
      </c>
      <c r="AC21" s="1">
        <v>357784.95899999997</v>
      </c>
      <c r="AD21" s="1"/>
      <c r="AE21" s="1">
        <v>391244.38900000002</v>
      </c>
    </row>
    <row r="22" spans="1:31">
      <c r="A22" s="1" t="s">
        <v>39</v>
      </c>
      <c r="B22" s="1">
        <f>56526+131121</f>
        <v>187647</v>
      </c>
      <c r="C22" s="1">
        <f>59505+155159</f>
        <v>214664</v>
      </c>
      <c r="D22" s="1">
        <f>61411+164578</f>
        <v>225989</v>
      </c>
      <c r="E22" s="1">
        <v>326676.57500000001</v>
      </c>
      <c r="F22" s="41">
        <v>354223.04499999998</v>
      </c>
      <c r="G22" s="1">
        <v>359757.73599999998</v>
      </c>
      <c r="H22" s="1">
        <v>363242.64899999998</v>
      </c>
      <c r="I22" s="1">
        <v>392927.87199999997</v>
      </c>
      <c r="J22" s="1">
        <v>423797.79100000003</v>
      </c>
      <c r="K22" s="1">
        <v>440403.25199999998</v>
      </c>
      <c r="L22" s="1">
        <v>592338.39599999995</v>
      </c>
      <c r="M22" s="1">
        <v>640393.74899999995</v>
      </c>
      <c r="N22" s="1">
        <v>664203.91099999996</v>
      </c>
      <c r="O22" s="1">
        <v>651152.5</v>
      </c>
      <c r="P22" s="1">
        <v>724332.42299999995</v>
      </c>
      <c r="Q22" s="1">
        <v>793708.02300000004</v>
      </c>
      <c r="R22" s="1">
        <v>896661.31200000003</v>
      </c>
      <c r="S22" s="1">
        <v>988051.73199999996</v>
      </c>
      <c r="T22" s="1">
        <v>1112786.585</v>
      </c>
      <c r="U22" s="1">
        <v>896374.51300000004</v>
      </c>
      <c r="V22" s="1">
        <v>1453203.203</v>
      </c>
      <c r="W22" s="1">
        <v>1481175.953</v>
      </c>
      <c r="X22" s="1">
        <v>1606011.7620000001</v>
      </c>
      <c r="Y22" s="1">
        <v>1345740.8419999999</v>
      </c>
      <c r="Z22" s="1">
        <v>1468892.129</v>
      </c>
      <c r="AA22" s="1">
        <v>1592048.764</v>
      </c>
      <c r="AB22" s="1">
        <v>2158300.5890000002</v>
      </c>
      <c r="AC22" s="1">
        <v>2220568.6379999998</v>
      </c>
      <c r="AE22" s="1">
        <v>2474234.469</v>
      </c>
    </row>
    <row r="23" spans="1:31">
      <c r="A23" s="1" t="s">
        <v>40</v>
      </c>
      <c r="B23" s="1">
        <f>41415+46775</f>
        <v>88190</v>
      </c>
      <c r="C23" s="1">
        <f>48295+56757</f>
        <v>105052</v>
      </c>
      <c r="D23" s="1">
        <f>47442+64012</f>
        <v>111454</v>
      </c>
      <c r="E23" s="1">
        <v>168022.97500000001</v>
      </c>
      <c r="F23" s="41">
        <v>169120.834</v>
      </c>
      <c r="G23" s="1">
        <v>180940.22099999999</v>
      </c>
      <c r="H23" s="1">
        <v>202391.28099999999</v>
      </c>
      <c r="I23" s="1">
        <v>214028.3</v>
      </c>
      <c r="J23" s="1">
        <v>220143.33</v>
      </c>
      <c r="K23" s="1">
        <v>240278.981</v>
      </c>
      <c r="L23" s="1">
        <v>290864.19099999999</v>
      </c>
      <c r="M23" s="1">
        <v>310052.79700000002</v>
      </c>
      <c r="N23" s="1">
        <v>295679.908</v>
      </c>
      <c r="O23" s="1">
        <v>268818.52</v>
      </c>
      <c r="P23" s="1">
        <v>295346.95400000003</v>
      </c>
      <c r="Q23" s="1">
        <v>318137.25900000002</v>
      </c>
      <c r="R23" s="1">
        <v>362836.22</v>
      </c>
      <c r="S23" s="1">
        <v>399985.28100000002</v>
      </c>
      <c r="T23" s="1">
        <v>435137.13699999999</v>
      </c>
      <c r="U23" s="1">
        <v>452684.31900000002</v>
      </c>
      <c r="V23" s="1">
        <v>486143.853</v>
      </c>
      <c r="W23" s="1">
        <v>529087.16399999999</v>
      </c>
      <c r="X23" s="1">
        <v>563171.81000000006</v>
      </c>
      <c r="Y23" s="1">
        <v>595945.39300000004</v>
      </c>
      <c r="Z23" s="1">
        <v>637172.35800000001</v>
      </c>
      <c r="AA23" s="1">
        <v>657705.21799999999</v>
      </c>
      <c r="AB23" s="1">
        <v>673655.45299999998</v>
      </c>
      <c r="AC23" s="1">
        <v>726549.06599999999</v>
      </c>
      <c r="AE23" s="1">
        <v>798533.26300000004</v>
      </c>
    </row>
    <row r="24" spans="1:31">
      <c r="A24" s="23" t="s">
        <v>41</v>
      </c>
      <c r="B24" s="23">
        <f>18696+10162</f>
        <v>28858</v>
      </c>
      <c r="C24" s="23">
        <f>19998+10834</f>
        <v>30832</v>
      </c>
      <c r="D24" s="23">
        <f>22282+11749</f>
        <v>34031</v>
      </c>
      <c r="E24" s="23">
        <v>34626.387999999999</v>
      </c>
      <c r="F24" s="44">
        <v>37154.675000000003</v>
      </c>
      <c r="G24" s="23">
        <v>40260.300999999999</v>
      </c>
      <c r="H24" s="23">
        <v>41359.120000000003</v>
      </c>
      <c r="I24" s="23">
        <v>44764.775999999998</v>
      </c>
      <c r="J24" s="23">
        <v>48169.449000000001</v>
      </c>
      <c r="K24" s="23">
        <v>51522.911610000003</v>
      </c>
      <c r="L24" s="23">
        <v>61543.569000000003</v>
      </c>
      <c r="M24" s="23">
        <v>63197.5</v>
      </c>
      <c r="N24" s="23">
        <v>55665.250999999997</v>
      </c>
      <c r="O24" s="23">
        <v>59436.260999999999</v>
      </c>
      <c r="P24" s="23">
        <v>58697.514999999999</v>
      </c>
      <c r="Q24" s="23">
        <v>57001.444000000003</v>
      </c>
      <c r="R24" s="23">
        <v>64376.690999999999</v>
      </c>
      <c r="S24" s="23">
        <v>72451.725999999995</v>
      </c>
      <c r="T24" s="23">
        <v>71193.248999999996</v>
      </c>
      <c r="U24" s="23">
        <v>70053.656000000003</v>
      </c>
      <c r="V24" s="23">
        <v>88923.335000000006</v>
      </c>
      <c r="W24" s="23">
        <v>98089.808000000005</v>
      </c>
      <c r="X24" s="23">
        <v>103609.61</v>
      </c>
      <c r="Y24" s="23">
        <v>102655.336</v>
      </c>
      <c r="Z24" s="23">
        <v>105409.723</v>
      </c>
      <c r="AA24" s="23">
        <v>103991.55899999999</v>
      </c>
      <c r="AB24" s="23">
        <v>94679.713000000003</v>
      </c>
      <c r="AC24" s="23">
        <v>94937.77</v>
      </c>
      <c r="AD24" s="23"/>
      <c r="AE24" s="23">
        <v>96252.781000000003</v>
      </c>
    </row>
    <row r="25" spans="1:31">
      <c r="A25" s="7" t="s">
        <v>42</v>
      </c>
      <c r="B25" s="47">
        <f>SUM(B27:B39)</f>
        <v>0</v>
      </c>
      <c r="C25" s="47">
        <f t="shared" ref="C25:AC25" si="10">SUM(C27:C39)</f>
        <v>0</v>
      </c>
      <c r="D25" s="47">
        <f t="shared" si="10"/>
        <v>0</v>
      </c>
      <c r="E25" s="47">
        <f t="shared" si="10"/>
        <v>0</v>
      </c>
      <c r="F25" s="47">
        <f t="shared" si="10"/>
        <v>1500334.3699999999</v>
      </c>
      <c r="G25" s="47">
        <f t="shared" si="10"/>
        <v>0</v>
      </c>
      <c r="H25" s="47">
        <f t="shared" si="10"/>
        <v>0</v>
      </c>
      <c r="I25" s="47">
        <f t="shared" si="10"/>
        <v>1717740.5669999996</v>
      </c>
      <c r="J25" s="47">
        <f t="shared" si="10"/>
        <v>0</v>
      </c>
      <c r="K25" s="47">
        <f t="shared" si="10"/>
        <v>2014262.1340599994</v>
      </c>
      <c r="L25" s="47">
        <f t="shared" si="10"/>
        <v>2525218.7519999999</v>
      </c>
      <c r="M25" s="47">
        <f t="shared" si="10"/>
        <v>2642436.9600000004</v>
      </c>
      <c r="N25" s="47">
        <f t="shared" si="10"/>
        <v>2434960.0789999999</v>
      </c>
      <c r="O25" s="47">
        <f t="shared" si="10"/>
        <v>2535566.8120000004</v>
      </c>
      <c r="P25" s="47">
        <f t="shared" si="10"/>
        <v>2618000.3670000001</v>
      </c>
      <c r="Q25" s="47">
        <f t="shared" si="10"/>
        <v>2723660.3709999998</v>
      </c>
      <c r="R25" s="47">
        <f t="shared" si="10"/>
        <v>2882642.6679999996</v>
      </c>
      <c r="S25" s="47">
        <f t="shared" si="10"/>
        <v>3100798.7799999993</v>
      </c>
      <c r="T25" s="47">
        <f t="shared" si="10"/>
        <v>3603438.048</v>
      </c>
      <c r="U25" s="47">
        <f t="shared" si="10"/>
        <v>3355399.3830000004</v>
      </c>
      <c r="V25" s="47">
        <f t="shared" si="10"/>
        <v>4049741.9599999995</v>
      </c>
      <c r="W25" s="47">
        <f t="shared" si="10"/>
        <v>4414789.1310000001</v>
      </c>
      <c r="X25" s="47">
        <f t="shared" si="10"/>
        <v>4821264.2410000004</v>
      </c>
      <c r="Y25" s="47">
        <f t="shared" si="10"/>
        <v>5087860.2649999987</v>
      </c>
      <c r="Z25" s="47">
        <f t="shared" si="10"/>
        <v>5320458.6129999999</v>
      </c>
      <c r="AA25" s="47">
        <f t="shared" si="10"/>
        <v>5667849.5060000001</v>
      </c>
      <c r="AB25" s="47">
        <f t="shared" si="10"/>
        <v>6300626.7390000001</v>
      </c>
      <c r="AC25" s="47">
        <f t="shared" si="10"/>
        <v>6441317.574</v>
      </c>
      <c r="AD25" s="47">
        <f t="shared" ref="AD25:AE25" si="11">SUM(AD27:AD39)</f>
        <v>0</v>
      </c>
      <c r="AE25" s="47">
        <f t="shared" si="11"/>
        <v>7077051.1709999992</v>
      </c>
    </row>
    <row r="26" spans="1:31">
      <c r="A26" s="7" t="s">
        <v>97</v>
      </c>
      <c r="X26" s="1">
        <v>0</v>
      </c>
      <c r="Y26" s="1">
        <v>0</v>
      </c>
      <c r="AB26" s="1">
        <v>0</v>
      </c>
      <c r="AC26" s="1">
        <v>0</v>
      </c>
    </row>
    <row r="27" spans="1:31">
      <c r="A27" s="1" t="s">
        <v>43</v>
      </c>
      <c r="F27" s="41">
        <v>22333.867999999999</v>
      </c>
      <c r="I27" s="1">
        <v>25503.358</v>
      </c>
      <c r="K27" s="1">
        <v>25895.512999999999</v>
      </c>
      <c r="L27" s="1">
        <v>27203.084999999999</v>
      </c>
      <c r="M27" s="1">
        <v>29520.062999999998</v>
      </c>
      <c r="N27" s="1">
        <v>32100.685000000001</v>
      </c>
      <c r="O27" s="1">
        <v>33991.203999999998</v>
      </c>
      <c r="P27" s="1">
        <v>36763.578000000001</v>
      </c>
      <c r="Q27" s="1">
        <v>40796.544999999998</v>
      </c>
      <c r="R27" s="1">
        <v>44465.84</v>
      </c>
      <c r="S27" s="1">
        <v>50412.542999999998</v>
      </c>
      <c r="T27" s="1">
        <v>51859.006000000001</v>
      </c>
      <c r="U27" s="1">
        <v>65295.656000000003</v>
      </c>
      <c r="V27" s="1">
        <v>68660.398000000001</v>
      </c>
      <c r="W27" s="1">
        <v>73109.116999999998</v>
      </c>
      <c r="X27" s="1">
        <v>77821.085999999996</v>
      </c>
      <c r="Y27" s="1">
        <v>78091.089000000007</v>
      </c>
      <c r="Z27" s="1">
        <v>81849.971000000005</v>
      </c>
      <c r="AA27" s="1">
        <v>80052.918999999994</v>
      </c>
      <c r="AB27" s="1">
        <v>81177.562000000005</v>
      </c>
      <c r="AC27" s="1">
        <v>76642.62</v>
      </c>
      <c r="AE27" s="1">
        <v>76420.240999999995</v>
      </c>
    </row>
    <row r="28" spans="1:31">
      <c r="A28" s="1" t="s">
        <v>44</v>
      </c>
      <c r="F28" s="41">
        <v>120990.815</v>
      </c>
      <c r="I28" s="1">
        <v>132369.329</v>
      </c>
      <c r="K28" s="1">
        <v>149575.549</v>
      </c>
      <c r="L28" s="1">
        <v>175225.58600000001</v>
      </c>
      <c r="M28" s="1">
        <v>193683.98699999999</v>
      </c>
      <c r="N28" s="1">
        <v>164272.649</v>
      </c>
      <c r="O28" s="1">
        <v>172287.315</v>
      </c>
      <c r="P28" s="1">
        <v>197362.75</v>
      </c>
      <c r="Q28" s="1">
        <v>220528.19200000001</v>
      </c>
      <c r="R28" s="1">
        <v>251254.973</v>
      </c>
      <c r="S28" s="1">
        <v>271557.76000000001</v>
      </c>
      <c r="T28" s="1">
        <v>299393.29300000001</v>
      </c>
      <c r="U28" s="1">
        <v>304036.158</v>
      </c>
      <c r="V28" s="1">
        <v>369121.19900000002</v>
      </c>
      <c r="W28" s="1">
        <v>407925.61200000002</v>
      </c>
      <c r="X28" s="1">
        <v>449204.89799999999</v>
      </c>
      <c r="Y28" s="1">
        <v>484745.14299999998</v>
      </c>
      <c r="Z28" s="1">
        <v>539989.11800000002</v>
      </c>
      <c r="AA28" s="1">
        <v>625789.33400000003</v>
      </c>
      <c r="AB28" s="1">
        <v>685627.27500000002</v>
      </c>
      <c r="AC28" s="1">
        <v>686984.36199999996</v>
      </c>
      <c r="AE28" s="1">
        <v>743505.89399999997</v>
      </c>
    </row>
    <row r="29" spans="1:31">
      <c r="A29" s="1" t="s">
        <v>45</v>
      </c>
      <c r="F29" s="41">
        <v>811578.93400000001</v>
      </c>
      <c r="I29" s="1">
        <v>911238.53099999996</v>
      </c>
      <c r="K29" s="1">
        <v>1097548.4269999999</v>
      </c>
      <c r="L29" s="1">
        <v>1447529.4920000001</v>
      </c>
      <c r="M29" s="1">
        <v>1475735.696</v>
      </c>
      <c r="N29" s="1">
        <v>1329937.4580000001</v>
      </c>
      <c r="O29" s="1">
        <v>1411531.0190000001</v>
      </c>
      <c r="P29" s="1">
        <v>1442877.568</v>
      </c>
      <c r="Q29" s="1">
        <v>1394045.9750000001</v>
      </c>
      <c r="R29" s="1">
        <v>1515702.0149999999</v>
      </c>
      <c r="S29" s="1">
        <v>1625477.581</v>
      </c>
      <c r="T29" s="1">
        <v>1907125.3570000001</v>
      </c>
      <c r="U29" s="1">
        <v>1680926.828</v>
      </c>
      <c r="V29" s="1">
        <v>2127158.8450000002</v>
      </c>
      <c r="W29" s="1">
        <v>2359482.7609999999</v>
      </c>
      <c r="X29" s="1">
        <v>2597424.341</v>
      </c>
      <c r="Y29" s="1">
        <v>2784862.52</v>
      </c>
      <c r="Z29" s="1">
        <v>2848107.9840000002</v>
      </c>
      <c r="AA29" s="1">
        <v>3008313.827</v>
      </c>
      <c r="AB29" s="1">
        <v>3409268.5860000001</v>
      </c>
      <c r="AC29" s="1">
        <v>3446458.52</v>
      </c>
      <c r="AE29" s="1">
        <v>3792624.659</v>
      </c>
    </row>
    <row r="30" spans="1:31">
      <c r="A30" s="1" t="s">
        <v>46</v>
      </c>
      <c r="F30" s="41">
        <v>109017.307</v>
      </c>
      <c r="I30" s="1">
        <v>117201.988</v>
      </c>
      <c r="K30" s="1">
        <v>132698.78510000001</v>
      </c>
      <c r="L30" s="1">
        <v>161440.65400000001</v>
      </c>
      <c r="M30" s="1">
        <v>172973.97700000001</v>
      </c>
      <c r="N30" s="1">
        <v>158664.00200000001</v>
      </c>
      <c r="O30" s="1">
        <v>161277.07999999999</v>
      </c>
      <c r="P30" s="1">
        <v>140476.875</v>
      </c>
      <c r="Q30" s="1">
        <v>218293.28700000001</v>
      </c>
      <c r="R30" s="1">
        <v>174186.177</v>
      </c>
      <c r="S30" s="1">
        <v>186205.33199999999</v>
      </c>
      <c r="T30" s="1">
        <v>211146.39499999999</v>
      </c>
      <c r="U30" s="1">
        <v>214022.247</v>
      </c>
      <c r="V30" s="1">
        <v>258676.671</v>
      </c>
      <c r="W30" s="1">
        <v>276411.54200000002</v>
      </c>
      <c r="X30" s="1">
        <v>310445.13400000002</v>
      </c>
      <c r="Y30" s="1">
        <v>331901.27</v>
      </c>
      <c r="Z30" s="1">
        <v>356672.255</v>
      </c>
      <c r="AA30" s="1">
        <v>393937.35600000003</v>
      </c>
      <c r="AB30" s="1">
        <v>395643.61499999999</v>
      </c>
      <c r="AC30" s="1">
        <v>434666.24599999998</v>
      </c>
      <c r="AE30" s="1">
        <v>500414.01199999999</v>
      </c>
    </row>
    <row r="31" spans="1:31">
      <c r="A31" s="1" t="s">
        <v>47</v>
      </c>
      <c r="F31" s="41">
        <v>36981.796999999999</v>
      </c>
      <c r="I31" s="1">
        <v>40121.868999999999</v>
      </c>
      <c r="K31" s="1">
        <v>44290.25</v>
      </c>
      <c r="L31" s="1">
        <v>41748.103999999999</v>
      </c>
      <c r="M31" s="1">
        <v>43857.163999999997</v>
      </c>
      <c r="N31" s="1">
        <v>41311.339999999997</v>
      </c>
      <c r="O31" s="1">
        <v>51443.667000000001</v>
      </c>
      <c r="P31" s="1">
        <v>50326.173999999999</v>
      </c>
      <c r="Q31" s="1">
        <v>52948.845999999998</v>
      </c>
      <c r="R31" s="1">
        <v>57517.150999999998</v>
      </c>
      <c r="S31" s="1">
        <v>59524.36</v>
      </c>
      <c r="T31" s="1">
        <v>69585.138999999996</v>
      </c>
      <c r="U31" s="1">
        <v>81680.254000000001</v>
      </c>
      <c r="V31" s="1">
        <v>80907.228000000003</v>
      </c>
      <c r="W31" s="1">
        <v>91455.017999999996</v>
      </c>
      <c r="X31" s="1">
        <v>94873.388999999996</v>
      </c>
      <c r="Y31" s="1">
        <v>91441.210999999996</v>
      </c>
      <c r="Z31" s="1">
        <v>92407.201000000001</v>
      </c>
      <c r="AA31" s="1">
        <v>86986.183999999994</v>
      </c>
      <c r="AB31" s="1">
        <v>102130.516</v>
      </c>
      <c r="AC31" s="1">
        <v>105284.739</v>
      </c>
      <c r="AE31" s="1">
        <v>113027.799</v>
      </c>
    </row>
    <row r="32" spans="1:31">
      <c r="A32" s="1" t="s">
        <v>48</v>
      </c>
      <c r="F32" s="41">
        <v>23152.793000000001</v>
      </c>
      <c r="I32" s="1">
        <v>34040.595000000001</v>
      </c>
      <c r="K32" s="1">
        <v>38325.275000000001</v>
      </c>
      <c r="L32" s="1">
        <v>46652.743999999999</v>
      </c>
      <c r="M32" s="1">
        <v>46855.925000000003</v>
      </c>
      <c r="N32" s="1">
        <v>40345.292000000001</v>
      </c>
      <c r="O32" s="1">
        <v>36389.142</v>
      </c>
      <c r="P32" s="1">
        <v>40338.103999999999</v>
      </c>
      <c r="Q32" s="1">
        <v>40338.358999999997</v>
      </c>
      <c r="R32" s="1">
        <v>45626.088000000003</v>
      </c>
      <c r="S32" s="1">
        <v>50761.574000000001</v>
      </c>
      <c r="T32" s="1">
        <v>57357.635000000002</v>
      </c>
      <c r="U32" s="1">
        <v>57567.798000000003</v>
      </c>
      <c r="V32" s="1">
        <v>69045.217999999993</v>
      </c>
      <c r="W32" s="1">
        <v>68045.892000000007</v>
      </c>
      <c r="X32" s="1">
        <v>72163.998000000007</v>
      </c>
      <c r="Y32" s="1">
        <v>77285.557000000001</v>
      </c>
      <c r="Z32" s="1">
        <v>76569.409</v>
      </c>
      <c r="AA32" s="1">
        <v>75993.118000000002</v>
      </c>
      <c r="AB32" s="1">
        <v>84940.467000000004</v>
      </c>
      <c r="AC32" s="1">
        <v>83432.459000000003</v>
      </c>
      <c r="AE32" s="1">
        <v>100561.75900000001</v>
      </c>
    </row>
    <row r="33" spans="1:31">
      <c r="A33" s="1" t="s">
        <v>49</v>
      </c>
      <c r="F33" s="41">
        <v>22113.262999999999</v>
      </c>
      <c r="I33" s="1">
        <v>29251.096000000001</v>
      </c>
      <c r="K33" s="1">
        <v>45782.260999999999</v>
      </c>
      <c r="L33" s="1">
        <v>32293.501</v>
      </c>
      <c r="M33" s="1">
        <v>35510.665000000001</v>
      </c>
      <c r="N33" s="1">
        <v>35309.258999999998</v>
      </c>
      <c r="O33" s="1">
        <v>37888.5</v>
      </c>
      <c r="P33" s="1">
        <v>36780.188999999998</v>
      </c>
      <c r="Q33" s="1">
        <v>37640.127</v>
      </c>
      <c r="R33" s="1">
        <v>41820.428</v>
      </c>
      <c r="S33" s="1">
        <v>46927.834000000003</v>
      </c>
      <c r="T33" s="1">
        <v>54356.665000000001</v>
      </c>
      <c r="U33" s="1">
        <v>64701.271000000001</v>
      </c>
      <c r="V33" s="1">
        <v>70291.762000000002</v>
      </c>
      <c r="W33" s="1">
        <v>72883.403000000006</v>
      </c>
      <c r="X33" s="1">
        <v>75265.705000000002</v>
      </c>
      <c r="Y33" s="1">
        <v>77817.751999999993</v>
      </c>
      <c r="Z33" s="1">
        <v>78644.864000000001</v>
      </c>
      <c r="AA33" s="1">
        <v>84735.337</v>
      </c>
      <c r="AB33" s="1">
        <v>82437.313999999998</v>
      </c>
      <c r="AC33" s="1">
        <v>82725.312000000005</v>
      </c>
      <c r="AE33" s="1">
        <v>84628.247000000003</v>
      </c>
    </row>
    <row r="34" spans="1:31">
      <c r="A34" s="1" t="s">
        <v>50</v>
      </c>
      <c r="F34" s="41">
        <v>29795.496999999999</v>
      </c>
      <c r="I34" s="1">
        <v>30234.525000000001</v>
      </c>
      <c r="K34" s="1">
        <v>44999.538</v>
      </c>
      <c r="L34" s="1">
        <v>54387.055999999997</v>
      </c>
      <c r="M34" s="1">
        <v>56012.41</v>
      </c>
      <c r="N34" s="1">
        <v>51134.591999999997</v>
      </c>
      <c r="O34" s="1">
        <v>60792.315999999999</v>
      </c>
      <c r="P34" s="1">
        <v>78070.978000000003</v>
      </c>
      <c r="Q34" s="1">
        <v>85668.149000000005</v>
      </c>
      <c r="R34" s="1">
        <v>96365.801999999996</v>
      </c>
      <c r="S34" s="1">
        <v>109449.145</v>
      </c>
      <c r="T34" s="1">
        <v>118912.72</v>
      </c>
      <c r="U34" s="1">
        <v>100552.425</v>
      </c>
      <c r="V34" s="1">
        <v>107197.008</v>
      </c>
      <c r="W34" s="1">
        <v>110111.25199999999</v>
      </c>
      <c r="X34" s="1">
        <v>114069.514</v>
      </c>
      <c r="Y34" s="1">
        <v>115756.04700000001</v>
      </c>
      <c r="Z34" s="1">
        <v>124615.97199999999</v>
      </c>
      <c r="AA34" s="1">
        <v>137397.33499999999</v>
      </c>
      <c r="AB34" s="1">
        <v>146203.96900000001</v>
      </c>
      <c r="AC34" s="1">
        <v>149977.19500000001</v>
      </c>
      <c r="AE34" s="1">
        <v>185280.64799999999</v>
      </c>
    </row>
    <row r="35" spans="1:31">
      <c r="A35" s="1" t="s">
        <v>51</v>
      </c>
      <c r="F35" s="41">
        <v>34626.731</v>
      </c>
      <c r="I35" s="1">
        <v>40490.788</v>
      </c>
      <c r="K35" s="1">
        <v>45747.040959999998</v>
      </c>
      <c r="L35" s="1">
        <v>47260.993000000002</v>
      </c>
      <c r="M35" s="1">
        <v>51030.031000000003</v>
      </c>
      <c r="N35" s="1">
        <v>47617.428999999996</v>
      </c>
      <c r="O35" s="1">
        <v>51365.904999999999</v>
      </c>
      <c r="P35" s="1">
        <v>52850.218000000001</v>
      </c>
      <c r="Q35" s="1">
        <v>58257.580999999998</v>
      </c>
      <c r="R35" s="1">
        <v>61608.063999999998</v>
      </c>
      <c r="S35" s="1">
        <v>65630.994000000006</v>
      </c>
      <c r="T35" s="1">
        <v>69879.054000000004</v>
      </c>
      <c r="U35" s="1">
        <v>69393.085999999996</v>
      </c>
      <c r="V35" s="1">
        <v>80647.963000000003</v>
      </c>
      <c r="W35" s="1">
        <v>80980.778000000006</v>
      </c>
      <c r="X35" s="1">
        <v>89480.296000000002</v>
      </c>
      <c r="Y35" s="1">
        <v>88311.614000000001</v>
      </c>
      <c r="Z35" s="1">
        <v>88073.118000000002</v>
      </c>
      <c r="AA35" s="1">
        <v>91769.255000000005</v>
      </c>
      <c r="AB35" s="1">
        <v>89650.085000000006</v>
      </c>
      <c r="AC35" s="1">
        <v>90215.683000000005</v>
      </c>
      <c r="AE35" s="1">
        <v>84851.976999999999</v>
      </c>
    </row>
    <row r="36" spans="1:31">
      <c r="A36" s="1" t="s">
        <v>52</v>
      </c>
      <c r="F36" s="41">
        <v>70658.816000000006</v>
      </c>
      <c r="I36" s="1">
        <v>81682.212</v>
      </c>
      <c r="K36" s="1">
        <v>88537.197</v>
      </c>
      <c r="L36" s="1">
        <v>108392.323</v>
      </c>
      <c r="M36" s="1">
        <v>118781.239</v>
      </c>
      <c r="N36" s="1">
        <v>119396.41499999999</v>
      </c>
      <c r="O36" s="1">
        <v>141300.07999999999</v>
      </c>
      <c r="P36" s="1">
        <v>143659.17199999999</v>
      </c>
      <c r="Q36" s="1">
        <v>155656.576</v>
      </c>
      <c r="R36" s="1">
        <v>149083.65100000001</v>
      </c>
      <c r="S36" s="1">
        <v>153320.34099999999</v>
      </c>
      <c r="T36" s="1">
        <v>183821.239</v>
      </c>
      <c r="U36" s="1">
        <v>141317.25899999999</v>
      </c>
      <c r="V36" s="1">
        <v>203224.902</v>
      </c>
      <c r="W36" s="1">
        <v>222154.24100000001</v>
      </c>
      <c r="X36" s="1">
        <v>245586.55600000001</v>
      </c>
      <c r="Y36" s="1">
        <v>263016.43</v>
      </c>
      <c r="Z36" s="1">
        <v>278111.91600000003</v>
      </c>
      <c r="AA36" s="1">
        <v>273832.01899999997</v>
      </c>
      <c r="AB36" s="1">
        <v>319977.68599999999</v>
      </c>
      <c r="AC36" s="1">
        <v>329883.51899999997</v>
      </c>
      <c r="AE36" s="1">
        <v>339659.576</v>
      </c>
    </row>
    <row r="37" spans="1:31">
      <c r="A37" s="1" t="s">
        <v>53</v>
      </c>
      <c r="F37" s="41">
        <v>54847.241000000002</v>
      </c>
      <c r="I37" s="1">
        <v>72119.09</v>
      </c>
      <c r="K37" s="1">
        <v>82193.404999999999</v>
      </c>
      <c r="L37" s="1">
        <v>111440.496</v>
      </c>
      <c r="M37" s="1">
        <v>113511.383</v>
      </c>
      <c r="N37" s="1">
        <v>112657.51</v>
      </c>
      <c r="O37" s="1">
        <v>116225.12300000001</v>
      </c>
      <c r="P37" s="1">
        <v>116397.76700000001</v>
      </c>
      <c r="Q37" s="1">
        <v>127034.217</v>
      </c>
      <c r="R37" s="1">
        <v>127865.75599999999</v>
      </c>
      <c r="S37" s="1">
        <v>135570.755</v>
      </c>
      <c r="T37" s="1">
        <v>165021.97099999999</v>
      </c>
      <c r="U37" s="1">
        <v>170871.62400000001</v>
      </c>
      <c r="V37" s="1">
        <v>167267.04399999999</v>
      </c>
      <c r="W37" s="1">
        <v>177288.84099999999</v>
      </c>
      <c r="X37" s="1">
        <v>196905.179</v>
      </c>
      <c r="Y37" s="1">
        <v>195620.86199999999</v>
      </c>
      <c r="Z37" s="1">
        <v>202838.913</v>
      </c>
      <c r="AA37" s="1">
        <v>217466.55499999999</v>
      </c>
      <c r="AB37" s="1">
        <v>234897.56</v>
      </c>
      <c r="AC37" s="1">
        <v>254978.304</v>
      </c>
      <c r="AE37" s="1">
        <v>332675.24800000002</v>
      </c>
    </row>
    <row r="38" spans="1:31">
      <c r="A38" s="1" t="s">
        <v>54</v>
      </c>
      <c r="F38" s="41">
        <v>150596.17800000001</v>
      </c>
      <c r="I38" s="1">
        <v>189002.66500000001</v>
      </c>
      <c r="K38" s="1">
        <v>203522.77100000001</v>
      </c>
      <c r="L38" s="1">
        <v>253998.42800000001</v>
      </c>
      <c r="M38" s="1">
        <v>287142.27100000001</v>
      </c>
      <c r="N38" s="1">
        <v>286480.51</v>
      </c>
      <c r="O38" s="1">
        <v>244641.52600000001</v>
      </c>
      <c r="P38" s="1">
        <v>264579.804</v>
      </c>
      <c r="Q38" s="1">
        <v>272541.614</v>
      </c>
      <c r="R38" s="1">
        <v>295460.91700000002</v>
      </c>
      <c r="S38" s="1">
        <v>321073.52799999999</v>
      </c>
      <c r="T38" s="1">
        <v>386134.80800000002</v>
      </c>
      <c r="U38" s="1">
        <v>377633.16899999999</v>
      </c>
      <c r="V38" s="1">
        <v>416713.81699999998</v>
      </c>
      <c r="W38" s="1">
        <v>445594.42700000003</v>
      </c>
      <c r="X38" s="1">
        <v>458294.19300000003</v>
      </c>
      <c r="Y38" s="1">
        <v>461843.31</v>
      </c>
      <c r="Z38" s="1">
        <v>513780.44199999998</v>
      </c>
      <c r="AA38" s="1">
        <v>553082.94400000002</v>
      </c>
      <c r="AB38" s="1">
        <v>623986.44999999995</v>
      </c>
      <c r="AC38" s="1">
        <v>658973.73699999996</v>
      </c>
      <c r="AE38" s="1">
        <v>682502.95799999998</v>
      </c>
    </row>
    <row r="39" spans="1:31">
      <c r="A39" s="23" t="s">
        <v>55</v>
      </c>
      <c r="B39" s="23"/>
      <c r="C39" s="23"/>
      <c r="D39" s="23"/>
      <c r="E39" s="23"/>
      <c r="F39" s="44">
        <v>13641.13</v>
      </c>
      <c r="G39" s="23"/>
      <c r="H39" s="23"/>
      <c r="I39" s="23">
        <v>14484.521000000001</v>
      </c>
      <c r="J39" s="23"/>
      <c r="K39" s="23">
        <v>15146.121999999999</v>
      </c>
      <c r="L39" s="23">
        <v>17646.29</v>
      </c>
      <c r="M39" s="23">
        <v>17822.149000000001</v>
      </c>
      <c r="N39" s="23">
        <v>15732.938</v>
      </c>
      <c r="O39" s="23">
        <v>16433.935000000001</v>
      </c>
      <c r="P39" s="23">
        <v>17517.189999999999</v>
      </c>
      <c r="Q39" s="23">
        <v>19910.902999999998</v>
      </c>
      <c r="R39" s="23">
        <v>21685.806</v>
      </c>
      <c r="S39" s="23">
        <v>24887.032999999999</v>
      </c>
      <c r="T39" s="23">
        <v>28844.766</v>
      </c>
      <c r="U39" s="23">
        <v>27401.608</v>
      </c>
      <c r="V39" s="23">
        <v>30829.904999999999</v>
      </c>
      <c r="W39" s="23">
        <v>29346.246999999999</v>
      </c>
      <c r="X39" s="23">
        <v>39729.951999999997</v>
      </c>
      <c r="Y39" s="23">
        <v>37167.46</v>
      </c>
      <c r="Z39" s="23">
        <v>38797.449999999997</v>
      </c>
      <c r="AA39" s="23">
        <v>38493.322999999997</v>
      </c>
      <c r="AB39" s="23">
        <v>44685.654000000002</v>
      </c>
      <c r="AC39" s="23">
        <v>41094.877999999997</v>
      </c>
      <c r="AD39" s="23"/>
      <c r="AE39" s="23">
        <v>40898.152999999998</v>
      </c>
    </row>
    <row r="40" spans="1:31">
      <c r="A40" s="7" t="s">
        <v>56</v>
      </c>
      <c r="B40" s="47">
        <f>SUM(B42:B53)</f>
        <v>0</v>
      </c>
      <c r="C40" s="47">
        <f t="shared" ref="C40:AC40" si="12">SUM(C42:C53)</f>
        <v>0</v>
      </c>
      <c r="D40" s="47">
        <f t="shared" si="12"/>
        <v>0</v>
      </c>
      <c r="E40" s="47">
        <f t="shared" si="12"/>
        <v>0</v>
      </c>
      <c r="F40" s="47">
        <f t="shared" si="12"/>
        <v>1573739.3460000001</v>
      </c>
      <c r="G40" s="47">
        <f t="shared" si="12"/>
        <v>0</v>
      </c>
      <c r="H40" s="47">
        <f t="shared" si="12"/>
        <v>0</v>
      </c>
      <c r="I40" s="47">
        <f t="shared" si="12"/>
        <v>1826736.5460000003</v>
      </c>
      <c r="J40" s="47">
        <f t="shared" si="12"/>
        <v>0</v>
      </c>
      <c r="K40" s="47">
        <f t="shared" si="12"/>
        <v>2039510.3988999999</v>
      </c>
      <c r="L40" s="47">
        <f t="shared" si="12"/>
        <v>2457886.7570000002</v>
      </c>
      <c r="M40" s="47">
        <f t="shared" si="12"/>
        <v>2677952.2460000007</v>
      </c>
      <c r="N40" s="47">
        <f t="shared" si="12"/>
        <v>2583096.0419999999</v>
      </c>
      <c r="O40" s="47">
        <f t="shared" si="12"/>
        <v>2643261.2830000003</v>
      </c>
      <c r="P40" s="47">
        <f t="shared" si="12"/>
        <v>2761799.3190000001</v>
      </c>
      <c r="Q40" s="47">
        <f t="shared" si="12"/>
        <v>2910211.1779999998</v>
      </c>
      <c r="R40" s="47">
        <f t="shared" si="12"/>
        <v>3081125.0189999999</v>
      </c>
      <c r="S40" s="47">
        <f t="shared" si="12"/>
        <v>3255771.3829999994</v>
      </c>
      <c r="T40" s="47">
        <f t="shared" si="12"/>
        <v>3639264.5549999997</v>
      </c>
      <c r="U40" s="47">
        <f t="shared" si="12"/>
        <v>3959934.219</v>
      </c>
      <c r="V40" s="47">
        <f t="shared" si="12"/>
        <v>4450687.63</v>
      </c>
      <c r="W40" s="47">
        <f t="shared" si="12"/>
        <v>4571968.6870000008</v>
      </c>
      <c r="X40" s="47">
        <f t="shared" si="12"/>
        <v>4854016.0729999989</v>
      </c>
      <c r="Y40" s="47">
        <f t="shared" si="12"/>
        <v>5151368.2170000002</v>
      </c>
      <c r="Z40" s="47">
        <f t="shared" si="12"/>
        <v>5447141.1970000006</v>
      </c>
      <c r="AA40" s="47">
        <f t="shared" si="12"/>
        <v>5675434.8439999996</v>
      </c>
      <c r="AB40" s="47">
        <f t="shared" si="12"/>
        <v>5731914.2029999997</v>
      </c>
      <c r="AC40" s="47">
        <f t="shared" si="12"/>
        <v>6028921.3309999984</v>
      </c>
      <c r="AD40" s="47">
        <f t="shared" ref="AD40:AE40" si="13">SUM(AD42:AD53)</f>
        <v>0</v>
      </c>
      <c r="AE40" s="47">
        <f t="shared" si="13"/>
        <v>6170107.5300000003</v>
      </c>
    </row>
    <row r="41" spans="1:31">
      <c r="A41" s="7" t="s">
        <v>97</v>
      </c>
      <c r="X41" s="1">
        <v>0</v>
      </c>
      <c r="Y41" s="1">
        <v>0</v>
      </c>
      <c r="AB41" s="1">
        <v>0</v>
      </c>
      <c r="AC41" s="1">
        <v>0</v>
      </c>
    </row>
    <row r="42" spans="1:31">
      <c r="A42" s="1" t="s">
        <v>57</v>
      </c>
      <c r="F42" s="41">
        <v>222298.253</v>
      </c>
      <c r="I42" s="1">
        <v>256784.02</v>
      </c>
      <c r="K42" s="1">
        <v>255809.024</v>
      </c>
      <c r="L42" s="1">
        <v>304640.27399999998</v>
      </c>
      <c r="M42" s="1">
        <v>335629.24</v>
      </c>
      <c r="N42" s="1">
        <v>369468.57799999998</v>
      </c>
      <c r="O42" s="1">
        <v>357565.652</v>
      </c>
      <c r="P42" s="1">
        <v>360271.84399999998</v>
      </c>
      <c r="Q42" s="1">
        <v>380451.04200000002</v>
      </c>
      <c r="R42" s="1">
        <v>406549.75799999997</v>
      </c>
      <c r="S42" s="1">
        <v>443701.66700000002</v>
      </c>
      <c r="T42" s="1">
        <v>470218.83199999999</v>
      </c>
      <c r="U42" s="1">
        <v>550182.83100000001</v>
      </c>
      <c r="V42" s="1">
        <v>709661.46799999999</v>
      </c>
      <c r="W42" s="1">
        <v>716045.93200000003</v>
      </c>
      <c r="X42" s="1">
        <v>769297.18700000003</v>
      </c>
      <c r="Y42" s="1">
        <v>834729.79</v>
      </c>
      <c r="Z42" s="1">
        <v>888200.33600000001</v>
      </c>
      <c r="AA42" s="1">
        <v>974760.39099999995</v>
      </c>
      <c r="AB42" s="1">
        <v>971314.61800000002</v>
      </c>
      <c r="AC42" s="1">
        <v>1054055.3870000001</v>
      </c>
      <c r="AE42" s="1">
        <v>978836.99100000004</v>
      </c>
    </row>
    <row r="43" spans="1:31">
      <c r="A43" s="1" t="s">
        <v>58</v>
      </c>
      <c r="F43" s="41">
        <v>178046.446</v>
      </c>
      <c r="I43" s="1">
        <v>213418.80300000001</v>
      </c>
      <c r="K43" s="1">
        <v>217859.29699999999</v>
      </c>
      <c r="L43" s="1">
        <v>258048.24600000001</v>
      </c>
      <c r="M43" s="1">
        <v>280338.22200000001</v>
      </c>
      <c r="N43" s="1">
        <v>250289.16399999999</v>
      </c>
      <c r="O43" s="1">
        <v>248960.83199999999</v>
      </c>
      <c r="P43" s="1">
        <v>290302.40500000003</v>
      </c>
      <c r="Q43" s="1">
        <v>298467.315</v>
      </c>
      <c r="R43" s="1">
        <v>312558.16600000003</v>
      </c>
      <c r="S43" s="1">
        <v>304624.68300000002</v>
      </c>
      <c r="T43" s="1">
        <v>310439.86700000003</v>
      </c>
      <c r="U43" s="1">
        <v>355881.56199999998</v>
      </c>
      <c r="V43" s="1">
        <v>438025.42599999998</v>
      </c>
      <c r="W43" s="1">
        <v>433631.87900000002</v>
      </c>
      <c r="X43" s="1">
        <v>486524.14299999998</v>
      </c>
      <c r="Y43" s="1">
        <v>645524.56599999999</v>
      </c>
      <c r="Z43" s="1">
        <v>696314.45299999998</v>
      </c>
      <c r="AA43" s="1">
        <v>716312.87699999998</v>
      </c>
      <c r="AB43" s="1">
        <v>749581.94499999995</v>
      </c>
      <c r="AC43" s="1">
        <v>781994.56900000002</v>
      </c>
      <c r="AE43" s="1">
        <v>773408.65099999995</v>
      </c>
    </row>
    <row r="44" spans="1:31">
      <c r="A44" s="1" t="s">
        <v>59</v>
      </c>
      <c r="F44" s="41">
        <v>86299.532999999996</v>
      </c>
      <c r="I44" s="1">
        <v>99554.778999999995</v>
      </c>
      <c r="K44" s="1">
        <v>121213.318</v>
      </c>
      <c r="L44" s="1">
        <v>147296.736</v>
      </c>
      <c r="M44" s="1">
        <v>158581.30300000001</v>
      </c>
      <c r="N44" s="1">
        <v>140521.345</v>
      </c>
      <c r="O44" s="1">
        <v>143026.04199999999</v>
      </c>
      <c r="P44" s="1">
        <v>160504.57999999999</v>
      </c>
      <c r="Q44" s="1">
        <v>172440.18799999999</v>
      </c>
      <c r="R44" s="1">
        <v>184999.269</v>
      </c>
      <c r="S44" s="1">
        <v>217735.60399999999</v>
      </c>
      <c r="T44" s="1">
        <v>230510.36799999999</v>
      </c>
      <c r="U44" s="1">
        <v>260022.06200000001</v>
      </c>
      <c r="V44" s="1">
        <v>302689.34600000002</v>
      </c>
      <c r="W44" s="1">
        <v>297614.21399999998</v>
      </c>
      <c r="X44" s="1">
        <v>339108.11599999998</v>
      </c>
      <c r="Y44" s="1">
        <v>387416.94199999998</v>
      </c>
      <c r="Z44" s="1">
        <v>400678.13799999998</v>
      </c>
      <c r="AA44" s="1">
        <v>423151.56400000001</v>
      </c>
      <c r="AB44" s="1">
        <v>384938.48</v>
      </c>
      <c r="AC44" s="1">
        <v>421033.51799999998</v>
      </c>
      <c r="AE44" s="1">
        <v>438712.788</v>
      </c>
    </row>
    <row r="45" spans="1:31">
      <c r="A45" s="1" t="s">
        <v>60</v>
      </c>
      <c r="F45" s="41">
        <v>78481.061000000002</v>
      </c>
      <c r="I45" s="1">
        <v>90018.964999999997</v>
      </c>
      <c r="K45" s="1">
        <v>94793.356120000011</v>
      </c>
      <c r="L45" s="1">
        <v>117551.376</v>
      </c>
      <c r="M45" s="1">
        <v>130998.54</v>
      </c>
      <c r="N45" s="1">
        <v>136752.179</v>
      </c>
      <c r="O45" s="1">
        <v>146043.45600000001</v>
      </c>
      <c r="P45" s="1">
        <v>144166.758</v>
      </c>
      <c r="Q45" s="1">
        <v>158070.98300000001</v>
      </c>
      <c r="R45" s="1">
        <v>168420.389</v>
      </c>
      <c r="S45" s="1">
        <v>176128.193</v>
      </c>
      <c r="T45" s="1">
        <v>191604.08900000001</v>
      </c>
      <c r="U45" s="1">
        <v>196064.476</v>
      </c>
      <c r="V45" s="1">
        <v>220306.095</v>
      </c>
      <c r="W45" s="1">
        <v>227611.27299999999</v>
      </c>
      <c r="X45" s="1">
        <v>241511.492</v>
      </c>
      <c r="Y45" s="1">
        <v>207541.908</v>
      </c>
      <c r="Z45" s="1">
        <v>214839.75</v>
      </c>
      <c r="AA45" s="1">
        <v>226243.02799999999</v>
      </c>
      <c r="AB45" s="1">
        <v>224828.10800000001</v>
      </c>
      <c r="AC45" s="1">
        <v>220298.48499999999</v>
      </c>
      <c r="AE45" s="1">
        <v>233963.81200000001</v>
      </c>
    </row>
    <row r="46" spans="1:31">
      <c r="A46" s="1" t="s">
        <v>61</v>
      </c>
      <c r="F46" s="41">
        <v>258086.39799999999</v>
      </c>
      <c r="I46" s="1">
        <v>297901.61599999998</v>
      </c>
      <c r="K46" s="1">
        <v>355138.83199999999</v>
      </c>
      <c r="L46" s="1">
        <v>431517.71500000003</v>
      </c>
      <c r="M46" s="1">
        <v>471553.87800000003</v>
      </c>
      <c r="N46" s="1">
        <v>414986.891</v>
      </c>
      <c r="O46" s="1">
        <v>430793.46100000001</v>
      </c>
      <c r="P46" s="1">
        <v>444098.25199999998</v>
      </c>
      <c r="Q46" s="1">
        <v>463454.571</v>
      </c>
      <c r="R46" s="1">
        <v>479689.625</v>
      </c>
      <c r="S46" s="1">
        <v>481858.946</v>
      </c>
      <c r="T46" s="1">
        <v>730839.84</v>
      </c>
      <c r="U46" s="1">
        <v>758028.95400000003</v>
      </c>
      <c r="V46" s="1">
        <v>783529.29399999999</v>
      </c>
      <c r="W46" s="1">
        <v>800547.35499999998</v>
      </c>
      <c r="X46" s="1">
        <v>851263.54200000002</v>
      </c>
      <c r="Y46" s="1">
        <v>874811.61300000001</v>
      </c>
      <c r="Z46" s="1">
        <v>919984.74800000002</v>
      </c>
      <c r="AA46" s="1">
        <v>966648.27599999995</v>
      </c>
      <c r="AB46" s="1">
        <v>999658.26899999997</v>
      </c>
      <c r="AC46" s="1">
        <v>1036276.1040000001</v>
      </c>
      <c r="AE46" s="1">
        <v>1161529.094</v>
      </c>
    </row>
    <row r="47" spans="1:31">
      <c r="A47" s="1" t="s">
        <v>62</v>
      </c>
      <c r="F47" s="41">
        <v>147321.03200000001</v>
      </c>
      <c r="I47" s="1">
        <v>183883.45699999999</v>
      </c>
      <c r="K47" s="1">
        <v>207858.859</v>
      </c>
      <c r="L47" s="1">
        <v>271693.98</v>
      </c>
      <c r="M47" s="1">
        <v>298004.54700000002</v>
      </c>
      <c r="N47" s="1">
        <v>308912.946</v>
      </c>
      <c r="O47" s="1">
        <v>335020.96999999997</v>
      </c>
      <c r="P47" s="1">
        <v>320302.46399999998</v>
      </c>
      <c r="Q47" s="1">
        <v>338441.73499999999</v>
      </c>
      <c r="R47" s="1">
        <v>371936.95</v>
      </c>
      <c r="S47" s="1">
        <v>428191.45</v>
      </c>
      <c r="T47" s="1">
        <v>418047.07299999997</v>
      </c>
      <c r="U47" s="1">
        <v>550711.48899999994</v>
      </c>
      <c r="V47" s="1">
        <v>541353.06299999997</v>
      </c>
      <c r="W47" s="1">
        <v>543457.99399999995</v>
      </c>
      <c r="X47" s="1">
        <v>553812</v>
      </c>
      <c r="Y47" s="1">
        <v>561997.22600000002</v>
      </c>
      <c r="Z47" s="1">
        <v>601743.55900000001</v>
      </c>
      <c r="AA47" s="1">
        <v>576314.76899999997</v>
      </c>
      <c r="AB47" s="1">
        <v>581733.27899999998</v>
      </c>
      <c r="AC47" s="1">
        <v>615881.98699999996</v>
      </c>
      <c r="AE47" s="1">
        <v>665147.53899999999</v>
      </c>
    </row>
    <row r="48" spans="1:31">
      <c r="A48" s="1" t="s">
        <v>63</v>
      </c>
      <c r="F48" s="41">
        <v>84891.043000000005</v>
      </c>
      <c r="I48" s="1">
        <v>103159.15399999999</v>
      </c>
      <c r="K48" s="1">
        <v>131182.51699999999</v>
      </c>
      <c r="L48" s="1">
        <v>141413.69200000001</v>
      </c>
      <c r="M48" s="1">
        <v>146555.77499999999</v>
      </c>
      <c r="N48" s="1">
        <v>152306.783</v>
      </c>
      <c r="O48" s="1">
        <v>139341.76500000001</v>
      </c>
      <c r="P48" s="1">
        <v>144291.47899999999</v>
      </c>
      <c r="Q48" s="1">
        <v>158535.198</v>
      </c>
      <c r="R48" s="1">
        <v>162862.85500000001</v>
      </c>
      <c r="S48" s="1">
        <v>165835.454</v>
      </c>
      <c r="T48" s="1">
        <v>194706.93799999999</v>
      </c>
      <c r="U48" s="1">
        <v>208823.24900000001</v>
      </c>
      <c r="V48" s="1">
        <v>211190.81099999999</v>
      </c>
      <c r="W48" s="1">
        <v>210365.46799999999</v>
      </c>
      <c r="X48" s="1">
        <v>219299.18799999999</v>
      </c>
      <c r="Y48" s="1">
        <v>226943.64499999999</v>
      </c>
      <c r="Z48" s="1">
        <v>236185.58199999999</v>
      </c>
      <c r="AA48" s="1">
        <v>244257.09599999999</v>
      </c>
      <c r="AB48" s="1">
        <v>250910.79300000001</v>
      </c>
      <c r="AC48" s="1">
        <v>244627.101</v>
      </c>
      <c r="AE48" s="1">
        <v>242116.519</v>
      </c>
    </row>
    <row r="49" spans="1:31">
      <c r="A49" s="1" t="s">
        <v>64</v>
      </c>
      <c r="F49" s="41">
        <v>48133.205999999998</v>
      </c>
      <c r="I49" s="1">
        <v>53238.076000000001</v>
      </c>
      <c r="K49" s="1">
        <v>64517.9</v>
      </c>
      <c r="L49" s="1">
        <v>72985.947</v>
      </c>
      <c r="M49" s="1">
        <v>80021.305999999997</v>
      </c>
      <c r="N49" s="1">
        <v>83578.967999999993</v>
      </c>
      <c r="O49" s="1">
        <v>82835.084000000003</v>
      </c>
      <c r="P49" s="1">
        <v>88123.714000000007</v>
      </c>
      <c r="Q49" s="1">
        <v>93998.941999999995</v>
      </c>
      <c r="R49" s="1">
        <v>95324.202000000005</v>
      </c>
      <c r="S49" s="1">
        <v>100586.954</v>
      </c>
      <c r="T49" s="1">
        <v>107607.246</v>
      </c>
      <c r="U49" s="1">
        <v>87874.993000000002</v>
      </c>
      <c r="V49" s="1">
        <v>130067.96400000001</v>
      </c>
      <c r="W49" s="1">
        <v>143969.93799999999</v>
      </c>
      <c r="X49" s="1">
        <v>144951.86799999999</v>
      </c>
      <c r="Y49" s="1">
        <v>150421.33100000001</v>
      </c>
      <c r="Z49" s="1">
        <v>156931.44899999999</v>
      </c>
      <c r="AA49" s="1">
        <v>180954.321</v>
      </c>
      <c r="AB49" s="1">
        <v>169955.64199999999</v>
      </c>
      <c r="AC49" s="1">
        <v>188180.486</v>
      </c>
      <c r="AE49" s="1">
        <v>190368.71400000001</v>
      </c>
    </row>
    <row r="50" spans="1:31">
      <c r="A50" s="1" t="s">
        <v>65</v>
      </c>
      <c r="F50" s="41">
        <v>23560.09</v>
      </c>
      <c r="I50" s="1">
        <v>26028.261999999999</v>
      </c>
      <c r="K50" s="1">
        <v>32093.112000000001</v>
      </c>
      <c r="L50" s="1">
        <v>35211.4</v>
      </c>
      <c r="M50" s="1">
        <v>38499.874000000003</v>
      </c>
      <c r="N50" s="1">
        <v>39252.834000000003</v>
      </c>
      <c r="O50" s="1">
        <v>38479.769</v>
      </c>
      <c r="P50" s="1">
        <v>41184.612999999998</v>
      </c>
      <c r="Q50" s="1">
        <v>47750.642</v>
      </c>
      <c r="R50" s="1">
        <v>49311.194000000003</v>
      </c>
      <c r="S50" s="1">
        <v>50256.004999999997</v>
      </c>
      <c r="T50" s="1">
        <v>51591.962</v>
      </c>
      <c r="U50" s="1">
        <v>56723.722999999998</v>
      </c>
      <c r="V50" s="1">
        <v>56353.199000000001</v>
      </c>
      <c r="W50" s="1">
        <v>68527.057000000001</v>
      </c>
      <c r="X50" s="1">
        <v>73533.414000000004</v>
      </c>
      <c r="Y50" s="1">
        <v>76189.904999999999</v>
      </c>
      <c r="Z50" s="1">
        <v>79355.611000000004</v>
      </c>
      <c r="AA50" s="1">
        <v>84583.273000000001</v>
      </c>
      <c r="AB50" s="1">
        <v>90264.702999999994</v>
      </c>
      <c r="AC50" s="1">
        <v>88391.192999999999</v>
      </c>
      <c r="AE50" s="1">
        <v>79574.808999999994</v>
      </c>
    </row>
    <row r="51" spans="1:31">
      <c r="A51" s="1" t="s">
        <v>66</v>
      </c>
      <c r="F51" s="41">
        <v>263734.69099999999</v>
      </c>
      <c r="I51" s="1">
        <v>294809.72700000001</v>
      </c>
      <c r="K51" s="1">
        <v>325218.978</v>
      </c>
      <c r="L51" s="1">
        <v>396883.75400000002</v>
      </c>
      <c r="M51" s="1">
        <v>421038.84100000001</v>
      </c>
      <c r="N51" s="1">
        <v>385761.75699999998</v>
      </c>
      <c r="O51" s="1">
        <v>403984.75099999999</v>
      </c>
      <c r="P51" s="1">
        <v>445896.73700000002</v>
      </c>
      <c r="Q51" s="1">
        <v>476209.89799999999</v>
      </c>
      <c r="R51" s="1">
        <v>530605.679</v>
      </c>
      <c r="S51" s="1">
        <v>555979.31299999997</v>
      </c>
      <c r="T51" s="1">
        <v>581797.69200000004</v>
      </c>
      <c r="U51" s="1">
        <v>575445.73600000003</v>
      </c>
      <c r="V51" s="1">
        <v>655734.61</v>
      </c>
      <c r="W51" s="1">
        <v>707917.35600000003</v>
      </c>
      <c r="X51" s="1">
        <v>731541.83100000001</v>
      </c>
      <c r="Y51" s="1">
        <v>734702.43700000003</v>
      </c>
      <c r="Z51" s="1">
        <v>768064.12600000005</v>
      </c>
      <c r="AA51" s="1">
        <v>787768.55799999996</v>
      </c>
      <c r="AB51" s="1">
        <v>832117.95</v>
      </c>
      <c r="AC51" s="1">
        <v>885796.62899999996</v>
      </c>
      <c r="AE51" s="1">
        <v>858534.97600000002</v>
      </c>
    </row>
    <row r="52" spans="1:31">
      <c r="A52" s="1" t="s">
        <v>67</v>
      </c>
      <c r="F52" s="41">
        <v>19436.911</v>
      </c>
      <c r="I52" s="1">
        <v>24266.241999999998</v>
      </c>
      <c r="K52" s="1">
        <v>27111.443780000001</v>
      </c>
      <c r="L52" s="1">
        <v>30945.048999999999</v>
      </c>
      <c r="M52" s="1">
        <v>34146.552000000003</v>
      </c>
      <c r="N52" s="1">
        <v>34492.379000000001</v>
      </c>
      <c r="O52" s="1">
        <v>37104.807999999997</v>
      </c>
      <c r="P52" s="1">
        <v>40174.356</v>
      </c>
      <c r="Q52" s="1">
        <v>40791.616000000002</v>
      </c>
      <c r="R52" s="1">
        <v>39984.544000000002</v>
      </c>
      <c r="S52" s="1">
        <v>43549.55</v>
      </c>
      <c r="T52" s="1">
        <v>48104.171999999999</v>
      </c>
      <c r="U52" s="1">
        <v>45847.807999999997</v>
      </c>
      <c r="V52" s="1">
        <v>55849.298000000003</v>
      </c>
      <c r="W52" s="1">
        <v>55532.457000000002</v>
      </c>
      <c r="X52" s="1">
        <v>60480.141000000003</v>
      </c>
      <c r="Y52" s="1">
        <v>61196.457000000002</v>
      </c>
      <c r="Z52" s="1">
        <v>63916.574999999997</v>
      </c>
      <c r="AA52" s="1">
        <v>64911.341</v>
      </c>
      <c r="AB52" s="1">
        <v>65001.159</v>
      </c>
      <c r="AC52" s="1">
        <v>72964.237999999998</v>
      </c>
      <c r="AE52" s="1">
        <v>76936.399999999994</v>
      </c>
    </row>
    <row r="53" spans="1:31">
      <c r="A53" s="23" t="s">
        <v>68</v>
      </c>
      <c r="B53" s="23"/>
      <c r="C53" s="23"/>
      <c r="D53" s="23"/>
      <c r="E53" s="23"/>
      <c r="F53" s="44">
        <v>163450.682</v>
      </c>
      <c r="G53" s="23"/>
      <c r="H53" s="23"/>
      <c r="I53" s="23">
        <v>183673.44500000001</v>
      </c>
      <c r="J53" s="23"/>
      <c r="K53" s="23">
        <v>206713.76199999999</v>
      </c>
      <c r="L53" s="23">
        <v>249698.58799999999</v>
      </c>
      <c r="M53" s="23">
        <v>282584.16800000001</v>
      </c>
      <c r="N53" s="23">
        <v>266772.21799999999</v>
      </c>
      <c r="O53" s="23">
        <v>280104.69300000003</v>
      </c>
      <c r="P53" s="23">
        <v>282482.11700000003</v>
      </c>
      <c r="Q53" s="23">
        <v>281599.04800000001</v>
      </c>
      <c r="R53" s="23">
        <v>278882.38799999998</v>
      </c>
      <c r="S53" s="23">
        <v>287323.56400000001</v>
      </c>
      <c r="T53" s="23">
        <v>303796.47600000002</v>
      </c>
      <c r="U53" s="23">
        <v>314327.33600000001</v>
      </c>
      <c r="V53" s="23">
        <v>345927.05599999998</v>
      </c>
      <c r="W53" s="23">
        <v>366747.76400000002</v>
      </c>
      <c r="X53" s="23">
        <v>382693.15100000001</v>
      </c>
      <c r="Y53" s="23">
        <v>389892.397</v>
      </c>
      <c r="Z53" s="23">
        <v>420926.87</v>
      </c>
      <c r="AA53" s="23">
        <v>429529.35</v>
      </c>
      <c r="AB53" s="23">
        <v>411609.25699999998</v>
      </c>
      <c r="AC53" s="23">
        <v>419421.63400000002</v>
      </c>
      <c r="AD53" s="23"/>
      <c r="AE53" s="23">
        <v>470977.23700000002</v>
      </c>
    </row>
    <row r="54" spans="1:31">
      <c r="A54" s="7" t="s">
        <v>69</v>
      </c>
      <c r="B54" s="47">
        <f>SUM(B56:B64)</f>
        <v>0</v>
      </c>
      <c r="C54" s="47">
        <f t="shared" ref="C54:AC54" si="14">SUM(C56:C64)</f>
        <v>0</v>
      </c>
      <c r="D54" s="47">
        <f t="shared" si="14"/>
        <v>0</v>
      </c>
      <c r="E54" s="47">
        <f t="shared" si="14"/>
        <v>0</v>
      </c>
      <c r="F54" s="47">
        <f t="shared" si="14"/>
        <v>817062.42</v>
      </c>
      <c r="G54" s="47">
        <f t="shared" si="14"/>
        <v>0</v>
      </c>
      <c r="H54" s="47">
        <f t="shared" si="14"/>
        <v>0</v>
      </c>
      <c r="I54" s="47">
        <f t="shared" si="14"/>
        <v>927166.31400000001</v>
      </c>
      <c r="J54" s="47">
        <f t="shared" si="14"/>
        <v>0</v>
      </c>
      <c r="K54" s="47">
        <f t="shared" si="14"/>
        <v>1110634.925</v>
      </c>
      <c r="L54" s="47">
        <f t="shared" si="14"/>
        <v>1192712.129</v>
      </c>
      <c r="M54" s="47">
        <f t="shared" si="14"/>
        <v>1247157.2210000001</v>
      </c>
      <c r="N54" s="47">
        <f t="shared" si="14"/>
        <v>1105886.8960000002</v>
      </c>
      <c r="O54" s="47">
        <f t="shared" si="14"/>
        <v>986144.71899999992</v>
      </c>
      <c r="P54" s="47">
        <f t="shared" si="14"/>
        <v>1045231.3999999999</v>
      </c>
      <c r="Q54" s="47">
        <f t="shared" si="14"/>
        <v>1251845.2960000001</v>
      </c>
      <c r="R54" s="47">
        <f t="shared" si="14"/>
        <v>1262717.176</v>
      </c>
      <c r="S54" s="47">
        <f t="shared" si="14"/>
        <v>1328080.371</v>
      </c>
      <c r="T54" s="47">
        <f t="shared" si="14"/>
        <v>1460165.148</v>
      </c>
      <c r="U54" s="47">
        <f t="shared" si="14"/>
        <v>1522392.1140000003</v>
      </c>
      <c r="V54" s="47">
        <f t="shared" si="14"/>
        <v>1959899.5759999999</v>
      </c>
      <c r="W54" s="47">
        <f t="shared" si="14"/>
        <v>2062837.6310000001</v>
      </c>
      <c r="X54" s="47">
        <f t="shared" si="14"/>
        <v>2112173.6459999997</v>
      </c>
      <c r="Y54" s="47">
        <f t="shared" si="14"/>
        <v>2122516.6319999998</v>
      </c>
      <c r="Z54" s="47">
        <f t="shared" si="14"/>
        <v>2304438.3130000001</v>
      </c>
      <c r="AA54" s="47">
        <f t="shared" si="14"/>
        <v>2341052.8160000001</v>
      </c>
      <c r="AB54" s="47">
        <f t="shared" si="14"/>
        <v>2531109.074</v>
      </c>
      <c r="AC54" s="47">
        <f t="shared" si="14"/>
        <v>2949164.2669999995</v>
      </c>
      <c r="AD54" s="47">
        <f t="shared" ref="AD54:AE54" si="15">SUM(AD56:AD64)</f>
        <v>0</v>
      </c>
      <c r="AE54" s="47">
        <f t="shared" si="15"/>
        <v>2970863.9699999997</v>
      </c>
    </row>
    <row r="55" spans="1:31">
      <c r="A55" s="7" t="s">
        <v>97</v>
      </c>
      <c r="X55" s="1">
        <v>0</v>
      </c>
      <c r="Y55" s="1">
        <v>0</v>
      </c>
      <c r="AB55" s="1">
        <v>0</v>
      </c>
      <c r="AC55" s="1">
        <v>0</v>
      </c>
    </row>
    <row r="56" spans="1:31">
      <c r="A56" s="1" t="s">
        <v>70</v>
      </c>
      <c r="F56" s="41">
        <v>69435.998000000007</v>
      </c>
      <c r="I56" s="1">
        <v>76613.601999999999</v>
      </c>
      <c r="K56" s="1">
        <v>79977.801999999996</v>
      </c>
      <c r="L56" s="1">
        <v>112087.57399999999</v>
      </c>
      <c r="M56" s="1">
        <v>104809.41499999999</v>
      </c>
      <c r="N56" s="1">
        <v>122847.319</v>
      </c>
      <c r="O56" s="1">
        <v>120427.128</v>
      </c>
      <c r="P56" s="1">
        <v>132107.19399999999</v>
      </c>
      <c r="Q56" s="1">
        <v>138307.541</v>
      </c>
      <c r="R56" s="1">
        <v>138650.02299999999</v>
      </c>
      <c r="S56" s="1">
        <v>146276.27100000001</v>
      </c>
      <c r="T56" s="1">
        <v>175390.15700000001</v>
      </c>
      <c r="U56" s="1">
        <v>190302.11499999999</v>
      </c>
      <c r="V56" s="1">
        <v>192940.69500000001</v>
      </c>
      <c r="W56" s="1">
        <v>206264.595</v>
      </c>
      <c r="X56" s="1">
        <v>211218.05499999999</v>
      </c>
      <c r="Y56" s="1">
        <v>227351.24600000001</v>
      </c>
      <c r="Z56" s="1">
        <v>247476.71900000001</v>
      </c>
      <c r="AA56" s="1">
        <v>260545.41099999999</v>
      </c>
      <c r="AB56" s="1">
        <v>271575.49</v>
      </c>
      <c r="AC56" s="1">
        <v>245553.424</v>
      </c>
      <c r="AE56" s="1">
        <v>254275.71299999999</v>
      </c>
    </row>
    <row r="57" spans="1:31">
      <c r="A57" s="1" t="s">
        <v>71</v>
      </c>
      <c r="F57" s="41">
        <v>31004.111000000001</v>
      </c>
      <c r="I57" s="1">
        <v>29576.591</v>
      </c>
      <c r="K57" s="1">
        <v>42955.747000000003</v>
      </c>
      <c r="L57" s="1">
        <v>38663.06</v>
      </c>
      <c r="M57" s="1">
        <v>40991.928</v>
      </c>
      <c r="N57" s="1">
        <v>43356.563999999998</v>
      </c>
      <c r="O57" s="1">
        <v>45853.519</v>
      </c>
      <c r="P57" s="1">
        <v>52393.864999999998</v>
      </c>
      <c r="Q57" s="1">
        <v>55615.322999999997</v>
      </c>
      <c r="R57" s="1">
        <v>50634.703999999998</v>
      </c>
      <c r="S57" s="1">
        <v>55052.114999999998</v>
      </c>
      <c r="T57" s="1">
        <v>57253.017999999996</v>
      </c>
      <c r="U57" s="1">
        <v>60306.14</v>
      </c>
      <c r="V57" s="1">
        <v>69801.160999999993</v>
      </c>
      <c r="W57" s="1">
        <v>72130.422999999995</v>
      </c>
      <c r="X57" s="1">
        <v>74523.842999999993</v>
      </c>
      <c r="Y57" s="1">
        <v>72931.252999999997</v>
      </c>
      <c r="Z57" s="1">
        <v>72565.402000000002</v>
      </c>
      <c r="AA57" s="1">
        <v>70332.910999999993</v>
      </c>
      <c r="AB57" s="1">
        <v>73049.731</v>
      </c>
      <c r="AC57" s="1">
        <v>74661.471999999994</v>
      </c>
      <c r="AE57" s="1">
        <v>78385.161999999997</v>
      </c>
    </row>
    <row r="58" spans="1:31" s="11" customFormat="1">
      <c r="A58" s="1" t="s">
        <v>72</v>
      </c>
      <c r="B58" s="1"/>
      <c r="C58" s="1"/>
      <c r="D58" s="1"/>
      <c r="E58" s="1"/>
      <c r="F58" s="41">
        <v>87535.933999999994</v>
      </c>
      <c r="G58" s="1"/>
      <c r="H58" s="1"/>
      <c r="I58" s="1">
        <v>105787.144</v>
      </c>
      <c r="J58" s="1"/>
      <c r="K58" s="1">
        <v>112421.26</v>
      </c>
      <c r="L58" s="1">
        <v>133650.56899999999</v>
      </c>
      <c r="M58" s="1">
        <v>148774.70199999999</v>
      </c>
      <c r="N58" s="1">
        <v>139941.17199999999</v>
      </c>
      <c r="O58" s="1">
        <v>136279.89499999999</v>
      </c>
      <c r="P58" s="1">
        <v>144277.78</v>
      </c>
      <c r="Q58" s="1">
        <v>158290.283</v>
      </c>
      <c r="R58" s="1">
        <v>173803.23</v>
      </c>
      <c r="S58" s="1">
        <v>187046.43599999999</v>
      </c>
      <c r="T58" s="1">
        <v>201794.07</v>
      </c>
      <c r="U58" s="1">
        <v>164573.33799999999</v>
      </c>
      <c r="V58" s="1">
        <v>219179.69699999999</v>
      </c>
      <c r="W58" s="1">
        <v>240325.46400000001</v>
      </c>
      <c r="X58" s="1">
        <v>263670.783</v>
      </c>
      <c r="Y58" s="1">
        <v>263439.37599999999</v>
      </c>
      <c r="Z58" s="1">
        <v>274538.65000000002</v>
      </c>
      <c r="AA58" s="1">
        <v>302358.641</v>
      </c>
      <c r="AB58" s="1">
        <v>321815.21399999998</v>
      </c>
      <c r="AC58" s="1">
        <v>326142.89899999998</v>
      </c>
      <c r="AD58" s="1"/>
      <c r="AE58" s="1">
        <v>345405.84100000001</v>
      </c>
    </row>
    <row r="59" spans="1:31">
      <c r="A59" s="1" t="s">
        <v>73</v>
      </c>
      <c r="F59" s="41">
        <v>20670.816999999999</v>
      </c>
      <c r="I59" s="1">
        <v>22711.082999999999</v>
      </c>
      <c r="K59" s="1">
        <v>24941.826000000001</v>
      </c>
      <c r="L59" s="1">
        <v>32141.991999999998</v>
      </c>
      <c r="M59" s="1">
        <v>34674.351000000002</v>
      </c>
      <c r="N59" s="1">
        <v>39624.887000000002</v>
      </c>
      <c r="O59" s="1">
        <v>44499.044000000002</v>
      </c>
      <c r="P59" s="1">
        <v>47097.821000000004</v>
      </c>
      <c r="Q59" s="1">
        <v>49937.61</v>
      </c>
      <c r="R59" s="1">
        <v>51359.046000000002</v>
      </c>
      <c r="S59" s="1">
        <v>49814.034</v>
      </c>
      <c r="T59" s="1">
        <v>55907.18</v>
      </c>
      <c r="U59" s="1">
        <v>55601.798999999999</v>
      </c>
      <c r="V59" s="1">
        <v>57095.92</v>
      </c>
      <c r="W59" s="1">
        <v>64471.156999999999</v>
      </c>
      <c r="X59" s="1">
        <v>66269.176999999996</v>
      </c>
      <c r="Y59" s="1">
        <v>69254.838000000003</v>
      </c>
      <c r="Z59" s="1">
        <v>71687.828999999998</v>
      </c>
      <c r="AA59" s="1">
        <v>80029.157999999996</v>
      </c>
      <c r="AB59" s="1">
        <v>87134.28</v>
      </c>
      <c r="AC59" s="1">
        <v>86859.856</v>
      </c>
      <c r="AE59" s="1">
        <v>101778.004</v>
      </c>
    </row>
    <row r="60" spans="1:31">
      <c r="A60" s="1" t="s">
        <v>74</v>
      </c>
      <c r="F60" s="41">
        <v>59083.892999999996</v>
      </c>
      <c r="I60" s="1">
        <v>63362.021999999997</v>
      </c>
      <c r="K60" s="1">
        <v>124076.23299999999</v>
      </c>
      <c r="L60" s="1">
        <v>91320.05</v>
      </c>
      <c r="M60" s="1">
        <v>99256.020999999993</v>
      </c>
      <c r="N60" s="1">
        <v>106967.452</v>
      </c>
      <c r="O60" s="1">
        <v>118207.493</v>
      </c>
      <c r="P60" s="1">
        <v>125606.158</v>
      </c>
      <c r="Q60" s="1">
        <v>233835.17800000001</v>
      </c>
      <c r="R60" s="1">
        <v>240671.08199999999</v>
      </c>
      <c r="S60" s="1">
        <v>229111.30300000001</v>
      </c>
      <c r="T60" s="1">
        <v>251741.77299999999</v>
      </c>
      <c r="U60" s="1">
        <v>235857.3</v>
      </c>
      <c r="V60" s="1">
        <v>282401.25400000002</v>
      </c>
      <c r="W60" s="1">
        <v>296392.90899999999</v>
      </c>
      <c r="X60" s="1">
        <v>311475.18099999998</v>
      </c>
      <c r="Y60" s="1">
        <v>313360.39799999999</v>
      </c>
      <c r="Z60" s="1">
        <v>361070.07799999998</v>
      </c>
      <c r="AA60" s="1">
        <v>348455.19099999999</v>
      </c>
      <c r="AB60" s="1">
        <v>373707.88299999997</v>
      </c>
      <c r="AC60" s="1">
        <v>774660.32499999995</v>
      </c>
      <c r="AE60" s="1">
        <v>801534.3</v>
      </c>
    </row>
    <row r="61" spans="1:31">
      <c r="A61" s="1" t="s">
        <v>75</v>
      </c>
      <c r="F61" s="41">
        <v>213357.83900000001</v>
      </c>
      <c r="I61" s="1">
        <v>246962.734</v>
      </c>
      <c r="K61" s="1">
        <v>308370.40500000003</v>
      </c>
      <c r="L61" s="1">
        <v>288841.78100000002</v>
      </c>
      <c r="M61" s="1">
        <v>352051.05599999998</v>
      </c>
      <c r="N61" s="1">
        <v>364556.16200000001</v>
      </c>
      <c r="O61" s="1">
        <v>323308.86800000002</v>
      </c>
      <c r="P61" s="1">
        <v>333372.33399999997</v>
      </c>
      <c r="Q61" s="1">
        <v>403170.71799999999</v>
      </c>
      <c r="R61" s="1">
        <v>388389.48200000002</v>
      </c>
      <c r="S61" s="1">
        <v>421987.37599999999</v>
      </c>
      <c r="T61" s="1">
        <v>460363.00099999999</v>
      </c>
      <c r="U61" s="1">
        <v>547291.61300000001</v>
      </c>
      <c r="V61" s="1">
        <v>814034.58600000001</v>
      </c>
      <c r="W61" s="1">
        <v>859021.97499999998</v>
      </c>
      <c r="X61" s="1">
        <v>856444.62</v>
      </c>
      <c r="Y61" s="1">
        <v>830127.45200000005</v>
      </c>
      <c r="Z61" s="1">
        <v>927836.91</v>
      </c>
      <c r="AA61" s="1">
        <v>920972.24199999997</v>
      </c>
      <c r="AB61" s="1">
        <v>1030415.706</v>
      </c>
      <c r="AC61" s="1">
        <v>1055834.5619999999</v>
      </c>
      <c r="AE61" s="1">
        <v>1017188.84</v>
      </c>
    </row>
    <row r="62" spans="1:31">
      <c r="A62" s="1" t="s">
        <v>76</v>
      </c>
      <c r="F62" s="41">
        <v>287376.27899999998</v>
      </c>
      <c r="I62" s="1">
        <v>328822.78999999998</v>
      </c>
      <c r="K62" s="1">
        <v>354750.14899999998</v>
      </c>
      <c r="L62" s="1">
        <v>423191.886</v>
      </c>
      <c r="M62" s="1">
        <v>388042.91499999998</v>
      </c>
      <c r="N62" s="1">
        <v>213991.92300000001</v>
      </c>
      <c r="O62" s="1">
        <v>124427.274</v>
      </c>
      <c r="P62" s="1">
        <v>122940.026</v>
      </c>
      <c r="Q62" s="1">
        <v>122576.11</v>
      </c>
      <c r="R62" s="1">
        <v>128391.04399999999</v>
      </c>
      <c r="S62" s="1">
        <v>141862.79699999999</v>
      </c>
      <c r="T62" s="1">
        <v>150381.25899999999</v>
      </c>
      <c r="U62" s="1">
        <v>165647.69200000001</v>
      </c>
      <c r="V62" s="1">
        <v>196857.11199999999</v>
      </c>
      <c r="W62" s="1">
        <v>189736.10200000001</v>
      </c>
      <c r="X62" s="1">
        <v>190328.01300000001</v>
      </c>
      <c r="Y62" s="1">
        <v>204683.875</v>
      </c>
      <c r="Z62" s="1">
        <v>206749.33</v>
      </c>
      <c r="AA62" s="1">
        <v>213659.245</v>
      </c>
      <c r="AB62" s="1">
        <v>219770.231</v>
      </c>
      <c r="AC62" s="1">
        <v>222580.397</v>
      </c>
      <c r="AE62" s="1">
        <v>203914.492</v>
      </c>
    </row>
    <row r="63" spans="1:31">
      <c r="A63" s="1" t="s">
        <v>77</v>
      </c>
      <c r="F63" s="41">
        <v>27376.123</v>
      </c>
      <c r="I63" s="1">
        <v>27467.418000000001</v>
      </c>
      <c r="K63" s="1">
        <v>33196.620000000003</v>
      </c>
      <c r="L63" s="1">
        <v>40066.798000000003</v>
      </c>
      <c r="M63" s="1">
        <v>40884.786999999997</v>
      </c>
      <c r="N63" s="1">
        <v>37822.252</v>
      </c>
      <c r="O63" s="1">
        <v>45788.531000000003</v>
      </c>
      <c r="P63" s="1">
        <v>46204.372000000003</v>
      </c>
      <c r="Q63" s="1">
        <v>47148.233999999997</v>
      </c>
      <c r="R63" s="1">
        <v>47558.118999999999</v>
      </c>
      <c r="S63" s="1">
        <v>47251.438999999998</v>
      </c>
      <c r="T63" s="1">
        <v>46791.017999999996</v>
      </c>
      <c r="U63" s="1">
        <v>47143.148000000001</v>
      </c>
      <c r="V63" s="1">
        <v>55985.021000000001</v>
      </c>
      <c r="W63" s="1">
        <v>60258.432000000001</v>
      </c>
      <c r="X63" s="1">
        <v>60503.281999999999</v>
      </c>
      <c r="Y63" s="1">
        <v>64332.754999999997</v>
      </c>
      <c r="Z63" s="1">
        <v>62445.523999999998</v>
      </c>
      <c r="AA63" s="1">
        <v>63755.843999999997</v>
      </c>
      <c r="AB63" s="1">
        <v>67135.846999999994</v>
      </c>
      <c r="AC63" s="1">
        <v>74351.648000000001</v>
      </c>
      <c r="AE63" s="1">
        <v>77291.618000000002</v>
      </c>
    </row>
    <row r="64" spans="1:31">
      <c r="A64" s="23" t="s">
        <v>78</v>
      </c>
      <c r="B64" s="23"/>
      <c r="C64" s="23"/>
      <c r="D64" s="23"/>
      <c r="E64" s="23"/>
      <c r="F64" s="44">
        <v>21221.425999999999</v>
      </c>
      <c r="G64" s="23"/>
      <c r="H64" s="23"/>
      <c r="I64" s="23">
        <v>25862.93</v>
      </c>
      <c r="J64" s="23"/>
      <c r="K64" s="23">
        <v>29944.883000000002</v>
      </c>
      <c r="L64" s="23">
        <v>32748.419000000002</v>
      </c>
      <c r="M64" s="23">
        <v>37672.046000000002</v>
      </c>
      <c r="N64" s="23">
        <v>36779.165000000001</v>
      </c>
      <c r="O64" s="23">
        <v>27352.967000000001</v>
      </c>
      <c r="P64" s="23">
        <v>41231.85</v>
      </c>
      <c r="Q64" s="23">
        <v>42964.298999999999</v>
      </c>
      <c r="R64" s="23">
        <v>43260.446000000004</v>
      </c>
      <c r="S64" s="23">
        <v>49678.6</v>
      </c>
      <c r="T64" s="23">
        <v>60543.671999999999</v>
      </c>
      <c r="U64" s="23">
        <v>55668.968999999997</v>
      </c>
      <c r="V64" s="23">
        <v>71604.13</v>
      </c>
      <c r="W64" s="23">
        <v>74236.573999999993</v>
      </c>
      <c r="X64" s="23">
        <v>77740.691999999995</v>
      </c>
      <c r="Y64" s="23">
        <v>77035.438999999998</v>
      </c>
      <c r="Z64" s="23">
        <v>80067.870999999999</v>
      </c>
      <c r="AA64" s="23">
        <v>80944.172999999995</v>
      </c>
      <c r="AB64" s="23">
        <v>86504.691999999995</v>
      </c>
      <c r="AC64" s="23">
        <v>88519.683999999994</v>
      </c>
      <c r="AD64" s="23"/>
      <c r="AE64" s="23">
        <v>91090</v>
      </c>
    </row>
    <row r="65" spans="1:31">
      <c r="A65" s="45" t="s">
        <v>79</v>
      </c>
      <c r="B65" s="45"/>
      <c r="C65" s="45"/>
      <c r="D65" s="45"/>
      <c r="E65" s="45"/>
      <c r="F65" s="46">
        <v>13934.57</v>
      </c>
      <c r="G65" s="45"/>
      <c r="H65" s="45"/>
      <c r="I65" s="45">
        <v>7098.1120000000001</v>
      </c>
      <c r="J65" s="45"/>
      <c r="K65" s="45">
        <v>8694.28442</v>
      </c>
      <c r="L65" s="45">
        <v>6263.732</v>
      </c>
      <c r="M65" s="45">
        <v>8620.3410000000003</v>
      </c>
      <c r="N65" s="45">
        <v>10363.549000000001</v>
      </c>
      <c r="O65" s="45">
        <v>10691.951999999999</v>
      </c>
      <c r="P65" s="45">
        <v>8399.3639999999996</v>
      </c>
      <c r="Q65" s="45">
        <v>11500.377</v>
      </c>
      <c r="R65" s="45">
        <v>17079.357</v>
      </c>
      <c r="S65" s="45">
        <v>14352.803</v>
      </c>
      <c r="T65" s="45">
        <v>20405.77</v>
      </c>
      <c r="U65" s="45">
        <v>15259.525</v>
      </c>
      <c r="V65" s="45">
        <v>20139</v>
      </c>
      <c r="W65" s="45">
        <v>24335.175999999999</v>
      </c>
      <c r="X65" s="23">
        <v>21022.454000000002</v>
      </c>
      <c r="Y65" s="23">
        <v>19975.754000000001</v>
      </c>
      <c r="Z65" s="23">
        <v>15360.365</v>
      </c>
      <c r="AA65" s="23">
        <v>18031.113000000001</v>
      </c>
      <c r="AB65" s="23">
        <v>18423.925999999999</v>
      </c>
      <c r="AC65" s="23">
        <v>19505.846000000001</v>
      </c>
      <c r="AD65" s="23"/>
      <c r="AE65" s="23">
        <v>23640.162</v>
      </c>
    </row>
    <row r="67" spans="1:31">
      <c r="I67" s="19" t="s">
        <v>99</v>
      </c>
      <c r="J67" s="19" t="s">
        <v>100</v>
      </c>
      <c r="K67" s="19"/>
      <c r="L67" s="19" t="s">
        <v>101</v>
      </c>
      <c r="M67" s="19"/>
      <c r="N67" s="19"/>
      <c r="O67" s="19" t="s">
        <v>99</v>
      </c>
      <c r="P67" s="19" t="s">
        <v>99</v>
      </c>
      <c r="Q67" s="19" t="s">
        <v>99</v>
      </c>
      <c r="R67" s="19" t="s">
        <v>99</v>
      </c>
      <c r="S67" s="19"/>
      <c r="T67" s="19"/>
      <c r="U67" s="19"/>
      <c r="V67" s="19"/>
      <c r="W67" s="19"/>
    </row>
    <row r="68" spans="1:31">
      <c r="I68" s="1" t="s">
        <v>102</v>
      </c>
      <c r="J68" s="1" t="s">
        <v>103</v>
      </c>
      <c r="L68" s="1" t="s">
        <v>104</v>
      </c>
      <c r="O68" s="1" t="s">
        <v>102</v>
      </c>
      <c r="P68" s="1" t="s">
        <v>102</v>
      </c>
      <c r="Q68" s="1" t="s">
        <v>102</v>
      </c>
      <c r="R68" s="1" t="s">
        <v>102</v>
      </c>
    </row>
    <row r="69" spans="1:31">
      <c r="I69" s="1" t="s">
        <v>105</v>
      </c>
      <c r="J69" s="1" t="s">
        <v>106</v>
      </c>
      <c r="O69" s="1" t="s">
        <v>105</v>
      </c>
      <c r="P69" s="1" t="s">
        <v>105</v>
      </c>
      <c r="Q69" s="1" t="s">
        <v>105</v>
      </c>
      <c r="R69" s="1" t="s">
        <v>105</v>
      </c>
    </row>
    <row r="70" spans="1:31">
      <c r="J70" s="1" t="s">
        <v>107</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codeName="Sheet7">
    <tabColor theme="4" tint="0.39997558519241921"/>
  </sheetPr>
  <dimension ref="A1:AE70"/>
  <sheetViews>
    <sheetView showZeros="0" zoomScale="80" zoomScaleNormal="80" workbookViewId="0">
      <pane xSplit="1" ySplit="5" topLeftCell="R6" activePane="bottomRight" state="frozen"/>
      <selection pane="topRight" activeCell="AC65" sqref="AC65"/>
      <selection pane="bottomLeft" activeCell="AC65" sqref="AC65"/>
      <selection pane="bottomRight" activeCell="AE9" sqref="AE9:AE24"/>
    </sheetView>
  </sheetViews>
  <sheetFormatPr defaultColWidth="9.85546875" defaultRowHeight="12.75"/>
  <cols>
    <col min="1" max="1" width="23.42578125" style="43" customWidth="1"/>
    <col min="2" max="23" width="12.42578125" style="1" customWidth="1"/>
    <col min="24" max="29" width="10.85546875" style="1" customWidth="1"/>
    <col min="30" max="31" width="12.42578125" style="1" customWidth="1"/>
    <col min="32" max="58" width="10.85546875" style="1" customWidth="1"/>
    <col min="59" max="16384" width="9.85546875" style="1"/>
  </cols>
  <sheetData>
    <row r="1" spans="1:31">
      <c r="A1" s="7" t="s">
        <v>94</v>
      </c>
      <c r="B1"/>
      <c r="C1"/>
      <c r="D1" s="9"/>
      <c r="E1" s="9"/>
      <c r="F1" s="9"/>
      <c r="AA1" s="1">
        <v>1000</v>
      </c>
    </row>
    <row r="2" spans="1:31">
      <c r="A2" s="7"/>
      <c r="B2"/>
      <c r="C2"/>
      <c r="D2" s="9"/>
      <c r="E2" s="9"/>
    </row>
    <row r="3" spans="1:31">
      <c r="A3" s="7" t="s">
        <v>134</v>
      </c>
      <c r="B3"/>
      <c r="C3"/>
      <c r="D3" s="9"/>
      <c r="E3" s="9"/>
    </row>
    <row r="4" spans="1:31" s="32" customFormat="1">
      <c r="B4" s="32">
        <v>1984</v>
      </c>
      <c r="C4" s="32">
        <v>1985</v>
      </c>
      <c r="D4" s="32">
        <v>1986</v>
      </c>
      <c r="E4" s="32">
        <v>1991</v>
      </c>
      <c r="F4" s="32">
        <v>1992</v>
      </c>
      <c r="G4" s="32">
        <v>1993</v>
      </c>
      <c r="H4" s="32">
        <v>1994</v>
      </c>
      <c r="I4" s="32">
        <v>1995</v>
      </c>
      <c r="J4" s="32">
        <v>1996</v>
      </c>
      <c r="K4" s="32">
        <v>1997</v>
      </c>
      <c r="L4" s="32">
        <v>2000</v>
      </c>
      <c r="M4" s="39">
        <v>2001</v>
      </c>
      <c r="N4" s="39">
        <v>2002</v>
      </c>
      <c r="O4" s="39">
        <v>2003</v>
      </c>
      <c r="P4" s="39">
        <v>2004</v>
      </c>
      <c r="Q4" s="39">
        <v>2005</v>
      </c>
      <c r="R4" s="39">
        <v>2006</v>
      </c>
      <c r="S4" s="39">
        <v>2007</v>
      </c>
      <c r="T4" s="39">
        <v>2008</v>
      </c>
      <c r="U4" s="39">
        <v>2009</v>
      </c>
      <c r="V4" s="39">
        <v>2010</v>
      </c>
      <c r="W4" s="39">
        <v>2011</v>
      </c>
      <c r="X4" s="32" t="s">
        <v>111</v>
      </c>
      <c r="Y4" s="32" t="s">
        <v>112</v>
      </c>
      <c r="Z4" s="32" t="s">
        <v>113</v>
      </c>
      <c r="AA4" s="32" t="s">
        <v>114</v>
      </c>
      <c r="AB4" s="95" t="s">
        <v>115</v>
      </c>
      <c r="AC4" s="95" t="s">
        <v>116</v>
      </c>
      <c r="AD4" s="96">
        <v>2018</v>
      </c>
      <c r="AE4" s="96">
        <v>2019</v>
      </c>
    </row>
    <row r="5" spans="1:31">
      <c r="B5" s="8" t="s">
        <v>109</v>
      </c>
      <c r="C5" s="8" t="s">
        <v>109</v>
      </c>
      <c r="D5" s="8" t="s">
        <v>109</v>
      </c>
      <c r="E5" s="8" t="s">
        <v>109</v>
      </c>
      <c r="F5" s="8" t="s">
        <v>109</v>
      </c>
      <c r="G5" s="8" t="s">
        <v>109</v>
      </c>
      <c r="H5" s="8" t="s">
        <v>109</v>
      </c>
      <c r="I5" s="8" t="s">
        <v>109</v>
      </c>
      <c r="J5" s="8" t="s">
        <v>109</v>
      </c>
      <c r="K5" s="8" t="s">
        <v>109</v>
      </c>
      <c r="L5" s="8" t="s">
        <v>109</v>
      </c>
      <c r="M5" s="8" t="s">
        <v>109</v>
      </c>
      <c r="N5" s="8" t="s">
        <v>109</v>
      </c>
      <c r="O5" s="8" t="s">
        <v>109</v>
      </c>
      <c r="P5" s="8" t="s">
        <v>109</v>
      </c>
      <c r="Q5" s="8" t="s">
        <v>109</v>
      </c>
      <c r="R5" s="8" t="s">
        <v>109</v>
      </c>
      <c r="S5" s="8" t="s">
        <v>109</v>
      </c>
      <c r="T5" s="8" t="s">
        <v>109</v>
      </c>
      <c r="U5" s="8" t="s">
        <v>109</v>
      </c>
      <c r="V5" s="8" t="s">
        <v>109</v>
      </c>
      <c r="W5" s="8" t="s">
        <v>109</v>
      </c>
      <c r="X5" s="8" t="s">
        <v>109</v>
      </c>
      <c r="Y5" s="8" t="s">
        <v>109</v>
      </c>
      <c r="Z5" s="8" t="s">
        <v>109</v>
      </c>
      <c r="AA5" s="8" t="s">
        <v>109</v>
      </c>
      <c r="AB5" s="8" t="s">
        <v>109</v>
      </c>
      <c r="AC5" s="8" t="s">
        <v>109</v>
      </c>
      <c r="AD5" s="8" t="s">
        <v>109</v>
      </c>
      <c r="AE5" s="8" t="s">
        <v>109</v>
      </c>
    </row>
    <row r="6" spans="1:31">
      <c r="A6" s="23" t="s">
        <v>24</v>
      </c>
      <c r="B6" s="1">
        <v>723469</v>
      </c>
      <c r="C6" s="1">
        <v>807909</v>
      </c>
      <c r="D6" s="1">
        <v>877683</v>
      </c>
      <c r="E6" s="1">
        <v>1282874.9240000001</v>
      </c>
      <c r="F6" s="48">
        <f>+F7+F25+F40+F54+F65</f>
        <v>1270905.263</v>
      </c>
      <c r="G6" s="1">
        <v>1404989.3189999999</v>
      </c>
      <c r="H6" s="1">
        <v>1511754.71</v>
      </c>
      <c r="I6" s="48">
        <f>+I7+I25+I40+I54+I65</f>
        <v>1473756.7420000001</v>
      </c>
      <c r="J6" s="41">
        <v>1697514.9720000001</v>
      </c>
      <c r="K6" s="48">
        <f t="shared" ref="K6:U6" si="0">+K7+K25+K40+K54+K65</f>
        <v>1814678.9627100001</v>
      </c>
      <c r="L6" s="48">
        <f t="shared" si="0"/>
        <v>2149458.4669999997</v>
      </c>
      <c r="M6" s="48">
        <f t="shared" si="0"/>
        <v>2366005.9589999998</v>
      </c>
      <c r="N6" s="48">
        <f t="shared" si="0"/>
        <v>2380279.8299999996</v>
      </c>
      <c r="O6" s="48">
        <f t="shared" si="0"/>
        <v>2374682.5580000002</v>
      </c>
      <c r="P6" s="48">
        <f t="shared" si="0"/>
        <v>2429875.6870000004</v>
      </c>
      <c r="Q6" s="48">
        <f t="shared" si="0"/>
        <v>2749206.4210000006</v>
      </c>
      <c r="R6" s="48">
        <f t="shared" si="0"/>
        <v>2927585.6189999999</v>
      </c>
      <c r="S6" s="48">
        <f t="shared" si="0"/>
        <v>3120586.7050000001</v>
      </c>
      <c r="T6" s="48">
        <f t="shared" si="0"/>
        <v>3458789.45</v>
      </c>
      <c r="U6" s="48">
        <f t="shared" si="0"/>
        <v>3824576.8890000004</v>
      </c>
      <c r="V6" s="48">
        <f t="shared" ref="V6:W6" si="1">+V7+V25+V40+V54+V65</f>
        <v>4484811.835</v>
      </c>
      <c r="W6" s="48">
        <f t="shared" si="1"/>
        <v>4683027.3389999997</v>
      </c>
      <c r="X6" s="48">
        <f t="shared" ref="X6:Y6" si="2">+X7+X25+X40+X54+X65</f>
        <v>4767651.6579999998</v>
      </c>
      <c r="Y6" s="48">
        <f t="shared" si="2"/>
        <v>4202189.9909999995</v>
      </c>
      <c r="Z6" s="48">
        <f t="shared" ref="Z6:AA6" si="3">+Z7+Z25+Z40+Z54+Z65</f>
        <v>4426522.6969999997</v>
      </c>
      <c r="AA6" s="48">
        <f t="shared" si="3"/>
        <v>4524773.4339999994</v>
      </c>
      <c r="AB6" s="48">
        <f t="shared" ref="AB6:AE6" si="4">+AB7+AB25+AB40+AB54+AB65</f>
        <v>5326502.7149999999</v>
      </c>
      <c r="AC6" s="48">
        <f t="shared" si="4"/>
        <v>5314200.0719999997</v>
      </c>
      <c r="AD6" s="48">
        <f t="shared" si="4"/>
        <v>0</v>
      </c>
      <c r="AE6" s="48">
        <f t="shared" si="4"/>
        <v>5572066.0139999986</v>
      </c>
    </row>
    <row r="7" spans="1:31">
      <c r="A7" s="1" t="s">
        <v>25</v>
      </c>
      <c r="B7" s="47">
        <f>SUM(B8:B24)</f>
        <v>233746</v>
      </c>
      <c r="C7" s="47">
        <f t="shared" ref="C7:U7" si="5">SUM(C8:C24)</f>
        <v>260723</v>
      </c>
      <c r="D7" s="47">
        <f t="shared" si="5"/>
        <v>273381</v>
      </c>
      <c r="E7" s="47">
        <f t="shared" si="5"/>
        <v>413402.60800000007</v>
      </c>
      <c r="F7" s="47">
        <f t="shared" si="5"/>
        <v>409758.82700000005</v>
      </c>
      <c r="G7" s="47">
        <f t="shared" si="5"/>
        <v>447806.02800000005</v>
      </c>
      <c r="H7" s="47">
        <f t="shared" si="5"/>
        <v>477158.64000000007</v>
      </c>
      <c r="I7" s="47">
        <f t="shared" si="5"/>
        <v>495889.55800000002</v>
      </c>
      <c r="J7" s="47">
        <f t="shared" si="5"/>
        <v>516749.39699999994</v>
      </c>
      <c r="K7" s="47">
        <f t="shared" si="5"/>
        <v>541724.03960000002</v>
      </c>
      <c r="L7" s="47">
        <f t="shared" si="5"/>
        <v>723109.429</v>
      </c>
      <c r="M7" s="47">
        <f t="shared" si="5"/>
        <v>812216.71000000008</v>
      </c>
      <c r="N7" s="47">
        <f t="shared" si="5"/>
        <v>795887.21199999994</v>
      </c>
      <c r="O7" s="47">
        <f t="shared" si="5"/>
        <v>792737.23400000005</v>
      </c>
      <c r="P7" s="47">
        <f t="shared" si="5"/>
        <v>822907.853</v>
      </c>
      <c r="Q7" s="47">
        <f t="shared" si="5"/>
        <v>928484.49599999993</v>
      </c>
      <c r="R7" s="47">
        <f t="shared" si="5"/>
        <v>972901.00399999996</v>
      </c>
      <c r="S7" s="47">
        <f t="shared" si="5"/>
        <v>1061781.0780000002</v>
      </c>
      <c r="T7" s="47">
        <f t="shared" si="5"/>
        <v>1185410.7760000001</v>
      </c>
      <c r="U7" s="47">
        <f t="shared" si="5"/>
        <v>1306165.7520000001</v>
      </c>
      <c r="V7" s="47">
        <f t="shared" ref="V7:W7" si="6">SUM(V8:V24)</f>
        <v>1551355.3779999998</v>
      </c>
      <c r="W7" s="47">
        <f t="shared" si="6"/>
        <v>1637863.4310000001</v>
      </c>
      <c r="X7" s="47">
        <f t="shared" ref="X7:Y7" si="7">SUM(X8:X24)</f>
        <v>1699001.76</v>
      </c>
      <c r="Y7" s="47">
        <f t="shared" si="7"/>
        <v>1635565.5</v>
      </c>
      <c r="Z7" s="47">
        <f t="shared" ref="Z7:AA7" si="8">SUM(Z8:Z24)</f>
        <v>1719791.3799999997</v>
      </c>
      <c r="AA7" s="47">
        <f t="shared" si="8"/>
        <v>1760151.4029999999</v>
      </c>
      <c r="AB7" s="47">
        <f t="shared" ref="AB7:AE7" si="9">SUM(AB8:AB24)</f>
        <v>1867188.4790000005</v>
      </c>
      <c r="AC7" s="47">
        <f t="shared" si="9"/>
        <v>1780045.9450000001</v>
      </c>
      <c r="AD7" s="47">
        <f t="shared" si="9"/>
        <v>0</v>
      </c>
      <c r="AE7" s="47">
        <f t="shared" si="9"/>
        <v>1890283.4449999996</v>
      </c>
    </row>
    <row r="8" spans="1:31">
      <c r="A8" s="7" t="s">
        <v>97</v>
      </c>
    </row>
    <row r="9" spans="1:31">
      <c r="A9" s="1" t="s">
        <v>26</v>
      </c>
      <c r="B9" s="1">
        <v>8112</v>
      </c>
      <c r="C9" s="1">
        <v>9751</v>
      </c>
      <c r="D9" s="1">
        <v>11423</v>
      </c>
      <c r="E9" s="1">
        <v>18661.806</v>
      </c>
      <c r="F9" s="41">
        <v>19255.021000000001</v>
      </c>
      <c r="G9" s="1">
        <v>20891.671999999999</v>
      </c>
      <c r="H9" s="1">
        <v>24724.179</v>
      </c>
      <c r="I9" s="1">
        <v>24621.824000000001</v>
      </c>
      <c r="J9" s="1">
        <v>25682.516</v>
      </c>
      <c r="K9" s="1">
        <v>24202.017340000002</v>
      </c>
      <c r="L9" s="1">
        <v>29925.612000000001</v>
      </c>
      <c r="M9" s="1">
        <v>29509.546999999999</v>
      </c>
      <c r="N9" s="1">
        <v>30657.383000000002</v>
      </c>
      <c r="O9" s="1">
        <v>33065.667000000001</v>
      </c>
      <c r="P9" s="1">
        <v>32608.353999999999</v>
      </c>
      <c r="Q9" s="1">
        <v>37107.173000000003</v>
      </c>
      <c r="R9" s="1">
        <v>41556.881000000001</v>
      </c>
      <c r="S9" s="1">
        <v>43384.982000000004</v>
      </c>
      <c r="T9" s="1">
        <v>55168.025999999998</v>
      </c>
      <c r="U9" s="1">
        <v>50903.088000000003</v>
      </c>
      <c r="V9" s="1">
        <v>53968.425000000003</v>
      </c>
      <c r="W9" s="1">
        <v>56528.311000000002</v>
      </c>
      <c r="X9" s="1">
        <v>55633.959000000003</v>
      </c>
      <c r="Y9" s="1">
        <v>53350.622000000003</v>
      </c>
      <c r="Z9" s="1">
        <v>54008.436999999998</v>
      </c>
      <c r="AA9" s="1">
        <v>55048.275999999998</v>
      </c>
      <c r="AB9" s="1">
        <v>54322.523000000001</v>
      </c>
      <c r="AC9" s="1">
        <v>50095.673999999999</v>
      </c>
      <c r="AE9" s="1">
        <v>46569.264000000003</v>
      </c>
    </row>
    <row r="10" spans="1:31">
      <c r="A10" s="1" t="s">
        <v>27</v>
      </c>
      <c r="B10" s="1">
        <v>2342</v>
      </c>
      <c r="C10" s="1">
        <v>2341</v>
      </c>
      <c r="D10" s="1">
        <v>2879</v>
      </c>
      <c r="E10" s="1">
        <v>4050.1280000000002</v>
      </c>
      <c r="F10" s="41">
        <v>4826.3249999999998</v>
      </c>
      <c r="G10" s="1">
        <v>6002.9949999999999</v>
      </c>
      <c r="H10" s="1">
        <v>7219.165</v>
      </c>
      <c r="I10" s="1">
        <v>7945.1790000000001</v>
      </c>
      <c r="J10" s="1">
        <v>11368.378000000001</v>
      </c>
      <c r="K10" s="1">
        <v>9002.8089999999993</v>
      </c>
      <c r="L10" s="1">
        <v>13949.358</v>
      </c>
      <c r="M10" s="1">
        <v>13891.097</v>
      </c>
      <c r="N10" s="1">
        <v>12797.224</v>
      </c>
      <c r="O10" s="1">
        <v>14385.51</v>
      </c>
      <c r="P10" s="1">
        <v>15991.227999999999</v>
      </c>
      <c r="Q10" s="1">
        <v>16934.964</v>
      </c>
      <c r="R10" s="1">
        <v>20533.093000000001</v>
      </c>
      <c r="S10" s="1">
        <v>27695.73</v>
      </c>
      <c r="T10" s="1">
        <v>32752.207999999999</v>
      </c>
      <c r="U10" s="1">
        <v>31094.079000000002</v>
      </c>
      <c r="V10" s="1">
        <v>38430.735000000001</v>
      </c>
      <c r="W10" s="1">
        <v>42452.606</v>
      </c>
      <c r="X10" s="1">
        <v>42660.728999999999</v>
      </c>
      <c r="Y10" s="1">
        <v>42549.656999999999</v>
      </c>
      <c r="Z10" s="1">
        <v>42725.209000000003</v>
      </c>
      <c r="AA10" s="1">
        <v>42177.461000000003</v>
      </c>
      <c r="AB10" s="1">
        <v>42931.004000000001</v>
      </c>
      <c r="AC10" s="1">
        <v>42040.139000000003</v>
      </c>
      <c r="AE10" s="1">
        <v>39620.983</v>
      </c>
    </row>
    <row r="11" spans="1:31">
      <c r="A11" s="1" t="s">
        <v>28</v>
      </c>
      <c r="D11" s="1">
        <v>2358</v>
      </c>
      <c r="E11" s="1">
        <v>2665.6529999999998</v>
      </c>
      <c r="F11" s="41">
        <v>3072.8679999999999</v>
      </c>
      <c r="I11" s="1">
        <v>14266.812</v>
      </c>
      <c r="J11" s="1">
        <v>4802.9179999999997</v>
      </c>
      <c r="K11" s="1">
        <v>2983.067</v>
      </c>
      <c r="L11" s="1">
        <v>6596.259</v>
      </c>
      <c r="M11" s="1">
        <v>7048.6850000000004</v>
      </c>
      <c r="N11" s="1">
        <v>7735.53</v>
      </c>
      <c r="O11" s="1">
        <v>7829.3249999999998</v>
      </c>
      <c r="P11" s="1">
        <v>9404.8040000000001</v>
      </c>
      <c r="Q11" s="1">
        <v>10433.699000000001</v>
      </c>
      <c r="R11" s="1">
        <v>13072.611999999999</v>
      </c>
      <c r="S11" s="1">
        <v>12114.79</v>
      </c>
      <c r="T11" s="1">
        <v>13781.062</v>
      </c>
      <c r="U11" s="1">
        <v>13261.933000000001</v>
      </c>
      <c r="V11" s="1">
        <v>15294.665999999999</v>
      </c>
      <c r="W11" s="1">
        <v>15946.456</v>
      </c>
      <c r="X11" s="1">
        <v>16478.905999999999</v>
      </c>
      <c r="Y11" s="1">
        <v>16740.809000000001</v>
      </c>
      <c r="Z11" s="1">
        <v>17302.196</v>
      </c>
      <c r="AA11" s="1">
        <v>18131.383999999998</v>
      </c>
      <c r="AB11" s="1">
        <v>19680.231</v>
      </c>
      <c r="AC11" s="1">
        <v>18362.863000000001</v>
      </c>
      <c r="AE11" s="1">
        <v>17849.215</v>
      </c>
    </row>
    <row r="12" spans="1:31">
      <c r="A12" s="1" t="s">
        <v>29</v>
      </c>
      <c r="B12" s="1">
        <v>49859</v>
      </c>
      <c r="C12" s="1">
        <v>53239</v>
      </c>
      <c r="D12" s="1">
        <v>52443</v>
      </c>
      <c r="E12" s="1">
        <v>86919.387000000002</v>
      </c>
      <c r="F12" s="41">
        <v>84178.3</v>
      </c>
      <c r="G12" s="1">
        <v>90626.887000000002</v>
      </c>
      <c r="H12" s="1">
        <v>95425.203999999998</v>
      </c>
      <c r="I12" s="1">
        <v>98303.513999999996</v>
      </c>
      <c r="J12" s="1">
        <v>96432.672000000006</v>
      </c>
      <c r="K12" s="1">
        <v>105204.291</v>
      </c>
      <c r="L12" s="1">
        <v>167378.92000000001</v>
      </c>
      <c r="M12" s="1">
        <v>184087.22899999999</v>
      </c>
      <c r="N12" s="1">
        <v>167360.65900000001</v>
      </c>
      <c r="O12" s="1">
        <v>138188.39199999999</v>
      </c>
      <c r="P12" s="1">
        <v>144829.503</v>
      </c>
      <c r="Q12" s="1">
        <v>148685.61600000001</v>
      </c>
      <c r="R12" s="1">
        <v>148820.25399999999</v>
      </c>
      <c r="S12" s="1">
        <v>188005.87299999999</v>
      </c>
      <c r="T12" s="1">
        <v>189928.29199999999</v>
      </c>
      <c r="U12" s="1">
        <v>294482.65299999999</v>
      </c>
      <c r="V12" s="1">
        <v>302905.16499999998</v>
      </c>
      <c r="W12" s="1">
        <v>323565.18599999999</v>
      </c>
      <c r="X12" s="1">
        <v>324112.60700000002</v>
      </c>
      <c r="Y12" s="1">
        <v>315270.11599999998</v>
      </c>
      <c r="Z12" s="1">
        <v>329215.891</v>
      </c>
      <c r="AA12" s="1">
        <v>328119.67700000003</v>
      </c>
      <c r="AB12" s="1">
        <v>355276.13699999999</v>
      </c>
      <c r="AC12" s="1">
        <v>345911.076</v>
      </c>
      <c r="AE12" s="1">
        <v>365288.408</v>
      </c>
    </row>
    <row r="13" spans="1:31">
      <c r="A13" s="1" t="s">
        <v>30</v>
      </c>
      <c r="B13" s="1">
        <v>7215</v>
      </c>
      <c r="C13" s="1">
        <v>7622</v>
      </c>
      <c r="D13" s="1">
        <v>8981</v>
      </c>
      <c r="E13" s="1">
        <v>18700.11</v>
      </c>
      <c r="F13" s="41">
        <v>22361.804</v>
      </c>
      <c r="G13" s="1">
        <v>25611.727999999999</v>
      </c>
      <c r="H13" s="1">
        <v>27971.157999999999</v>
      </c>
      <c r="I13" s="1">
        <v>31368.505000000001</v>
      </c>
      <c r="J13" s="1">
        <v>27695.501</v>
      </c>
      <c r="K13" s="1">
        <v>27843.239659999996</v>
      </c>
      <c r="L13" s="1">
        <v>59916.260999999999</v>
      </c>
      <c r="M13" s="1">
        <v>66038.625</v>
      </c>
      <c r="N13" s="1">
        <v>77656.034</v>
      </c>
      <c r="O13" s="1">
        <v>76004.274999999994</v>
      </c>
      <c r="P13" s="1">
        <v>77034.732000000004</v>
      </c>
      <c r="Q13" s="1">
        <v>80034.547000000006</v>
      </c>
      <c r="R13" s="1">
        <v>84192.566000000006</v>
      </c>
      <c r="S13" s="1">
        <v>80874.418000000005</v>
      </c>
      <c r="T13" s="1">
        <v>87985.241999999998</v>
      </c>
      <c r="U13" s="1">
        <v>38119.809000000001</v>
      </c>
      <c r="V13" s="1">
        <v>122394.262</v>
      </c>
      <c r="W13" s="1">
        <v>130313.59699999999</v>
      </c>
      <c r="X13" s="1">
        <v>152981.70000000001</v>
      </c>
      <c r="Y13" s="1">
        <v>41369.398000000001</v>
      </c>
      <c r="Z13" s="1">
        <v>51738.485999999997</v>
      </c>
      <c r="AA13" s="1">
        <v>54113.368000000002</v>
      </c>
      <c r="AB13" s="1">
        <v>135917.27600000001</v>
      </c>
      <c r="AC13" s="1">
        <v>42966.002999999997</v>
      </c>
      <c r="AE13" s="1">
        <v>35646.881000000001</v>
      </c>
    </row>
    <row r="14" spans="1:31">
      <c r="A14" s="1" t="s">
        <v>31</v>
      </c>
      <c r="B14" s="1">
        <v>3699</v>
      </c>
      <c r="C14" s="1">
        <v>6636</v>
      </c>
      <c r="D14" s="1">
        <v>5026</v>
      </c>
      <c r="E14" s="1">
        <v>8156.0370000000003</v>
      </c>
      <c r="F14" s="41">
        <v>7504.7719999999999</v>
      </c>
      <c r="G14" s="1">
        <v>7734.3069999999998</v>
      </c>
      <c r="H14" s="1">
        <v>8469.2819999999992</v>
      </c>
      <c r="I14" s="1">
        <v>9822.14</v>
      </c>
      <c r="J14" s="1">
        <v>9736.5059999999994</v>
      </c>
      <c r="K14" s="1">
        <v>12574.549000000001</v>
      </c>
      <c r="L14" s="1">
        <v>24085.136999999999</v>
      </c>
      <c r="M14" s="1">
        <v>23480.474999999999</v>
      </c>
      <c r="N14" s="1">
        <v>1662.7719999999999</v>
      </c>
      <c r="O14" s="1">
        <v>1992.441</v>
      </c>
      <c r="P14" s="1">
        <v>2247.2280000000001</v>
      </c>
      <c r="Q14" s="1">
        <v>24554.969000000001</v>
      </c>
      <c r="R14" s="1">
        <v>24911.06</v>
      </c>
      <c r="S14" s="1">
        <v>29121.296999999999</v>
      </c>
      <c r="T14" s="1">
        <v>37733.042999999998</v>
      </c>
      <c r="U14" s="1">
        <v>33267.61</v>
      </c>
      <c r="V14" s="1">
        <v>40515.999000000003</v>
      </c>
      <c r="W14" s="1">
        <v>41096.800999999999</v>
      </c>
      <c r="X14" s="1">
        <v>44471.597000000002</v>
      </c>
      <c r="Y14" s="1">
        <v>42795.264000000003</v>
      </c>
      <c r="Z14" s="1">
        <v>38274.177000000003</v>
      </c>
      <c r="AA14" s="1">
        <v>39928.137999999999</v>
      </c>
      <c r="AB14" s="1">
        <v>37942.904999999999</v>
      </c>
      <c r="AC14" s="1">
        <v>30565.213</v>
      </c>
      <c r="AE14" s="1">
        <v>26659.208999999999</v>
      </c>
    </row>
    <row r="15" spans="1:31">
      <c r="A15" s="1" t="s">
        <v>32</v>
      </c>
      <c r="B15" s="1">
        <v>3717</v>
      </c>
      <c r="C15" s="1">
        <v>4126</v>
      </c>
      <c r="D15" s="1">
        <v>4050</v>
      </c>
      <c r="E15" s="1">
        <v>5047.2039999999997</v>
      </c>
      <c r="F15" s="41">
        <v>5644.6220000000003</v>
      </c>
      <c r="G15" s="1">
        <v>6194.2120000000004</v>
      </c>
      <c r="H15" s="1">
        <v>7176.9030000000002</v>
      </c>
      <c r="I15" s="1">
        <v>5786.4690000000001</v>
      </c>
      <c r="J15" s="1">
        <v>8768.2860000000001</v>
      </c>
      <c r="K15" s="1">
        <v>7899.1095300000015</v>
      </c>
      <c r="L15" s="1">
        <v>7409.2439999999997</v>
      </c>
      <c r="M15" s="1">
        <v>8251.8050000000003</v>
      </c>
      <c r="N15" s="1">
        <v>8026.4120000000003</v>
      </c>
      <c r="O15" s="1">
        <v>11160.331</v>
      </c>
      <c r="P15" s="1">
        <v>13986.7</v>
      </c>
      <c r="Q15" s="1">
        <v>16334.069</v>
      </c>
      <c r="R15" s="1">
        <v>15437.541999999999</v>
      </c>
      <c r="S15" s="1">
        <v>22492.34</v>
      </c>
      <c r="T15" s="1">
        <v>27795.853999999999</v>
      </c>
      <c r="U15" s="1">
        <v>22027.843000000001</v>
      </c>
      <c r="V15" s="1">
        <v>29562.218000000001</v>
      </c>
      <c r="W15" s="1">
        <v>28882.26</v>
      </c>
      <c r="X15" s="1">
        <v>35392.410000000003</v>
      </c>
      <c r="Y15" s="1">
        <v>26025.272000000001</v>
      </c>
      <c r="Z15" s="1">
        <v>28239.217000000001</v>
      </c>
      <c r="AA15" s="1">
        <v>27634.182000000001</v>
      </c>
      <c r="AB15" s="1">
        <v>34937.303</v>
      </c>
      <c r="AC15" s="1">
        <v>30276.001</v>
      </c>
      <c r="AE15" s="1">
        <v>34186.743999999999</v>
      </c>
    </row>
    <row r="16" spans="1:31">
      <c r="A16" s="1" t="s">
        <v>33</v>
      </c>
      <c r="B16" s="1">
        <v>15531</v>
      </c>
      <c r="C16" s="1">
        <v>15274</v>
      </c>
      <c r="D16" s="1">
        <v>17076</v>
      </c>
      <c r="E16" s="1">
        <v>36085.618000000002</v>
      </c>
      <c r="F16" s="41">
        <v>28905.038</v>
      </c>
      <c r="G16" s="1">
        <v>35828.383000000002</v>
      </c>
      <c r="H16" s="1">
        <v>38905.374000000003</v>
      </c>
      <c r="I16" s="1">
        <v>31981.805</v>
      </c>
      <c r="J16" s="1">
        <v>41435.317999999999</v>
      </c>
      <c r="K16" s="1">
        <v>41926.995999999999</v>
      </c>
      <c r="L16" s="1">
        <v>58794.485000000001</v>
      </c>
      <c r="M16" s="1">
        <v>64120.141000000003</v>
      </c>
      <c r="N16" s="1">
        <v>66912.713000000003</v>
      </c>
      <c r="O16" s="1">
        <v>74241.164999999994</v>
      </c>
      <c r="P16" s="1">
        <v>76990.653999999995</v>
      </c>
      <c r="Q16" s="1">
        <v>82490.076000000001</v>
      </c>
      <c r="R16" s="1">
        <v>86932.294999999998</v>
      </c>
      <c r="S16" s="1">
        <v>92332.861000000004</v>
      </c>
      <c r="T16" s="1">
        <v>99015.491999999998</v>
      </c>
      <c r="U16" s="1">
        <v>114680.435</v>
      </c>
      <c r="V16" s="1">
        <v>119288.52899999999</v>
      </c>
      <c r="W16" s="1">
        <v>119327.614</v>
      </c>
      <c r="X16" s="1">
        <v>124740.783</v>
      </c>
      <c r="Y16" s="1">
        <v>141541.679</v>
      </c>
      <c r="Z16" s="1">
        <v>152527.698</v>
      </c>
      <c r="AA16" s="1">
        <v>160397.72399999999</v>
      </c>
      <c r="AB16" s="1">
        <v>164893.70699999999</v>
      </c>
      <c r="AC16" s="1">
        <v>163525.72</v>
      </c>
      <c r="AE16" s="1">
        <v>184005.43900000001</v>
      </c>
    </row>
    <row r="17" spans="1:31">
      <c r="A17" s="1" t="s">
        <v>34</v>
      </c>
      <c r="B17" s="1">
        <v>4868</v>
      </c>
      <c r="C17" s="1">
        <v>6252</v>
      </c>
      <c r="D17" s="1">
        <v>5767</v>
      </c>
      <c r="E17" s="1">
        <v>8446.1029999999992</v>
      </c>
      <c r="F17" s="41">
        <v>8217.98</v>
      </c>
      <c r="G17" s="1">
        <v>9512.9279999999999</v>
      </c>
      <c r="H17" s="1">
        <v>10299.616</v>
      </c>
      <c r="I17" s="1">
        <v>14210.583000000001</v>
      </c>
      <c r="J17" s="1">
        <v>12929.982</v>
      </c>
      <c r="K17" s="1">
        <v>13675.582</v>
      </c>
      <c r="L17" s="1">
        <v>15273.221</v>
      </c>
      <c r="M17" s="1">
        <v>16447.307000000001</v>
      </c>
      <c r="N17" s="1">
        <v>15261.788</v>
      </c>
      <c r="O17" s="1">
        <v>15540.165999999999</v>
      </c>
      <c r="P17" s="1">
        <v>15478.501</v>
      </c>
      <c r="Q17" s="1">
        <v>15661.11</v>
      </c>
      <c r="R17" s="1">
        <v>17186.883000000002</v>
      </c>
      <c r="S17" s="1">
        <v>17168.814999999999</v>
      </c>
      <c r="T17" s="1">
        <v>18950.378000000001</v>
      </c>
      <c r="U17" s="1">
        <v>20547.839</v>
      </c>
      <c r="V17" s="1">
        <v>21852.213</v>
      </c>
      <c r="W17" s="1">
        <v>21802.030999999999</v>
      </c>
      <c r="X17" s="1">
        <v>21361.636999999999</v>
      </c>
      <c r="Y17" s="1">
        <v>23193.536</v>
      </c>
      <c r="Z17" s="1">
        <v>23497.49</v>
      </c>
      <c r="AA17" s="1">
        <v>21537.998</v>
      </c>
      <c r="AB17" s="1">
        <v>22748.554</v>
      </c>
      <c r="AC17" s="1">
        <v>23240.402999999998</v>
      </c>
      <c r="AE17" s="1">
        <v>19303.132000000001</v>
      </c>
    </row>
    <row r="18" spans="1:31">
      <c r="A18" s="1" t="s">
        <v>35</v>
      </c>
      <c r="B18" s="1">
        <v>29174</v>
      </c>
      <c r="C18" s="1">
        <v>32550</v>
      </c>
      <c r="D18" s="1">
        <v>32516</v>
      </c>
      <c r="E18" s="1">
        <v>46644.834000000003</v>
      </c>
      <c r="F18" s="41">
        <v>46654.235000000001</v>
      </c>
      <c r="G18" s="1">
        <v>48695.752999999997</v>
      </c>
      <c r="H18" s="1">
        <v>48419.184000000001</v>
      </c>
      <c r="I18" s="1">
        <v>48765.784</v>
      </c>
      <c r="J18" s="1">
        <v>50349.347999999998</v>
      </c>
      <c r="K18" s="1">
        <v>51186.338419999985</v>
      </c>
      <c r="L18" s="1">
        <v>49726.525999999998</v>
      </c>
      <c r="M18" s="1">
        <v>77707.482000000004</v>
      </c>
      <c r="N18" s="1">
        <v>77075.967999999993</v>
      </c>
      <c r="O18" s="1">
        <v>82461.239000000001</v>
      </c>
      <c r="P18" s="1">
        <v>93476.436000000002</v>
      </c>
      <c r="Q18" s="1">
        <v>102509.00199999999</v>
      </c>
      <c r="R18" s="1">
        <v>114226.417</v>
      </c>
      <c r="S18" s="1">
        <v>117204.155</v>
      </c>
      <c r="T18" s="1">
        <v>127055.292</v>
      </c>
      <c r="U18" s="1">
        <v>131856.87100000001</v>
      </c>
      <c r="V18" s="1">
        <v>141324.31099999999</v>
      </c>
      <c r="W18" s="1">
        <v>161047.75899999999</v>
      </c>
      <c r="X18" s="1">
        <v>175281.42199999999</v>
      </c>
      <c r="Y18" s="1">
        <v>185508.91800000001</v>
      </c>
      <c r="Z18" s="1">
        <v>188231.84599999999</v>
      </c>
      <c r="AA18" s="1">
        <v>193507.03700000001</v>
      </c>
      <c r="AB18" s="1">
        <v>190672.68799999999</v>
      </c>
      <c r="AC18" s="1">
        <v>200641.34299999999</v>
      </c>
      <c r="AE18" s="1">
        <v>228971.28599999999</v>
      </c>
    </row>
    <row r="19" spans="1:31">
      <c r="A19" s="1" t="s">
        <v>36</v>
      </c>
      <c r="B19" s="1">
        <v>5867</v>
      </c>
      <c r="C19" s="1">
        <v>6108</v>
      </c>
      <c r="D19" s="1">
        <v>6669</v>
      </c>
      <c r="E19" s="1">
        <v>11722.385</v>
      </c>
      <c r="F19" s="41">
        <v>12710.26</v>
      </c>
      <c r="G19" s="1">
        <v>13069.484</v>
      </c>
      <c r="H19" s="1">
        <v>14094.874</v>
      </c>
      <c r="I19" s="1">
        <v>15408.081</v>
      </c>
      <c r="J19" s="1">
        <v>16069.343000000001</v>
      </c>
      <c r="K19" s="1">
        <v>17985.523819999991</v>
      </c>
      <c r="L19" s="1">
        <v>22529.392</v>
      </c>
      <c r="M19" s="1">
        <v>24740.460999999999</v>
      </c>
      <c r="N19" s="1">
        <v>19143.871999999999</v>
      </c>
      <c r="O19" s="1">
        <v>15838.089</v>
      </c>
      <c r="P19" s="1">
        <v>15453.49</v>
      </c>
      <c r="Q19" s="1">
        <v>18063.945</v>
      </c>
      <c r="R19" s="1">
        <v>16805.438999999998</v>
      </c>
      <c r="S19" s="1">
        <v>17146.282999999999</v>
      </c>
      <c r="T19" s="1">
        <v>21107.205000000002</v>
      </c>
      <c r="U19" s="1">
        <v>26196.289000000001</v>
      </c>
      <c r="V19" s="1">
        <v>28589.976999999999</v>
      </c>
      <c r="W19" s="1">
        <v>29179.491999999998</v>
      </c>
      <c r="X19" s="1">
        <v>31564.276000000002</v>
      </c>
      <c r="Y19" s="1">
        <v>32277.665000000001</v>
      </c>
      <c r="Z19" s="1">
        <v>37585.692999999999</v>
      </c>
      <c r="AA19" s="1">
        <v>57656.182999999997</v>
      </c>
      <c r="AB19" s="1">
        <v>53209.04</v>
      </c>
      <c r="AC19" s="1">
        <v>46461.449000000001</v>
      </c>
      <c r="AE19" s="1">
        <v>47838.673000000003</v>
      </c>
    </row>
    <row r="20" spans="1:31">
      <c r="A20" s="1" t="s">
        <v>37</v>
      </c>
      <c r="B20" s="1">
        <v>9189</v>
      </c>
      <c r="C20" s="1">
        <v>12370</v>
      </c>
      <c r="D20" s="1">
        <v>12914</v>
      </c>
      <c r="E20" s="1">
        <v>24044.805</v>
      </c>
      <c r="F20" s="41">
        <v>26676.581999999999</v>
      </c>
      <c r="G20" s="1">
        <v>29167.585999999999</v>
      </c>
      <c r="H20" s="1">
        <v>27445.682000000001</v>
      </c>
      <c r="I20" s="1">
        <v>27778.989000000001</v>
      </c>
      <c r="J20" s="1">
        <v>28767.556</v>
      </c>
      <c r="K20" s="1">
        <v>35093.510999999999</v>
      </c>
      <c r="L20" s="1">
        <v>45349.872000000003</v>
      </c>
      <c r="M20" s="1">
        <v>48136.870999999999</v>
      </c>
      <c r="N20" s="1">
        <v>52840.790999999997</v>
      </c>
      <c r="O20" s="1">
        <v>54041.108999999997</v>
      </c>
      <c r="P20" s="1">
        <v>52557.055999999997</v>
      </c>
      <c r="Q20" s="1">
        <v>58937.629000000001</v>
      </c>
      <c r="R20" s="1">
        <v>57151.12</v>
      </c>
      <c r="S20" s="1">
        <v>58930.146999999997</v>
      </c>
      <c r="T20" s="1">
        <v>71083.997000000003</v>
      </c>
      <c r="U20" s="1">
        <v>74949.198000000004</v>
      </c>
      <c r="V20" s="1">
        <v>75782.892000000007</v>
      </c>
      <c r="W20" s="1">
        <v>78185.58</v>
      </c>
      <c r="X20" s="1">
        <v>75893.107000000004</v>
      </c>
      <c r="Y20" s="1">
        <v>80305.555999999997</v>
      </c>
      <c r="Z20" s="1">
        <v>87416.134999999995</v>
      </c>
      <c r="AA20" s="1">
        <v>86200.683999999994</v>
      </c>
      <c r="AB20" s="1">
        <v>77698.241999999998</v>
      </c>
      <c r="AC20" s="1">
        <v>85847.823999999993</v>
      </c>
      <c r="AE20" s="1">
        <v>83057.178</v>
      </c>
    </row>
    <row r="21" spans="1:31" s="11" customFormat="1">
      <c r="A21" s="1" t="s">
        <v>38</v>
      </c>
      <c r="B21" s="1">
        <v>7702</v>
      </c>
      <c r="C21" s="1">
        <v>9149</v>
      </c>
      <c r="D21" s="1">
        <v>10623</v>
      </c>
      <c r="E21" s="1">
        <v>12985.825000000001</v>
      </c>
      <c r="F21" s="41">
        <v>12540.782999999999</v>
      </c>
      <c r="G21" s="1">
        <v>15306.305</v>
      </c>
      <c r="H21" s="1">
        <v>18309.417000000001</v>
      </c>
      <c r="I21" s="1">
        <v>20788.677</v>
      </c>
      <c r="J21" s="1">
        <v>20854.876</v>
      </c>
      <c r="K21" s="1">
        <v>20859.400000000001</v>
      </c>
      <c r="L21" s="1">
        <v>20125.994999999999</v>
      </c>
      <c r="M21" s="1">
        <v>22091.134999999998</v>
      </c>
      <c r="N21" s="1">
        <v>27849.212</v>
      </c>
      <c r="O21" s="1">
        <v>30169.088</v>
      </c>
      <c r="P21" s="1">
        <v>29730.597000000002</v>
      </c>
      <c r="Q21" s="1">
        <v>32076.873</v>
      </c>
      <c r="R21" s="1">
        <v>34883.224999999999</v>
      </c>
      <c r="S21" s="1">
        <v>36490.563999999998</v>
      </c>
      <c r="T21" s="1">
        <v>39741.445</v>
      </c>
      <c r="U21" s="1">
        <v>44659.406000000003</v>
      </c>
      <c r="V21" s="1">
        <v>50656.144</v>
      </c>
      <c r="W21" s="1">
        <v>58599.031999999999</v>
      </c>
      <c r="X21" s="1">
        <v>57993.483</v>
      </c>
      <c r="Y21" s="1">
        <v>62617.267999999996</v>
      </c>
      <c r="Z21" s="1">
        <v>62052.955000000002</v>
      </c>
      <c r="AA21" s="1">
        <v>61187.542999999998</v>
      </c>
      <c r="AB21" s="1">
        <v>57370.137999999999</v>
      </c>
      <c r="AC21" s="1">
        <v>60977.580999999998</v>
      </c>
      <c r="AD21" s="1"/>
      <c r="AE21" s="1">
        <v>62813.125999999997</v>
      </c>
    </row>
    <row r="22" spans="1:31">
      <c r="A22" s="1" t="s">
        <v>39</v>
      </c>
      <c r="B22" s="1">
        <v>64063</v>
      </c>
      <c r="C22" s="1">
        <v>69842</v>
      </c>
      <c r="D22" s="1">
        <v>72193</v>
      </c>
      <c r="E22" s="1">
        <v>97430.395000000004</v>
      </c>
      <c r="F22" s="41">
        <v>94446.335999999996</v>
      </c>
      <c r="G22" s="1">
        <v>105431.25</v>
      </c>
      <c r="H22" s="1">
        <v>110725.38499999999</v>
      </c>
      <c r="I22" s="1">
        <v>105724.469</v>
      </c>
      <c r="J22" s="1">
        <v>122838.451</v>
      </c>
      <c r="K22" s="1">
        <v>129356.02800000001</v>
      </c>
      <c r="L22" s="1">
        <v>148065.12299999999</v>
      </c>
      <c r="M22" s="1">
        <v>168334.35200000001</v>
      </c>
      <c r="N22" s="1">
        <v>174303.095</v>
      </c>
      <c r="O22" s="1">
        <v>182175.851</v>
      </c>
      <c r="P22" s="1">
        <v>183446.43900000001</v>
      </c>
      <c r="Q22" s="1">
        <v>216943.177</v>
      </c>
      <c r="R22" s="1">
        <v>226467.75700000001</v>
      </c>
      <c r="S22" s="1">
        <v>238133.228</v>
      </c>
      <c r="T22" s="1">
        <v>274552.37300000002</v>
      </c>
      <c r="U22" s="1">
        <v>316002.39600000001</v>
      </c>
      <c r="V22" s="1">
        <v>404169.63500000001</v>
      </c>
      <c r="W22" s="1">
        <v>420275.38099999999</v>
      </c>
      <c r="X22" s="1">
        <v>418112.12900000002</v>
      </c>
      <c r="Y22" s="1">
        <v>451975.462</v>
      </c>
      <c r="Z22" s="1">
        <v>472884.62</v>
      </c>
      <c r="AA22" s="1">
        <v>480730.80800000002</v>
      </c>
      <c r="AB22" s="1">
        <v>493596.68800000002</v>
      </c>
      <c r="AC22" s="1">
        <v>515252.967</v>
      </c>
      <c r="AE22" s="1">
        <v>576604.16899999999</v>
      </c>
    </row>
    <row r="23" spans="1:31">
      <c r="A23" s="1" t="s">
        <v>40</v>
      </c>
      <c r="B23" s="1">
        <v>21043</v>
      </c>
      <c r="C23" s="1">
        <v>23716</v>
      </c>
      <c r="D23" s="1">
        <v>26635</v>
      </c>
      <c r="E23" s="1">
        <v>29743.267</v>
      </c>
      <c r="F23" s="41">
        <v>30571.119999999999</v>
      </c>
      <c r="G23" s="1">
        <v>31621.538</v>
      </c>
      <c r="H23" s="1">
        <v>35678.159</v>
      </c>
      <c r="I23" s="1">
        <v>36489.769999999997</v>
      </c>
      <c r="J23" s="1">
        <v>36219.046999999999</v>
      </c>
      <c r="K23" s="1">
        <v>38771.887999999999</v>
      </c>
      <c r="L23" s="1">
        <v>50514.288999999997</v>
      </c>
      <c r="M23" s="1">
        <v>53829.057000000001</v>
      </c>
      <c r="N23" s="1">
        <v>53448.614999999998</v>
      </c>
      <c r="O23" s="1">
        <v>50924.911</v>
      </c>
      <c r="P23" s="1">
        <v>56533.885000000002</v>
      </c>
      <c r="Q23" s="1">
        <v>60642.946000000004</v>
      </c>
      <c r="R23" s="1">
        <v>65757.421000000002</v>
      </c>
      <c r="S23" s="1">
        <v>74793.505000000005</v>
      </c>
      <c r="T23" s="1">
        <v>82888.161999999997</v>
      </c>
      <c r="U23" s="1">
        <v>87077.070999999996</v>
      </c>
      <c r="V23" s="1">
        <v>94163.540999999997</v>
      </c>
      <c r="W23" s="1">
        <v>98053.562999999995</v>
      </c>
      <c r="X23" s="1">
        <v>111686.08100000001</v>
      </c>
      <c r="Y23" s="1">
        <v>109238.43</v>
      </c>
      <c r="Z23" s="1">
        <v>124136.72100000001</v>
      </c>
      <c r="AA23" s="1">
        <v>122579.193</v>
      </c>
      <c r="AB23" s="1">
        <v>117067.85799999999</v>
      </c>
      <c r="AC23" s="1">
        <v>115081.298</v>
      </c>
      <c r="AE23" s="1">
        <v>113279.04399999999</v>
      </c>
    </row>
    <row r="24" spans="1:31">
      <c r="A24" s="23" t="s">
        <v>41</v>
      </c>
      <c r="B24" s="23">
        <v>1365</v>
      </c>
      <c r="C24" s="23">
        <v>1747</v>
      </c>
      <c r="D24" s="23">
        <v>1828</v>
      </c>
      <c r="E24" s="23">
        <v>2099.0509999999999</v>
      </c>
      <c r="F24" s="44">
        <v>2192.7809999999999</v>
      </c>
      <c r="G24" s="23">
        <v>2111</v>
      </c>
      <c r="H24" s="23">
        <v>2295.058</v>
      </c>
      <c r="I24" s="23">
        <v>2626.9569999999999</v>
      </c>
      <c r="J24" s="23">
        <v>2798.6990000000001</v>
      </c>
      <c r="K24" s="23">
        <v>3159.6898299999984</v>
      </c>
      <c r="L24" s="23">
        <v>3469.7350000000001</v>
      </c>
      <c r="M24" s="23">
        <v>4502.4409999999998</v>
      </c>
      <c r="N24" s="23">
        <v>3155.1439999999998</v>
      </c>
      <c r="O24" s="23">
        <v>4719.6750000000002</v>
      </c>
      <c r="P24" s="23">
        <v>3138.2460000000001</v>
      </c>
      <c r="Q24" s="23">
        <v>7074.701</v>
      </c>
      <c r="R24" s="23">
        <v>4966.4390000000003</v>
      </c>
      <c r="S24" s="23">
        <v>5892.09</v>
      </c>
      <c r="T24" s="23">
        <v>5872.7049999999999</v>
      </c>
      <c r="U24" s="23">
        <v>7039.232</v>
      </c>
      <c r="V24" s="23">
        <v>12456.665999999999</v>
      </c>
      <c r="W24" s="23">
        <v>12607.762000000001</v>
      </c>
      <c r="X24" s="23">
        <v>10636.933999999999</v>
      </c>
      <c r="Y24" s="23">
        <v>10805.848</v>
      </c>
      <c r="Z24" s="23">
        <v>9954.6090000000004</v>
      </c>
      <c r="AA24" s="23">
        <v>11201.746999999999</v>
      </c>
      <c r="AB24" s="23">
        <v>8924.1849999999995</v>
      </c>
      <c r="AC24" s="23">
        <v>8800.3909999999996</v>
      </c>
      <c r="AD24" s="23"/>
      <c r="AE24" s="23">
        <v>8590.6939999999995</v>
      </c>
    </row>
    <row r="25" spans="1:31">
      <c r="A25" s="7" t="s">
        <v>42</v>
      </c>
      <c r="B25" s="47">
        <f>SUM(B27:B39)</f>
        <v>0</v>
      </c>
      <c r="C25" s="47">
        <f t="shared" ref="C25:AC25" si="10">SUM(C27:C39)</f>
        <v>0</v>
      </c>
      <c r="D25" s="47">
        <f t="shared" si="10"/>
        <v>0</v>
      </c>
      <c r="E25" s="47">
        <f t="shared" si="10"/>
        <v>0</v>
      </c>
      <c r="F25" s="47">
        <f t="shared" si="10"/>
        <v>393242.06900000002</v>
      </c>
      <c r="G25" s="47">
        <f t="shared" si="10"/>
        <v>0</v>
      </c>
      <c r="H25" s="47">
        <f t="shared" si="10"/>
        <v>0</v>
      </c>
      <c r="I25" s="47">
        <f t="shared" si="10"/>
        <v>432998.69899999996</v>
      </c>
      <c r="J25" s="47">
        <f t="shared" si="10"/>
        <v>0</v>
      </c>
      <c r="K25" s="47">
        <f t="shared" si="10"/>
        <v>568197.16347999987</v>
      </c>
      <c r="L25" s="47">
        <f t="shared" si="10"/>
        <v>621238.554</v>
      </c>
      <c r="M25" s="47">
        <f t="shared" si="10"/>
        <v>659775.576</v>
      </c>
      <c r="N25" s="47">
        <f t="shared" si="10"/>
        <v>679916.74099999981</v>
      </c>
      <c r="O25" s="47">
        <f t="shared" si="10"/>
        <v>666233.60499999998</v>
      </c>
      <c r="P25" s="47">
        <f t="shared" si="10"/>
        <v>661943.29600000009</v>
      </c>
      <c r="Q25" s="47">
        <f t="shared" si="10"/>
        <v>830234.19000000006</v>
      </c>
      <c r="R25" s="47">
        <f t="shared" si="10"/>
        <v>908655.49000000011</v>
      </c>
      <c r="S25" s="47">
        <f t="shared" si="10"/>
        <v>961868.5419999999</v>
      </c>
      <c r="T25" s="47">
        <f t="shared" si="10"/>
        <v>1092958.0100000002</v>
      </c>
      <c r="U25" s="47">
        <f t="shared" si="10"/>
        <v>1187772.318</v>
      </c>
      <c r="V25" s="47">
        <f t="shared" si="10"/>
        <v>1332451.9949999999</v>
      </c>
      <c r="W25" s="47">
        <f t="shared" si="10"/>
        <v>1384726.9519999998</v>
      </c>
      <c r="X25" s="47">
        <f t="shared" si="10"/>
        <v>1364911.3080000002</v>
      </c>
      <c r="Y25" s="47">
        <f t="shared" si="10"/>
        <v>1008303.5109999999</v>
      </c>
      <c r="Z25" s="47">
        <f t="shared" si="10"/>
        <v>1061853.5970000001</v>
      </c>
      <c r="AA25" s="47">
        <f t="shared" si="10"/>
        <v>1086441.9819999998</v>
      </c>
      <c r="AB25" s="47">
        <f t="shared" si="10"/>
        <v>1605606.7559999996</v>
      </c>
      <c r="AC25" s="47">
        <f t="shared" si="10"/>
        <v>1658108.8619999997</v>
      </c>
      <c r="AD25" s="47">
        <f t="shared" ref="AD25:AE25" si="11">SUM(AD27:AD39)</f>
        <v>0</v>
      </c>
      <c r="AE25" s="47">
        <f t="shared" si="11"/>
        <v>1846932.7239999997</v>
      </c>
    </row>
    <row r="26" spans="1:31">
      <c r="A26" s="7" t="s">
        <v>97</v>
      </c>
      <c r="X26" s="1">
        <v>0</v>
      </c>
      <c r="AB26" s="1">
        <v>0</v>
      </c>
      <c r="AC26" s="1">
        <v>0</v>
      </c>
    </row>
    <row r="27" spans="1:31">
      <c r="A27" s="1" t="s">
        <v>43</v>
      </c>
      <c r="F27" s="41">
        <v>226.999</v>
      </c>
      <c r="I27" s="1">
        <v>179.476</v>
      </c>
      <c r="K27" s="1">
        <v>156.15600000000001</v>
      </c>
      <c r="L27" s="1">
        <v>1679.9490000000001</v>
      </c>
      <c r="M27" s="1">
        <v>257.25</v>
      </c>
      <c r="N27" s="1">
        <v>1811.3330000000001</v>
      </c>
      <c r="O27" s="1">
        <v>1717.354</v>
      </c>
      <c r="P27" s="1">
        <v>1436.556</v>
      </c>
      <c r="Q27" s="1">
        <v>193.46700000000001</v>
      </c>
      <c r="R27" s="1">
        <v>1511.74</v>
      </c>
      <c r="S27" s="1">
        <v>1425.375</v>
      </c>
      <c r="T27" s="1">
        <v>2248.5770000000002</v>
      </c>
      <c r="U27" s="1">
        <v>2934.2489999999998</v>
      </c>
      <c r="V27" s="1">
        <v>3104.1680000000001</v>
      </c>
      <c r="W27" s="1">
        <v>946.51700000000005</v>
      </c>
      <c r="X27" s="1">
        <v>3314.9580000000001</v>
      </c>
      <c r="Y27" s="1">
        <v>1158.4359999999999</v>
      </c>
      <c r="AB27" s="1">
        <v>2781.652</v>
      </c>
      <c r="AC27" s="1">
        <v>2665.136</v>
      </c>
      <c r="AE27" s="1">
        <v>2613.5990000000002</v>
      </c>
    </row>
    <row r="28" spans="1:31">
      <c r="A28" s="1" t="s">
        <v>44</v>
      </c>
      <c r="F28" s="41">
        <v>32010.059000000001</v>
      </c>
      <c r="I28" s="1">
        <v>38028.319000000003</v>
      </c>
      <c r="K28" s="1">
        <v>45534.453870000005</v>
      </c>
      <c r="L28" s="1">
        <v>58347.434999999998</v>
      </c>
      <c r="M28" s="1">
        <v>62638.661</v>
      </c>
      <c r="N28" s="1">
        <v>67862.346999999994</v>
      </c>
      <c r="O28" s="1">
        <v>70360.812999999995</v>
      </c>
      <c r="P28" s="1">
        <v>78023.370999999999</v>
      </c>
      <c r="Q28" s="1">
        <v>83371.521999999997</v>
      </c>
      <c r="R28" s="1">
        <v>93604.676000000007</v>
      </c>
      <c r="S28" s="1">
        <v>99126.464999999997</v>
      </c>
      <c r="T28" s="1">
        <v>114008.769</v>
      </c>
      <c r="U28" s="1">
        <v>117584.57</v>
      </c>
      <c r="V28" s="1">
        <v>130559.352</v>
      </c>
      <c r="W28" s="1">
        <v>132521.141</v>
      </c>
      <c r="X28" s="1">
        <v>142789.27100000001</v>
      </c>
      <c r="Y28" s="1">
        <v>27930.356</v>
      </c>
      <c r="Z28" s="1">
        <v>31303.636999999999</v>
      </c>
      <c r="AA28" s="1">
        <v>30261.052</v>
      </c>
      <c r="AB28" s="1">
        <v>149758.68599999999</v>
      </c>
      <c r="AC28" s="1">
        <v>143441.837</v>
      </c>
      <c r="AE28" s="1">
        <v>142065.31099999999</v>
      </c>
    </row>
    <row r="29" spans="1:31">
      <c r="A29" s="1" t="s">
        <v>45</v>
      </c>
      <c r="F29" s="41">
        <v>237875.158</v>
      </c>
      <c r="I29" s="1">
        <v>248909.288</v>
      </c>
      <c r="K29" s="1">
        <v>344143.43774999998</v>
      </c>
      <c r="L29" s="1">
        <v>348924.408</v>
      </c>
      <c r="M29" s="1">
        <v>359128.27600000001</v>
      </c>
      <c r="N29" s="1">
        <v>368691.87599999999</v>
      </c>
      <c r="O29" s="1">
        <v>356326.842</v>
      </c>
      <c r="P29" s="1">
        <v>350951.02500000002</v>
      </c>
      <c r="Q29" s="1">
        <v>509148.10100000002</v>
      </c>
      <c r="R29" s="1">
        <v>557585.18700000003</v>
      </c>
      <c r="S29" s="1">
        <v>599270.34100000001</v>
      </c>
      <c r="T29" s="1">
        <v>682894.21900000004</v>
      </c>
      <c r="U29" s="1">
        <v>728631.73199999996</v>
      </c>
      <c r="V29" s="1">
        <v>820187.68299999996</v>
      </c>
      <c r="W29" s="1">
        <v>853031.55900000001</v>
      </c>
      <c r="X29" s="1">
        <v>816374.76199999999</v>
      </c>
      <c r="Y29" s="1">
        <v>612124.48499999999</v>
      </c>
      <c r="Z29" s="1">
        <v>628636.03200000001</v>
      </c>
      <c r="AA29" s="1">
        <v>642557.24899999995</v>
      </c>
      <c r="AB29" s="1">
        <v>934880.44499999995</v>
      </c>
      <c r="AC29" s="1">
        <v>984559.56900000002</v>
      </c>
      <c r="AE29" s="1">
        <v>1154007.4569999999</v>
      </c>
    </row>
    <row r="30" spans="1:31">
      <c r="A30" s="1" t="s">
        <v>46</v>
      </c>
      <c r="F30" s="41">
        <v>16955.332999999999</v>
      </c>
      <c r="I30" s="1">
        <v>19786.597000000002</v>
      </c>
      <c r="K30" s="1">
        <v>22415.471000000001</v>
      </c>
      <c r="L30" s="1">
        <v>30671.553</v>
      </c>
      <c r="M30" s="1">
        <v>32731.662</v>
      </c>
      <c r="N30" s="1">
        <v>32745.626</v>
      </c>
      <c r="O30" s="1">
        <v>33331.771000000001</v>
      </c>
      <c r="P30" s="1">
        <v>31743.258999999998</v>
      </c>
      <c r="Q30" s="1">
        <v>33707.964</v>
      </c>
      <c r="R30" s="1">
        <v>34241.489000000001</v>
      </c>
      <c r="S30" s="1">
        <v>34602.894999999997</v>
      </c>
      <c r="T30" s="1">
        <v>38752.675000000003</v>
      </c>
      <c r="U30" s="1">
        <v>36638.97</v>
      </c>
      <c r="V30" s="1">
        <v>43286.747000000003</v>
      </c>
      <c r="W30" s="1">
        <v>44071.508999999998</v>
      </c>
      <c r="X30" s="1">
        <v>45923.703999999998</v>
      </c>
      <c r="Y30" s="1">
        <v>25321.371999999999</v>
      </c>
      <c r="Z30" s="1">
        <v>25616.329000000002</v>
      </c>
      <c r="AA30" s="1">
        <v>23697.687000000002</v>
      </c>
      <c r="AB30" s="1">
        <v>49832.237999999998</v>
      </c>
      <c r="AC30" s="1">
        <v>54186.277999999998</v>
      </c>
      <c r="AE30" s="1">
        <v>52376.237999999998</v>
      </c>
    </row>
    <row r="31" spans="1:31">
      <c r="A31" s="1" t="s">
        <v>47</v>
      </c>
      <c r="F31" s="41">
        <v>9819.8179999999993</v>
      </c>
      <c r="I31" s="1">
        <v>10690.513999999999</v>
      </c>
      <c r="K31" s="1">
        <v>11330.54</v>
      </c>
      <c r="L31" s="1">
        <v>13136.597</v>
      </c>
      <c r="M31" s="1">
        <v>13170.745000000001</v>
      </c>
      <c r="N31" s="1">
        <v>13647.918</v>
      </c>
      <c r="O31" s="1">
        <v>14691.991</v>
      </c>
      <c r="P31" s="1">
        <v>13170.977000000001</v>
      </c>
      <c r="Q31" s="1">
        <v>13763.034</v>
      </c>
      <c r="R31" s="1">
        <v>15386.728999999999</v>
      </c>
      <c r="S31" s="1">
        <v>17151.28</v>
      </c>
      <c r="T31" s="1">
        <v>19678.625</v>
      </c>
      <c r="U31" s="1">
        <v>25746.205000000002</v>
      </c>
      <c r="V31" s="1">
        <v>26215.43</v>
      </c>
      <c r="W31" s="1">
        <v>26485.200000000001</v>
      </c>
      <c r="X31" s="1">
        <v>26347.893</v>
      </c>
      <c r="Y31" s="1">
        <v>28024.612000000001</v>
      </c>
      <c r="Z31" s="1">
        <v>29468.05</v>
      </c>
      <c r="AA31" s="1">
        <v>24139.017</v>
      </c>
      <c r="AB31" s="1">
        <v>29065.865000000002</v>
      </c>
      <c r="AC31" s="1">
        <v>32013.72</v>
      </c>
      <c r="AE31" s="1">
        <v>34970.396000000001</v>
      </c>
    </row>
    <row r="32" spans="1:31">
      <c r="A32" s="1" t="s">
        <v>48</v>
      </c>
      <c r="F32" s="41">
        <v>4586.4059999999999</v>
      </c>
      <c r="I32" s="1">
        <v>3831.127</v>
      </c>
      <c r="K32" s="1">
        <v>4319.0940000000001</v>
      </c>
      <c r="L32" s="1">
        <v>6110.0659999999998</v>
      </c>
      <c r="M32" s="1">
        <v>5902.9759999999997</v>
      </c>
      <c r="N32" s="1">
        <v>6011.1080000000002</v>
      </c>
      <c r="O32" s="1">
        <v>5462.3549999999996</v>
      </c>
      <c r="P32" s="1">
        <v>5826.39</v>
      </c>
      <c r="Q32" s="1">
        <v>6471.4679999999998</v>
      </c>
      <c r="R32" s="1">
        <v>7392.2290000000003</v>
      </c>
      <c r="S32" s="1">
        <v>6667.8789999999999</v>
      </c>
      <c r="T32" s="1">
        <v>6148.518</v>
      </c>
      <c r="U32" s="1">
        <v>7363.067</v>
      </c>
      <c r="V32" s="1">
        <v>7904.7659999999996</v>
      </c>
      <c r="W32" s="1">
        <v>7749.9340000000002</v>
      </c>
      <c r="X32" s="1">
        <v>12778.875</v>
      </c>
      <c r="Y32" s="1">
        <v>12967.734</v>
      </c>
      <c r="Z32" s="1">
        <v>15911.898999999999</v>
      </c>
      <c r="AA32" s="1">
        <v>18106.594000000001</v>
      </c>
      <c r="AB32" s="1">
        <v>19795.179</v>
      </c>
      <c r="AC32" s="1">
        <v>21766.899000000001</v>
      </c>
      <c r="AE32" s="1">
        <v>21342.304</v>
      </c>
    </row>
    <row r="33" spans="1:31">
      <c r="A33" s="1" t="s">
        <v>49</v>
      </c>
      <c r="F33" s="41">
        <v>1356.232</v>
      </c>
      <c r="I33" s="1">
        <v>3662.1880000000001</v>
      </c>
      <c r="K33" s="1">
        <v>4837.3594500000027</v>
      </c>
      <c r="L33" s="1">
        <v>4325.3249999999998</v>
      </c>
      <c r="M33" s="1">
        <v>4606.3810000000003</v>
      </c>
      <c r="N33" s="1">
        <v>5890.8429999999998</v>
      </c>
      <c r="O33" s="1">
        <v>4891.777</v>
      </c>
      <c r="P33" s="1">
        <v>5004.1480000000001</v>
      </c>
      <c r="Q33" s="1">
        <v>6068.2250000000004</v>
      </c>
      <c r="R33" s="1">
        <v>6083.6589999999997</v>
      </c>
      <c r="S33" s="1">
        <v>6120.5379999999996</v>
      </c>
      <c r="T33" s="1">
        <v>7038.7749999999996</v>
      </c>
      <c r="U33" s="1">
        <v>8344.3449999999993</v>
      </c>
      <c r="V33" s="1">
        <v>9202.0750000000007</v>
      </c>
      <c r="W33" s="1">
        <v>8406.6110000000008</v>
      </c>
      <c r="X33" s="1">
        <v>8565.9279999999999</v>
      </c>
      <c r="Y33" s="1">
        <v>8543.3469999999998</v>
      </c>
      <c r="Z33" s="1">
        <v>9024.1810000000005</v>
      </c>
      <c r="AA33" s="1">
        <v>9955.9840000000004</v>
      </c>
      <c r="AB33" s="1">
        <v>10220.306</v>
      </c>
      <c r="AC33" s="1">
        <v>9717.7669999999998</v>
      </c>
      <c r="AE33" s="1">
        <v>8724.0380000000005</v>
      </c>
    </row>
    <row r="34" spans="1:31">
      <c r="A34" s="1" t="s">
        <v>50</v>
      </c>
      <c r="F34" s="41">
        <v>5835.9859999999999</v>
      </c>
      <c r="I34" s="1">
        <v>5934.0020000000004</v>
      </c>
      <c r="K34" s="1">
        <v>8054</v>
      </c>
      <c r="L34" s="1">
        <v>10524</v>
      </c>
      <c r="M34" s="1">
        <v>11743</v>
      </c>
      <c r="N34" s="1">
        <v>12658</v>
      </c>
      <c r="O34" s="1">
        <v>13861</v>
      </c>
      <c r="P34" s="1">
        <v>6165</v>
      </c>
      <c r="Q34" s="1">
        <v>6890</v>
      </c>
      <c r="R34" s="1">
        <v>7550</v>
      </c>
      <c r="S34" s="1">
        <v>5619</v>
      </c>
      <c r="T34" s="1">
        <v>5385</v>
      </c>
      <c r="U34" s="1">
        <v>23298.315999999999</v>
      </c>
      <c r="V34" s="1">
        <v>28431.574000000001</v>
      </c>
      <c r="W34" s="1">
        <v>26410.024000000001</v>
      </c>
      <c r="X34" s="1">
        <v>25474.574000000001</v>
      </c>
      <c r="Y34" s="1">
        <v>26301.477999999999</v>
      </c>
      <c r="Z34" s="1">
        <v>26317.491999999998</v>
      </c>
      <c r="AA34" s="1">
        <v>27913.782999999999</v>
      </c>
      <c r="AB34" s="1">
        <v>25270.541000000001</v>
      </c>
      <c r="AC34" s="1">
        <v>23473.092000000001</v>
      </c>
      <c r="AE34" s="1">
        <v>26021.928</v>
      </c>
    </row>
    <row r="35" spans="1:31">
      <c r="A35" s="1" t="s">
        <v>51</v>
      </c>
      <c r="F35" s="41">
        <v>10483.467000000001</v>
      </c>
      <c r="I35" s="1">
        <v>14861.528</v>
      </c>
      <c r="K35" s="1">
        <v>17905.595289999997</v>
      </c>
      <c r="L35" s="1">
        <v>21812.800999999999</v>
      </c>
      <c r="M35" s="1">
        <v>22148.056</v>
      </c>
      <c r="N35" s="1">
        <v>24654.092000000001</v>
      </c>
      <c r="O35" s="1">
        <v>26660.713</v>
      </c>
      <c r="P35" s="1">
        <v>28018.118999999999</v>
      </c>
      <c r="Q35" s="1">
        <v>28315.84</v>
      </c>
      <c r="R35" s="1">
        <v>28809.040000000001</v>
      </c>
      <c r="S35" s="1">
        <v>32990.137000000002</v>
      </c>
      <c r="T35" s="1">
        <v>36482.038999999997</v>
      </c>
      <c r="U35" s="1">
        <v>41715.728000000003</v>
      </c>
      <c r="V35" s="1">
        <v>44482.061999999998</v>
      </c>
      <c r="W35" s="1">
        <v>48440.875</v>
      </c>
      <c r="X35" s="1">
        <v>46067.084000000003</v>
      </c>
      <c r="Y35" s="1">
        <v>29996.911</v>
      </c>
      <c r="Z35" s="1">
        <v>32653.871999999999</v>
      </c>
      <c r="AA35" s="1">
        <v>34626.82</v>
      </c>
      <c r="AB35" s="1">
        <v>54463.258000000002</v>
      </c>
      <c r="AC35" s="1">
        <v>55950.044999999998</v>
      </c>
      <c r="AE35" s="1">
        <v>59019.097000000002</v>
      </c>
    </row>
    <row r="36" spans="1:31">
      <c r="A36" s="1" t="s">
        <v>52</v>
      </c>
      <c r="F36" s="41">
        <v>22716.476999999999</v>
      </c>
      <c r="I36" s="1">
        <v>29594.973999999998</v>
      </c>
      <c r="K36" s="1">
        <v>37970.650090000003</v>
      </c>
      <c r="L36" s="1">
        <v>44014.57</v>
      </c>
      <c r="M36" s="1">
        <v>50640.177000000003</v>
      </c>
      <c r="N36" s="1">
        <v>52626.358999999997</v>
      </c>
      <c r="O36" s="1">
        <v>44018.207999999999</v>
      </c>
      <c r="P36" s="1">
        <v>46427.012999999999</v>
      </c>
      <c r="Q36" s="1">
        <v>44959.309000000001</v>
      </c>
      <c r="R36" s="1">
        <v>51511.561000000002</v>
      </c>
      <c r="S36" s="1">
        <v>56694.330999999998</v>
      </c>
      <c r="T36" s="1">
        <v>67632.676999999996</v>
      </c>
      <c r="U36" s="1">
        <v>71506.327000000005</v>
      </c>
      <c r="V36" s="1">
        <v>77398.228000000003</v>
      </c>
      <c r="W36" s="1">
        <v>85463.038</v>
      </c>
      <c r="X36" s="1">
        <v>96431.445000000007</v>
      </c>
      <c r="Y36" s="1">
        <v>91876.673999999999</v>
      </c>
      <c r="Z36" s="1">
        <v>92522.876000000004</v>
      </c>
      <c r="AA36" s="1">
        <v>87059.915999999997</v>
      </c>
      <c r="AB36" s="1">
        <v>113591.86599999999</v>
      </c>
      <c r="AC36" s="1">
        <v>111629.736</v>
      </c>
      <c r="AE36" s="1">
        <v>111782.899</v>
      </c>
    </row>
    <row r="37" spans="1:31">
      <c r="A37" s="1" t="s">
        <v>53</v>
      </c>
      <c r="F37" s="41">
        <v>9376.7029999999995</v>
      </c>
      <c r="I37" s="1">
        <v>9652.3230000000003</v>
      </c>
      <c r="K37" s="1">
        <v>10492.815000000001</v>
      </c>
      <c r="L37" s="1">
        <v>10820.721</v>
      </c>
      <c r="M37" s="1">
        <v>12546.248</v>
      </c>
      <c r="N37" s="1">
        <v>13771.977000000001</v>
      </c>
      <c r="O37" s="1">
        <v>13028.394</v>
      </c>
      <c r="P37" s="1">
        <v>13392.358</v>
      </c>
      <c r="Q37" s="1">
        <v>13336.984</v>
      </c>
      <c r="R37" s="1">
        <v>13133.608</v>
      </c>
      <c r="S37" s="1">
        <v>13771.894</v>
      </c>
      <c r="T37" s="1">
        <v>16409.044999999998</v>
      </c>
      <c r="U37" s="1">
        <v>15360.561</v>
      </c>
      <c r="V37" s="1">
        <v>16650.879000000001</v>
      </c>
      <c r="W37" s="1">
        <v>18613.102999999999</v>
      </c>
      <c r="X37" s="1">
        <v>13336.333000000001</v>
      </c>
      <c r="Y37" s="1">
        <v>23480.61</v>
      </c>
      <c r="Z37" s="1">
        <v>22541.705000000002</v>
      </c>
      <c r="AA37" s="1">
        <v>26173.795999999998</v>
      </c>
      <c r="AB37" s="1">
        <v>17464.82</v>
      </c>
      <c r="AC37" s="1">
        <v>18486.368999999999</v>
      </c>
      <c r="AE37" s="1">
        <v>19992.116000000002</v>
      </c>
    </row>
    <row r="38" spans="1:31">
      <c r="A38" s="1" t="s">
        <v>54</v>
      </c>
      <c r="F38" s="41">
        <v>35736.743000000002</v>
      </c>
      <c r="I38" s="1">
        <v>41998.269</v>
      </c>
      <c r="K38" s="1">
        <v>53129.915030000004</v>
      </c>
      <c r="L38" s="1">
        <v>61362.12</v>
      </c>
      <c r="M38" s="1">
        <v>73940.373000000007</v>
      </c>
      <c r="N38" s="1">
        <v>67342.046000000002</v>
      </c>
      <c r="O38" s="1">
        <v>70347.726999999999</v>
      </c>
      <c r="P38" s="1">
        <v>70103.168999999994</v>
      </c>
      <c r="Q38" s="1">
        <v>72331.423999999999</v>
      </c>
      <c r="R38" s="1">
        <v>78710.813999999998</v>
      </c>
      <c r="S38" s="1">
        <v>74595.722999999998</v>
      </c>
      <c r="T38" s="1">
        <v>78885.543000000005</v>
      </c>
      <c r="U38" s="1">
        <v>90872.698999999993</v>
      </c>
      <c r="V38" s="1">
        <v>103025.52099999999</v>
      </c>
      <c r="W38" s="1">
        <v>107611.79300000001</v>
      </c>
      <c r="X38" s="1">
        <v>102381.531</v>
      </c>
      <c r="Y38" s="1">
        <v>94879.383000000002</v>
      </c>
      <c r="Z38" s="1">
        <v>120817.253</v>
      </c>
      <c r="AA38" s="1">
        <v>133851.076</v>
      </c>
      <c r="AB38" s="1">
        <v>171469.11600000001</v>
      </c>
      <c r="AC38" s="1">
        <v>176153.29399999999</v>
      </c>
      <c r="AE38" s="1">
        <v>189517.69500000001</v>
      </c>
    </row>
    <row r="39" spans="1:31">
      <c r="A39" s="23" t="s">
        <v>55</v>
      </c>
      <c r="B39" s="23"/>
      <c r="C39" s="23"/>
      <c r="D39" s="23"/>
      <c r="E39" s="23"/>
      <c r="F39" s="44">
        <v>6262.6880000000001</v>
      </c>
      <c r="G39" s="23"/>
      <c r="H39" s="23"/>
      <c r="I39" s="23">
        <v>5870.0940000000001</v>
      </c>
      <c r="J39" s="23"/>
      <c r="K39" s="23">
        <v>7907.6760000000004</v>
      </c>
      <c r="L39" s="23">
        <v>9509.009</v>
      </c>
      <c r="M39" s="23">
        <v>10321.771000000001</v>
      </c>
      <c r="N39" s="23">
        <v>12203.216</v>
      </c>
      <c r="O39" s="23">
        <v>11534.66</v>
      </c>
      <c r="P39" s="23">
        <v>11681.911</v>
      </c>
      <c r="Q39" s="23">
        <v>11676.852000000001</v>
      </c>
      <c r="R39" s="23">
        <v>13134.758</v>
      </c>
      <c r="S39" s="23">
        <v>13832.683999999999</v>
      </c>
      <c r="T39" s="23">
        <v>17393.547999999999</v>
      </c>
      <c r="U39" s="23">
        <v>17775.548999999999</v>
      </c>
      <c r="V39" s="23">
        <v>22003.51</v>
      </c>
      <c r="W39" s="23">
        <v>24975.648000000001</v>
      </c>
      <c r="X39" s="23">
        <v>25124.95</v>
      </c>
      <c r="Y39" s="23">
        <v>25698.113000000001</v>
      </c>
      <c r="Z39" s="23">
        <v>27040.271000000001</v>
      </c>
      <c r="AA39" s="23">
        <v>28099.008000000002</v>
      </c>
      <c r="AB39" s="23">
        <v>27012.784</v>
      </c>
      <c r="AC39" s="23">
        <v>24065.119999999999</v>
      </c>
      <c r="AD39" s="23"/>
      <c r="AE39" s="23">
        <v>24499.646000000001</v>
      </c>
    </row>
    <row r="40" spans="1:31">
      <c r="A40" s="7" t="s">
        <v>56</v>
      </c>
      <c r="B40" s="47">
        <f>SUM(B42:B53)</f>
        <v>0</v>
      </c>
      <c r="C40" s="47">
        <f t="shared" ref="C40:AC40" si="12">SUM(C42:C53)</f>
        <v>0</v>
      </c>
      <c r="D40" s="47">
        <f t="shared" si="12"/>
        <v>0</v>
      </c>
      <c r="E40" s="47">
        <f t="shared" si="12"/>
        <v>0</v>
      </c>
      <c r="F40" s="47">
        <f t="shared" si="12"/>
        <v>302921.45899999997</v>
      </c>
      <c r="G40" s="47">
        <f t="shared" si="12"/>
        <v>0</v>
      </c>
      <c r="H40" s="47">
        <f t="shared" si="12"/>
        <v>0</v>
      </c>
      <c r="I40" s="47">
        <f t="shared" si="12"/>
        <v>347205.989</v>
      </c>
      <c r="J40" s="47">
        <f t="shared" si="12"/>
        <v>0</v>
      </c>
      <c r="K40" s="47">
        <f t="shared" si="12"/>
        <v>450515.67335000006</v>
      </c>
      <c r="L40" s="47">
        <f t="shared" si="12"/>
        <v>531417.33699999994</v>
      </c>
      <c r="M40" s="47">
        <f t="shared" si="12"/>
        <v>579431.821</v>
      </c>
      <c r="N40" s="47">
        <f t="shared" si="12"/>
        <v>573942.91700000002</v>
      </c>
      <c r="O40" s="47">
        <f t="shared" si="12"/>
        <v>567585.13100000005</v>
      </c>
      <c r="P40" s="47">
        <f t="shared" si="12"/>
        <v>577308.00900000008</v>
      </c>
      <c r="Q40" s="47">
        <f t="shared" si="12"/>
        <v>601745.38400000008</v>
      </c>
      <c r="R40" s="47">
        <f t="shared" si="12"/>
        <v>636939.73399999994</v>
      </c>
      <c r="S40" s="47">
        <f t="shared" si="12"/>
        <v>667550.3189999999</v>
      </c>
      <c r="T40" s="47">
        <f t="shared" si="12"/>
        <v>705142.61199999985</v>
      </c>
      <c r="U40" s="47">
        <f t="shared" si="12"/>
        <v>796155.34400000016</v>
      </c>
      <c r="V40" s="47">
        <f t="shared" si="12"/>
        <v>960847.34100000001</v>
      </c>
      <c r="W40" s="47">
        <f t="shared" si="12"/>
        <v>988174.42699999991</v>
      </c>
      <c r="X40" s="47">
        <f t="shared" si="12"/>
        <v>1026472.7189999999</v>
      </c>
      <c r="Y40" s="47">
        <f t="shared" si="12"/>
        <v>859320.8</v>
      </c>
      <c r="Z40" s="47">
        <f t="shared" si="12"/>
        <v>889565.61300000001</v>
      </c>
      <c r="AA40" s="47">
        <f t="shared" si="12"/>
        <v>901358.50300000003</v>
      </c>
      <c r="AB40" s="47">
        <f t="shared" si="12"/>
        <v>1102203.8670000001</v>
      </c>
      <c r="AC40" s="47">
        <f t="shared" si="12"/>
        <v>1133447.068</v>
      </c>
      <c r="AD40" s="47">
        <f t="shared" ref="AD40:AE40" si="13">SUM(AD42:AD53)</f>
        <v>0</v>
      </c>
      <c r="AE40" s="47">
        <f t="shared" si="13"/>
        <v>1115171.257</v>
      </c>
    </row>
    <row r="41" spans="1:31">
      <c r="A41" s="7" t="s">
        <v>97</v>
      </c>
      <c r="X41" s="1">
        <v>0</v>
      </c>
      <c r="AB41" s="1">
        <v>0</v>
      </c>
      <c r="AC41" s="1">
        <v>0</v>
      </c>
    </row>
    <row r="42" spans="1:31">
      <c r="A42" s="1" t="s">
        <v>57</v>
      </c>
      <c r="F42" s="41">
        <v>50901.819000000003</v>
      </c>
      <c r="I42" s="1">
        <v>57964.546000000002</v>
      </c>
      <c r="K42" s="1">
        <v>76903.80780000001</v>
      </c>
      <c r="L42" s="1">
        <v>99240.52</v>
      </c>
      <c r="M42" s="1">
        <v>102738.81600000001</v>
      </c>
      <c r="N42" s="1">
        <v>102624.289</v>
      </c>
      <c r="O42" s="1">
        <v>93134.929000000004</v>
      </c>
      <c r="P42" s="1">
        <v>105894.62699999999</v>
      </c>
      <c r="Q42" s="1">
        <v>100797.739</v>
      </c>
      <c r="R42" s="1">
        <v>110317.452</v>
      </c>
      <c r="S42" s="1">
        <v>120497.66099999999</v>
      </c>
      <c r="T42" s="1">
        <v>127931.265</v>
      </c>
      <c r="U42" s="1">
        <v>144674.22099999999</v>
      </c>
      <c r="V42" s="1">
        <v>188084.815</v>
      </c>
      <c r="W42" s="1">
        <v>182969.79500000001</v>
      </c>
      <c r="X42" s="1">
        <v>198022.663</v>
      </c>
      <c r="Y42" s="1">
        <v>108236.784</v>
      </c>
      <c r="Z42" s="1">
        <v>110535.87699999999</v>
      </c>
      <c r="AA42" s="1">
        <v>112622.81200000001</v>
      </c>
      <c r="AB42" s="1">
        <v>211183.95</v>
      </c>
      <c r="AC42" s="1">
        <v>220692.22899999999</v>
      </c>
      <c r="AE42" s="1">
        <v>239835.625</v>
      </c>
    </row>
    <row r="43" spans="1:31">
      <c r="A43" s="1" t="s">
        <v>58</v>
      </c>
      <c r="F43" s="41">
        <v>9782.5149999999994</v>
      </c>
      <c r="I43" s="1">
        <v>11255.188</v>
      </c>
      <c r="K43" s="1">
        <v>12836.278</v>
      </c>
      <c r="L43" s="1">
        <v>15433.994000000001</v>
      </c>
      <c r="M43" s="1">
        <v>16651.822</v>
      </c>
      <c r="N43" s="1">
        <v>14647.953</v>
      </c>
      <c r="O43" s="1">
        <v>14759.468999999999</v>
      </c>
      <c r="P43" s="1">
        <v>14718.64</v>
      </c>
      <c r="Q43" s="1">
        <v>17964.528999999999</v>
      </c>
      <c r="R43" s="1">
        <v>21815.260999999999</v>
      </c>
      <c r="S43" s="1">
        <v>23217.832999999999</v>
      </c>
      <c r="T43" s="1">
        <v>21421.66</v>
      </c>
      <c r="U43" s="1">
        <v>25688.597000000002</v>
      </c>
      <c r="V43" s="1">
        <v>34579.987000000001</v>
      </c>
      <c r="W43" s="1">
        <v>35187.841</v>
      </c>
      <c r="X43" s="1">
        <v>56357.394</v>
      </c>
      <c r="Y43" s="1">
        <v>62488.783000000003</v>
      </c>
      <c r="Z43" s="1">
        <v>67897.106</v>
      </c>
      <c r="AA43" s="1">
        <v>66493.464000000007</v>
      </c>
      <c r="AB43" s="1">
        <v>51996.283000000003</v>
      </c>
      <c r="AC43" s="1">
        <v>66700.150999999998</v>
      </c>
      <c r="AE43" s="1">
        <v>74002.206999999995</v>
      </c>
    </row>
    <row r="44" spans="1:31">
      <c r="A44" s="1" t="s">
        <v>59</v>
      </c>
      <c r="F44" s="41">
        <v>21170.02</v>
      </c>
      <c r="I44" s="1">
        <v>21943.297999999999</v>
      </c>
      <c r="K44" s="1">
        <v>22936.877</v>
      </c>
      <c r="L44" s="1">
        <v>27990.690999999999</v>
      </c>
      <c r="M44" s="1">
        <v>29462.244999999999</v>
      </c>
      <c r="N44" s="1">
        <v>26102.132000000001</v>
      </c>
      <c r="O44" s="1">
        <v>23849.846000000001</v>
      </c>
      <c r="P44" s="1">
        <v>28484.469000000001</v>
      </c>
      <c r="Q44" s="1">
        <v>30498.87</v>
      </c>
      <c r="R44" s="1">
        <v>33330.33</v>
      </c>
      <c r="S44" s="1">
        <v>30048.514999999999</v>
      </c>
      <c r="T44" s="1">
        <v>32514.518</v>
      </c>
      <c r="U44" s="1">
        <v>36404.093999999997</v>
      </c>
      <c r="V44" s="1">
        <v>46196.57</v>
      </c>
      <c r="W44" s="1">
        <v>42185.023000000001</v>
      </c>
      <c r="X44" s="1">
        <v>39795.167000000001</v>
      </c>
      <c r="Y44" s="1">
        <v>37136.474000000002</v>
      </c>
      <c r="Z44" s="1">
        <v>37648.764000000003</v>
      </c>
      <c r="AA44" s="1">
        <v>37608.442999999999</v>
      </c>
      <c r="AB44" s="1">
        <v>43111.930999999997</v>
      </c>
      <c r="AC44" s="1">
        <v>44957.637000000002</v>
      </c>
      <c r="AE44" s="1">
        <v>41622.809000000001</v>
      </c>
    </row>
    <row r="45" spans="1:31">
      <c r="A45" s="1" t="s">
        <v>60</v>
      </c>
      <c r="F45" s="41">
        <v>17854.937999999998</v>
      </c>
      <c r="I45" s="1">
        <v>23867.987000000001</v>
      </c>
      <c r="K45" s="1">
        <v>30425.008989999995</v>
      </c>
      <c r="L45" s="1">
        <v>33335.114000000001</v>
      </c>
      <c r="M45" s="1">
        <v>35980.152999999998</v>
      </c>
      <c r="N45" s="1">
        <v>38494.534</v>
      </c>
      <c r="O45" s="1">
        <v>35575.258999999998</v>
      </c>
      <c r="P45" s="1">
        <v>36404.749000000003</v>
      </c>
      <c r="Q45" s="1">
        <v>39923.699000000001</v>
      </c>
      <c r="R45" s="1">
        <v>42903.682000000001</v>
      </c>
      <c r="S45" s="1">
        <v>44920.993000000002</v>
      </c>
      <c r="T45" s="1">
        <v>45557.002</v>
      </c>
      <c r="U45" s="1">
        <v>50223.436999999998</v>
      </c>
      <c r="V45" s="1">
        <v>56493.209000000003</v>
      </c>
      <c r="W45" s="1">
        <v>55175.527999999998</v>
      </c>
      <c r="X45" s="1">
        <v>54704.997000000003</v>
      </c>
      <c r="Y45" s="1">
        <v>50655.993000000002</v>
      </c>
      <c r="Z45" s="1">
        <v>50718.756000000001</v>
      </c>
      <c r="AA45" s="1">
        <v>51229.209000000003</v>
      </c>
      <c r="AB45" s="1">
        <v>61167.413999999997</v>
      </c>
      <c r="AC45" s="1">
        <v>64133.218999999997</v>
      </c>
      <c r="AE45" s="1">
        <v>64221.866000000002</v>
      </c>
    </row>
    <row r="46" spans="1:31">
      <c r="A46" s="1" t="s">
        <v>61</v>
      </c>
      <c r="F46" s="41">
        <v>86713.482999999993</v>
      </c>
      <c r="I46" s="1">
        <v>108634.641</v>
      </c>
      <c r="K46" s="1">
        <v>124412.67404000003</v>
      </c>
      <c r="L46" s="1">
        <v>142334.845</v>
      </c>
      <c r="M46" s="1">
        <v>156205.628</v>
      </c>
      <c r="N46" s="1">
        <v>165476.144</v>
      </c>
      <c r="O46" s="1">
        <v>170191.39</v>
      </c>
      <c r="P46" s="1">
        <v>154131.34599999999</v>
      </c>
      <c r="Q46" s="1">
        <v>162468.34299999999</v>
      </c>
      <c r="R46" s="1">
        <v>168272.742</v>
      </c>
      <c r="S46" s="1">
        <v>169509.12</v>
      </c>
      <c r="T46" s="1">
        <v>183668.41099999999</v>
      </c>
      <c r="U46" s="1">
        <v>188948.71400000001</v>
      </c>
      <c r="V46" s="1">
        <v>246455.731</v>
      </c>
      <c r="W46" s="1">
        <v>245559.36199999999</v>
      </c>
      <c r="X46" s="1">
        <v>245327.177</v>
      </c>
      <c r="Y46" s="1">
        <v>228619.22099999999</v>
      </c>
      <c r="Z46" s="1">
        <v>227025.851</v>
      </c>
      <c r="AA46" s="1">
        <v>228082.94099999999</v>
      </c>
      <c r="AB46" s="1">
        <v>249602.639</v>
      </c>
      <c r="AC46" s="1">
        <v>249966.071</v>
      </c>
      <c r="AE46" s="1">
        <v>236185.85200000001</v>
      </c>
    </row>
    <row r="47" spans="1:31">
      <c r="A47" s="1" t="s">
        <v>62</v>
      </c>
      <c r="F47" s="41">
        <v>28613.179</v>
      </c>
      <c r="I47" s="1">
        <v>37254.260999999999</v>
      </c>
      <c r="K47" s="1">
        <v>55806.008270000013</v>
      </c>
      <c r="L47" s="1">
        <v>73265.232999999993</v>
      </c>
      <c r="M47" s="1">
        <v>82487.98</v>
      </c>
      <c r="N47" s="1">
        <v>81547.482999999993</v>
      </c>
      <c r="O47" s="1">
        <v>76222.926999999996</v>
      </c>
      <c r="P47" s="1">
        <v>81420.001000000004</v>
      </c>
      <c r="Q47" s="1">
        <v>88368.540999999997</v>
      </c>
      <c r="R47" s="1">
        <v>91661.411999999997</v>
      </c>
      <c r="S47" s="1">
        <v>102960.327</v>
      </c>
      <c r="T47" s="1">
        <v>112893.993</v>
      </c>
      <c r="U47" s="1">
        <v>117902.442</v>
      </c>
      <c r="V47" s="1">
        <v>132353.73300000001</v>
      </c>
      <c r="W47" s="1">
        <v>136145</v>
      </c>
      <c r="X47" s="1">
        <v>130311.901</v>
      </c>
      <c r="Y47" s="1">
        <v>101664.412</v>
      </c>
      <c r="Z47" s="1">
        <v>103144.622</v>
      </c>
      <c r="AA47" s="1">
        <v>105315.727</v>
      </c>
      <c r="AB47" s="1">
        <v>133437.56</v>
      </c>
      <c r="AC47" s="1">
        <v>135852.76699999999</v>
      </c>
      <c r="AE47" s="1">
        <v>127506.216</v>
      </c>
    </row>
    <row r="48" spans="1:31">
      <c r="A48" s="1" t="s">
        <v>63</v>
      </c>
      <c r="F48" s="41">
        <v>16093.296</v>
      </c>
      <c r="I48" s="1">
        <v>5870.2749999999996</v>
      </c>
      <c r="K48" s="1">
        <v>26730.444</v>
      </c>
      <c r="L48" s="1">
        <v>13801.699000000001</v>
      </c>
      <c r="M48" s="1">
        <v>18189.108</v>
      </c>
      <c r="N48" s="1">
        <v>14599.853999999999</v>
      </c>
      <c r="O48" s="1">
        <v>16943.841</v>
      </c>
      <c r="P48" s="1">
        <v>15993.626</v>
      </c>
      <c r="Q48" s="1">
        <v>17493.237000000001</v>
      </c>
      <c r="R48" s="1">
        <v>18565.745999999999</v>
      </c>
      <c r="S48" s="1">
        <v>20083.517</v>
      </c>
      <c r="T48" s="1">
        <v>21962.695</v>
      </c>
      <c r="U48" s="1">
        <v>24165.581999999999</v>
      </c>
      <c r="V48" s="1">
        <v>28656.249</v>
      </c>
      <c r="W48" s="1">
        <v>50570.773000000001</v>
      </c>
      <c r="X48" s="1">
        <v>50408.400999999998</v>
      </c>
      <c r="Y48" s="1">
        <v>49588.457000000002</v>
      </c>
      <c r="Z48" s="1">
        <v>66999</v>
      </c>
      <c r="AA48" s="1">
        <v>69773.362999999998</v>
      </c>
      <c r="AB48" s="1">
        <v>70607.960000000006</v>
      </c>
      <c r="AC48" s="1">
        <v>66721.956999999995</v>
      </c>
      <c r="AE48" s="1">
        <v>69435.289999999994</v>
      </c>
    </row>
    <row r="49" spans="1:31">
      <c r="A49" s="1" t="s">
        <v>64</v>
      </c>
      <c r="F49" s="41">
        <v>9270.2350000000006</v>
      </c>
      <c r="I49" s="1">
        <v>10235.098</v>
      </c>
      <c r="K49" s="1">
        <v>17794.425999999999</v>
      </c>
      <c r="L49" s="1">
        <v>22438.842000000001</v>
      </c>
      <c r="M49" s="1">
        <v>22986.84</v>
      </c>
      <c r="N49" s="1">
        <v>24128.487000000001</v>
      </c>
      <c r="O49" s="1">
        <v>23752.901000000002</v>
      </c>
      <c r="P49" s="1">
        <v>24659.282999999999</v>
      </c>
      <c r="Q49" s="1">
        <v>25906.617999999999</v>
      </c>
      <c r="R49" s="1">
        <v>27047.187999999998</v>
      </c>
      <c r="S49" s="1">
        <v>28327.467000000001</v>
      </c>
      <c r="T49" s="1">
        <v>29341.562000000002</v>
      </c>
      <c r="U49" s="1">
        <v>31801.268</v>
      </c>
      <c r="V49" s="1">
        <v>37391.228999999999</v>
      </c>
      <c r="W49" s="1">
        <v>37061.834999999999</v>
      </c>
      <c r="X49" s="1">
        <v>41375.095999999998</v>
      </c>
      <c r="Y49" s="1">
        <v>35648.442000000003</v>
      </c>
      <c r="Z49" s="1">
        <v>35706.491000000002</v>
      </c>
      <c r="AA49" s="1">
        <v>38633.981</v>
      </c>
      <c r="AB49" s="1">
        <v>50831.248</v>
      </c>
      <c r="AC49" s="1">
        <v>50247.548999999999</v>
      </c>
      <c r="AE49" s="1">
        <v>58600.712</v>
      </c>
    </row>
    <row r="50" spans="1:31">
      <c r="A50" s="1" t="s">
        <v>65</v>
      </c>
      <c r="F50" s="41">
        <v>2973.8209999999999</v>
      </c>
      <c r="I50" s="1">
        <v>3560.3560000000002</v>
      </c>
      <c r="K50" s="1">
        <v>2835.1106599999966</v>
      </c>
      <c r="L50" s="1">
        <v>4378.2740000000003</v>
      </c>
      <c r="M50" s="1">
        <v>4442.5320000000002</v>
      </c>
      <c r="N50" s="1">
        <v>4558.7389999999996</v>
      </c>
      <c r="O50" s="1">
        <v>3774.0770000000002</v>
      </c>
      <c r="P50" s="1">
        <v>3769.68</v>
      </c>
      <c r="Q50" s="1">
        <v>4536.3270000000002</v>
      </c>
      <c r="R50" s="1">
        <v>4149.3450000000003</v>
      </c>
      <c r="S50" s="1">
        <v>4811.1989999999996</v>
      </c>
      <c r="T50" s="1">
        <v>3962.0430000000001</v>
      </c>
      <c r="U50" s="1">
        <v>5692.4830000000002</v>
      </c>
      <c r="V50" s="1">
        <v>6981.0690000000004</v>
      </c>
      <c r="W50" s="1">
        <v>7724.4780000000001</v>
      </c>
      <c r="X50" s="1">
        <v>11504.504000000001</v>
      </c>
      <c r="Y50" s="1">
        <v>11325.433999999999</v>
      </c>
      <c r="Z50" s="1">
        <v>12472.619000000001</v>
      </c>
      <c r="AA50" s="1">
        <v>12264.477999999999</v>
      </c>
      <c r="AB50" s="1">
        <v>13335.812</v>
      </c>
      <c r="AC50" s="1">
        <v>13865.245999999999</v>
      </c>
      <c r="AE50" s="1">
        <v>11323.977000000001</v>
      </c>
    </row>
    <row r="51" spans="1:31">
      <c r="A51" s="1" t="s">
        <v>66</v>
      </c>
      <c r="F51" s="41">
        <v>43189.644</v>
      </c>
      <c r="I51" s="1">
        <v>47528.843999999997</v>
      </c>
      <c r="K51" s="1">
        <v>56305.830999999998</v>
      </c>
      <c r="L51" s="1">
        <v>69368.237999999998</v>
      </c>
      <c r="M51" s="1">
        <v>75957.782999999996</v>
      </c>
      <c r="N51" s="1">
        <v>66332.107999999993</v>
      </c>
      <c r="O51" s="1">
        <v>73085.043999999994</v>
      </c>
      <c r="P51" s="1">
        <v>74225.804999999993</v>
      </c>
      <c r="Q51" s="1">
        <v>74925.675000000003</v>
      </c>
      <c r="R51" s="1">
        <v>79027.084000000003</v>
      </c>
      <c r="S51" s="1">
        <v>84586.483999999997</v>
      </c>
      <c r="T51" s="1">
        <v>87156.379000000001</v>
      </c>
      <c r="U51" s="1">
        <v>126063.91499999999</v>
      </c>
      <c r="V51" s="1">
        <v>129191.51</v>
      </c>
      <c r="W51" s="1">
        <v>139927.83499999999</v>
      </c>
      <c r="X51" s="1">
        <v>140853.85500000001</v>
      </c>
      <c r="Y51" s="1">
        <v>144146.22200000001</v>
      </c>
      <c r="Z51" s="1">
        <v>146637.101</v>
      </c>
      <c r="AA51" s="1">
        <v>146272.64300000001</v>
      </c>
      <c r="AB51" s="1">
        <v>147669.19500000001</v>
      </c>
      <c r="AC51" s="1">
        <v>156355.55900000001</v>
      </c>
      <c r="AE51" s="1">
        <v>140015.989</v>
      </c>
    </row>
    <row r="52" spans="1:31">
      <c r="A52" s="1" t="s">
        <v>67</v>
      </c>
      <c r="F52" s="41">
        <v>91.733000000000004</v>
      </c>
      <c r="I52" s="1">
        <v>115.36499999999999</v>
      </c>
      <c r="K52" s="1">
        <v>1702.0525899999998</v>
      </c>
      <c r="L52" s="1">
        <v>3125.4639999999999</v>
      </c>
      <c r="M52" s="1">
        <v>2829.47</v>
      </c>
      <c r="N52" s="1">
        <v>3735.9879999999998</v>
      </c>
      <c r="O52" s="1">
        <v>1903.3720000000001</v>
      </c>
      <c r="P52" s="1">
        <v>1548.848</v>
      </c>
      <c r="Q52" s="1">
        <v>1222.932</v>
      </c>
      <c r="R52" s="1">
        <v>1531.2170000000001</v>
      </c>
      <c r="S52" s="1">
        <v>2273.1880000000001</v>
      </c>
      <c r="T52" s="1">
        <v>2262.1680000000001</v>
      </c>
      <c r="U52" s="1">
        <v>5231.5569999999998</v>
      </c>
      <c r="V52" s="1">
        <v>2255.3209999999999</v>
      </c>
      <c r="W52" s="1">
        <v>2800.9209999999998</v>
      </c>
      <c r="X52" s="1">
        <v>2677.0990000000002</v>
      </c>
      <c r="Y52" s="1">
        <v>7864.6989999999996</v>
      </c>
      <c r="Z52" s="1">
        <v>8083.4780000000001</v>
      </c>
      <c r="AA52" s="1">
        <v>10261.050999999999</v>
      </c>
      <c r="AB52" s="1">
        <v>8925.7540000000008</v>
      </c>
      <c r="AC52" s="1">
        <v>8377.7950000000001</v>
      </c>
      <c r="AE52" s="1">
        <v>8522.3799999999992</v>
      </c>
    </row>
    <row r="53" spans="1:31">
      <c r="A53" s="23" t="s">
        <v>68</v>
      </c>
      <c r="B53" s="23"/>
      <c r="C53" s="23"/>
      <c r="D53" s="23"/>
      <c r="E53" s="23"/>
      <c r="F53" s="44">
        <v>16266.776</v>
      </c>
      <c r="G53" s="23"/>
      <c r="H53" s="23"/>
      <c r="I53" s="23">
        <v>18976.13</v>
      </c>
      <c r="J53" s="23"/>
      <c r="K53" s="23">
        <v>21827.154999999999</v>
      </c>
      <c r="L53" s="23">
        <v>26704.422999999999</v>
      </c>
      <c r="M53" s="23">
        <v>31499.444</v>
      </c>
      <c r="N53" s="23">
        <v>31695.205999999998</v>
      </c>
      <c r="O53" s="23">
        <v>34392.076000000001</v>
      </c>
      <c r="P53" s="23">
        <v>36056.934999999998</v>
      </c>
      <c r="Q53" s="23">
        <v>37638.874000000003</v>
      </c>
      <c r="R53" s="23">
        <v>38318.275000000001</v>
      </c>
      <c r="S53" s="23">
        <v>36314.014999999999</v>
      </c>
      <c r="T53" s="23">
        <v>36470.915999999997</v>
      </c>
      <c r="U53" s="23">
        <v>39359.034</v>
      </c>
      <c r="V53" s="23">
        <v>52207.917999999998</v>
      </c>
      <c r="W53" s="23">
        <v>52866.036</v>
      </c>
      <c r="X53" s="23">
        <v>55134.464999999997</v>
      </c>
      <c r="Y53" s="23">
        <v>21945.879000000001</v>
      </c>
      <c r="Z53" s="23">
        <v>22695.948</v>
      </c>
      <c r="AA53" s="23">
        <v>22800.391</v>
      </c>
      <c r="AB53" s="23">
        <v>60334.120999999999</v>
      </c>
      <c r="AC53" s="23">
        <v>55576.887999999999</v>
      </c>
      <c r="AD53" s="23"/>
      <c r="AE53" s="23">
        <v>43898.334000000003</v>
      </c>
    </row>
    <row r="54" spans="1:31">
      <c r="A54" s="7" t="s">
        <v>69</v>
      </c>
      <c r="B54" s="47">
        <f>SUM(B56:B64)</f>
        <v>0</v>
      </c>
      <c r="C54" s="47">
        <f t="shared" ref="C54:AC54" si="14">SUM(C56:C64)</f>
        <v>0</v>
      </c>
      <c r="D54" s="47">
        <f t="shared" si="14"/>
        <v>0</v>
      </c>
      <c r="E54" s="47">
        <f t="shared" si="14"/>
        <v>0</v>
      </c>
      <c r="F54" s="47">
        <f>SUM(F56:F64)</f>
        <v>164982.90800000002</v>
      </c>
      <c r="G54" s="47">
        <f t="shared" si="14"/>
        <v>0</v>
      </c>
      <c r="H54" s="47">
        <f t="shared" si="14"/>
        <v>0</v>
      </c>
      <c r="I54" s="47">
        <f t="shared" si="14"/>
        <v>197662.49599999998</v>
      </c>
      <c r="J54" s="47">
        <f t="shared" si="14"/>
        <v>0</v>
      </c>
      <c r="K54" s="47">
        <f t="shared" si="14"/>
        <v>254242.08628000005</v>
      </c>
      <c r="L54" s="47">
        <f t="shared" si="14"/>
        <v>273693.147</v>
      </c>
      <c r="M54" s="47">
        <f t="shared" si="14"/>
        <v>314581.85199999996</v>
      </c>
      <c r="N54" s="47">
        <f t="shared" si="14"/>
        <v>330532.96000000002</v>
      </c>
      <c r="O54" s="47">
        <f t="shared" si="14"/>
        <v>348126.58799999993</v>
      </c>
      <c r="P54" s="47">
        <f t="shared" si="14"/>
        <v>367716.52899999998</v>
      </c>
      <c r="Q54" s="47">
        <f t="shared" si="14"/>
        <v>388742.35100000008</v>
      </c>
      <c r="R54" s="47">
        <f t="shared" si="14"/>
        <v>409089.39099999995</v>
      </c>
      <c r="S54" s="47">
        <f t="shared" si="14"/>
        <v>429386.76599999995</v>
      </c>
      <c r="T54" s="47">
        <f t="shared" si="14"/>
        <v>475278.05200000003</v>
      </c>
      <c r="U54" s="47">
        <f t="shared" si="14"/>
        <v>534483.47499999998</v>
      </c>
      <c r="V54" s="47">
        <f t="shared" si="14"/>
        <v>640157.12100000004</v>
      </c>
      <c r="W54" s="47">
        <f t="shared" si="14"/>
        <v>672262.5290000001</v>
      </c>
      <c r="X54" s="47">
        <f t="shared" si="14"/>
        <v>677265.87100000004</v>
      </c>
      <c r="Y54" s="47">
        <f t="shared" si="14"/>
        <v>699000.18</v>
      </c>
      <c r="Z54" s="47">
        <f t="shared" si="14"/>
        <v>755312.10699999996</v>
      </c>
      <c r="AA54" s="47">
        <f t="shared" si="14"/>
        <v>776821.54599999997</v>
      </c>
      <c r="AB54" s="47">
        <f t="shared" si="14"/>
        <v>751503.6129999999</v>
      </c>
      <c r="AC54" s="47">
        <f t="shared" si="14"/>
        <v>742598.19700000004</v>
      </c>
      <c r="AD54" s="47">
        <f t="shared" ref="AD54:AE54" si="15">SUM(AD56:AD64)</f>
        <v>0</v>
      </c>
      <c r="AE54" s="47">
        <f t="shared" si="15"/>
        <v>719678.58799999999</v>
      </c>
    </row>
    <row r="55" spans="1:31">
      <c r="A55" s="7" t="s">
        <v>97</v>
      </c>
      <c r="X55" s="1">
        <v>0</v>
      </c>
      <c r="AB55" s="1">
        <v>0</v>
      </c>
      <c r="AC55" s="1">
        <v>0</v>
      </c>
    </row>
    <row r="56" spans="1:31">
      <c r="A56" s="1" t="s">
        <v>70</v>
      </c>
      <c r="F56" s="41">
        <v>17672.684000000001</v>
      </c>
      <c r="I56" s="1">
        <v>19982.758000000002</v>
      </c>
      <c r="K56" s="1">
        <v>28212.475040000005</v>
      </c>
      <c r="L56" s="1">
        <v>35536.800999999999</v>
      </c>
      <c r="M56" s="1">
        <v>35433.023000000001</v>
      </c>
      <c r="N56" s="1">
        <v>39891.862000000001</v>
      </c>
      <c r="O56" s="1">
        <v>39738.464</v>
      </c>
      <c r="P56" s="1">
        <v>39992.133999999998</v>
      </c>
      <c r="Q56" s="1">
        <v>45493.953999999998</v>
      </c>
      <c r="R56" s="1">
        <v>48866.875</v>
      </c>
      <c r="S56" s="1">
        <v>52920.802000000003</v>
      </c>
      <c r="T56" s="1">
        <v>61464.536</v>
      </c>
      <c r="U56" s="1">
        <v>78049.228000000003</v>
      </c>
      <c r="V56" s="1">
        <v>87572.513000000006</v>
      </c>
      <c r="W56" s="1">
        <v>91381.123000000007</v>
      </c>
      <c r="X56" s="1">
        <v>92943.967999999993</v>
      </c>
      <c r="Y56" s="1">
        <v>92184.557000000001</v>
      </c>
      <c r="Z56" s="1">
        <v>99084.517999999996</v>
      </c>
      <c r="AA56" s="1">
        <v>106605.03</v>
      </c>
      <c r="AB56" s="1">
        <v>96132.153999999995</v>
      </c>
      <c r="AC56" s="1">
        <v>95307.24</v>
      </c>
      <c r="AE56" s="1">
        <v>86619.350999999995</v>
      </c>
    </row>
    <row r="57" spans="1:31">
      <c r="A57" s="1" t="s">
        <v>71</v>
      </c>
      <c r="F57" s="41">
        <v>4353.95</v>
      </c>
      <c r="I57" s="1">
        <v>5004.6109999999999</v>
      </c>
      <c r="K57" s="1">
        <v>5043.5439999999999</v>
      </c>
      <c r="L57" s="1">
        <v>6104.527</v>
      </c>
      <c r="M57" s="1">
        <v>6337.4849999999997</v>
      </c>
      <c r="N57" s="1">
        <v>6900.0039999999999</v>
      </c>
      <c r="O57" s="1">
        <v>6690.2619999999997</v>
      </c>
      <c r="P57" s="1">
        <v>7121.8410000000003</v>
      </c>
      <c r="Q57" s="1">
        <v>7017.76</v>
      </c>
      <c r="R57" s="1">
        <v>7029.9769999999999</v>
      </c>
      <c r="S57" s="1">
        <v>7285.3010000000004</v>
      </c>
      <c r="T57" s="1">
        <v>8099.1859999999997</v>
      </c>
      <c r="U57" s="1">
        <v>10303.039000000001</v>
      </c>
      <c r="V57" s="1">
        <v>10371.584000000001</v>
      </c>
      <c r="W57" s="1">
        <v>11429.528</v>
      </c>
      <c r="X57" s="1">
        <v>12657.302</v>
      </c>
      <c r="Y57" s="1">
        <v>13306.607</v>
      </c>
      <c r="Z57" s="1">
        <v>12796.977000000001</v>
      </c>
      <c r="AA57" s="1">
        <v>13164.022999999999</v>
      </c>
      <c r="AB57" s="1">
        <v>13308.862999999999</v>
      </c>
      <c r="AC57" s="1">
        <v>13788.879000000001</v>
      </c>
      <c r="AE57" s="1">
        <v>14461.093999999999</v>
      </c>
    </row>
    <row r="58" spans="1:31" s="11" customFormat="1">
      <c r="A58" s="1" t="s">
        <v>72</v>
      </c>
      <c r="B58" s="1"/>
      <c r="C58" s="1"/>
      <c r="D58" s="1"/>
      <c r="E58" s="1"/>
      <c r="F58" s="41">
        <v>24147.462</v>
      </c>
      <c r="G58" s="1"/>
      <c r="H58" s="1"/>
      <c r="I58" s="1">
        <v>37982.120000000003</v>
      </c>
      <c r="J58" s="1"/>
      <c r="K58" s="1">
        <v>45753.733</v>
      </c>
      <c r="L58" s="1">
        <v>55682.235999999997</v>
      </c>
      <c r="M58" s="1">
        <v>60925.754000000001</v>
      </c>
      <c r="N58" s="1">
        <v>59775.917999999998</v>
      </c>
      <c r="O58" s="1">
        <v>58494.722999999998</v>
      </c>
      <c r="P58" s="1">
        <v>63434.154000000002</v>
      </c>
      <c r="Q58" s="1">
        <v>69988.418000000005</v>
      </c>
      <c r="R58" s="1">
        <v>76142.557000000001</v>
      </c>
      <c r="S58" s="1">
        <v>80666.368000000002</v>
      </c>
      <c r="T58" s="1">
        <v>85145.509000000005</v>
      </c>
      <c r="U58" s="1">
        <v>78745.554000000004</v>
      </c>
      <c r="V58" s="1">
        <v>93032.058000000005</v>
      </c>
      <c r="W58" s="1">
        <v>98978.368000000002</v>
      </c>
      <c r="X58" s="1">
        <v>101761.05</v>
      </c>
      <c r="Y58" s="1">
        <v>104548.473</v>
      </c>
      <c r="Z58" s="1">
        <v>108633.54700000001</v>
      </c>
      <c r="AA58" s="1">
        <v>114667.4</v>
      </c>
      <c r="AB58" s="1">
        <v>116906.573</v>
      </c>
      <c r="AC58" s="1">
        <v>120919.159</v>
      </c>
      <c r="AD58" s="1"/>
      <c r="AE58" s="1">
        <v>116140.416</v>
      </c>
    </row>
    <row r="59" spans="1:31">
      <c r="A59" s="1" t="s">
        <v>73</v>
      </c>
      <c r="F59" s="41">
        <v>3390.7739999999999</v>
      </c>
      <c r="I59" s="1">
        <v>2853.2460000000001</v>
      </c>
      <c r="K59" s="1">
        <v>3456.8560000000002</v>
      </c>
      <c r="L59" s="1">
        <v>2261.7869999999998</v>
      </c>
      <c r="M59" s="1">
        <v>2789.5239999999999</v>
      </c>
      <c r="N59" s="1">
        <v>4176.6220000000003</v>
      </c>
      <c r="O59" s="1">
        <v>1997.9659999999999</v>
      </c>
      <c r="P59" s="1">
        <v>3006.11</v>
      </c>
      <c r="Q59" s="1">
        <v>2562.4630000000002</v>
      </c>
      <c r="R59" s="1">
        <v>2247.8380000000002</v>
      </c>
      <c r="S59" s="1">
        <v>1731.3789999999999</v>
      </c>
      <c r="T59" s="1">
        <v>3874.9830000000002</v>
      </c>
      <c r="U59" s="1">
        <v>4011.366</v>
      </c>
      <c r="V59" s="1">
        <v>3955.011</v>
      </c>
      <c r="W59" s="1">
        <v>3991.4290000000001</v>
      </c>
      <c r="X59" s="1">
        <v>9095.2620000000006</v>
      </c>
      <c r="Y59" s="1">
        <v>7522.4660000000003</v>
      </c>
      <c r="Z59" s="1">
        <v>7037.1480000000001</v>
      </c>
      <c r="AA59" s="1">
        <v>7526.2870000000003</v>
      </c>
      <c r="AB59" s="1">
        <v>8463.0570000000007</v>
      </c>
      <c r="AC59" s="1">
        <v>9534.6170000000002</v>
      </c>
      <c r="AE59" s="1">
        <v>7284.0969999999998</v>
      </c>
    </row>
    <row r="60" spans="1:31">
      <c r="A60" s="1" t="s">
        <v>74</v>
      </c>
      <c r="F60" s="41">
        <v>35731.14</v>
      </c>
      <c r="I60" s="1">
        <v>41599.915000000001</v>
      </c>
      <c r="K60" s="1">
        <v>42314.525000000001</v>
      </c>
      <c r="L60" s="1">
        <v>48819.794999999998</v>
      </c>
      <c r="M60" s="1">
        <v>52520.203999999998</v>
      </c>
      <c r="N60" s="1">
        <v>54996.050999999999</v>
      </c>
      <c r="O60" s="1">
        <v>59411.260999999999</v>
      </c>
      <c r="P60" s="1">
        <v>63555.92</v>
      </c>
      <c r="Q60" s="1">
        <v>68009.293000000005</v>
      </c>
      <c r="R60" s="1">
        <v>69852.570999999996</v>
      </c>
      <c r="S60" s="1">
        <v>70671.481</v>
      </c>
      <c r="T60" s="1">
        <v>78208.914000000004</v>
      </c>
      <c r="U60" s="1">
        <v>83954.502999999997</v>
      </c>
      <c r="V60" s="1">
        <v>103714.883</v>
      </c>
      <c r="W60" s="1">
        <v>103657.289</v>
      </c>
      <c r="X60" s="1">
        <v>99530.497000000003</v>
      </c>
      <c r="Y60" s="1">
        <v>101726.981</v>
      </c>
      <c r="Z60" s="1">
        <v>106802.851</v>
      </c>
      <c r="AA60" s="1">
        <v>107369.603</v>
      </c>
      <c r="AB60" s="1">
        <v>96043.425000000003</v>
      </c>
      <c r="AC60" s="1">
        <v>100773.5</v>
      </c>
      <c r="AE60" s="1">
        <v>98536.282000000007</v>
      </c>
    </row>
    <row r="61" spans="1:31">
      <c r="A61" s="1" t="s">
        <v>75</v>
      </c>
      <c r="F61" s="41">
        <v>39828.309000000001</v>
      </c>
      <c r="I61" s="1">
        <v>48924.163</v>
      </c>
      <c r="K61" s="1">
        <v>80484.418000000005</v>
      </c>
      <c r="L61" s="1">
        <v>78345.698000000004</v>
      </c>
      <c r="M61" s="1">
        <v>105849.333</v>
      </c>
      <c r="N61" s="1">
        <v>111317.401</v>
      </c>
      <c r="O61" s="1">
        <v>121887.23699999999</v>
      </c>
      <c r="P61" s="1">
        <v>128260.281</v>
      </c>
      <c r="Q61" s="1">
        <v>132171.30900000001</v>
      </c>
      <c r="R61" s="1">
        <v>135734.31299999999</v>
      </c>
      <c r="S61" s="1">
        <v>142973.274</v>
      </c>
      <c r="T61" s="1">
        <v>154971.04300000001</v>
      </c>
      <c r="U61" s="1">
        <v>179186.43400000001</v>
      </c>
      <c r="V61" s="1">
        <v>227629.41500000001</v>
      </c>
      <c r="W61" s="1">
        <v>243854.71400000001</v>
      </c>
      <c r="X61" s="1">
        <v>236123.5</v>
      </c>
      <c r="Y61" s="1">
        <v>252241.42800000001</v>
      </c>
      <c r="Z61" s="1">
        <v>292418.10200000001</v>
      </c>
      <c r="AA61" s="1">
        <v>297664.43400000001</v>
      </c>
      <c r="AB61" s="1">
        <v>298353.11499999999</v>
      </c>
      <c r="AC61" s="1">
        <v>282596.39500000002</v>
      </c>
      <c r="AE61" s="1">
        <v>273043.43900000001</v>
      </c>
    </row>
    <row r="62" spans="1:31">
      <c r="A62" s="1" t="s">
        <v>76</v>
      </c>
      <c r="F62" s="41">
        <v>32833.195</v>
      </c>
      <c r="I62" s="1">
        <v>34237.868000000002</v>
      </c>
      <c r="K62" s="1">
        <v>41370.397240000013</v>
      </c>
      <c r="L62" s="1">
        <v>38153.428999999996</v>
      </c>
      <c r="M62" s="1">
        <v>41659.321000000004</v>
      </c>
      <c r="N62" s="1">
        <v>44103.264000000003</v>
      </c>
      <c r="O62" s="1">
        <v>49960.805999999997</v>
      </c>
      <c r="P62" s="1">
        <v>51937.616000000002</v>
      </c>
      <c r="Q62" s="1">
        <v>52695.633999999998</v>
      </c>
      <c r="R62" s="1">
        <v>57161.008000000002</v>
      </c>
      <c r="S62" s="1">
        <v>61196.978999999999</v>
      </c>
      <c r="T62" s="1">
        <v>69999.812000000005</v>
      </c>
      <c r="U62" s="1">
        <v>81882.91</v>
      </c>
      <c r="V62" s="1">
        <v>97822.707999999999</v>
      </c>
      <c r="W62" s="1">
        <v>101178.731</v>
      </c>
      <c r="X62" s="1">
        <v>106967.164</v>
      </c>
      <c r="Y62" s="1">
        <v>103674.47199999999</v>
      </c>
      <c r="Z62" s="1">
        <v>104449.205</v>
      </c>
      <c r="AA62" s="1">
        <v>106553.505</v>
      </c>
      <c r="AB62" s="1">
        <v>101897.591</v>
      </c>
      <c r="AC62" s="1">
        <v>99454.903999999995</v>
      </c>
      <c r="AE62" s="1">
        <v>101434.836</v>
      </c>
    </row>
    <row r="63" spans="1:31">
      <c r="A63" s="1" t="s">
        <v>77</v>
      </c>
      <c r="F63" s="41">
        <v>2965.3539999999998</v>
      </c>
      <c r="I63" s="1">
        <v>3640.3960000000002</v>
      </c>
      <c r="K63" s="1">
        <v>3817.779</v>
      </c>
      <c r="L63" s="1">
        <v>4064.95</v>
      </c>
      <c r="M63" s="1">
        <v>4239.3980000000001</v>
      </c>
      <c r="N63" s="1">
        <v>4631.7250000000004</v>
      </c>
      <c r="O63" s="1">
        <v>4895.2700000000004</v>
      </c>
      <c r="P63" s="1">
        <v>5307.0690000000004</v>
      </c>
      <c r="Q63" s="1">
        <v>5305.5209999999997</v>
      </c>
      <c r="R63" s="1">
        <v>6470.1469999999999</v>
      </c>
      <c r="S63" s="1">
        <v>6286.7629999999999</v>
      </c>
      <c r="T63" s="1">
        <v>6973.375</v>
      </c>
      <c r="U63" s="1">
        <v>8479.8060000000005</v>
      </c>
      <c r="V63" s="1">
        <v>7894.9409999999998</v>
      </c>
      <c r="W63" s="1">
        <v>8522.6479999999992</v>
      </c>
      <c r="X63" s="1">
        <v>8195.8729999999996</v>
      </c>
      <c r="Y63" s="1">
        <v>8426.5920000000006</v>
      </c>
      <c r="Z63" s="1">
        <v>8833.7780000000002</v>
      </c>
      <c r="AA63" s="1">
        <v>9027.4310000000005</v>
      </c>
      <c r="AB63" s="1">
        <v>9168.9449999999997</v>
      </c>
      <c r="AC63" s="1">
        <v>8570.7340000000004</v>
      </c>
      <c r="AE63" s="1">
        <v>10144.619000000001</v>
      </c>
    </row>
    <row r="64" spans="1:31">
      <c r="A64" s="23" t="s">
        <v>78</v>
      </c>
      <c r="B64" s="23"/>
      <c r="C64" s="23"/>
      <c r="D64" s="23"/>
      <c r="E64" s="23"/>
      <c r="F64" s="44">
        <v>4060.04</v>
      </c>
      <c r="G64" s="23"/>
      <c r="H64" s="23"/>
      <c r="I64" s="23">
        <v>3437.4189999999999</v>
      </c>
      <c r="J64" s="23"/>
      <c r="K64" s="23">
        <v>3788.3589999999999</v>
      </c>
      <c r="L64" s="23">
        <v>4723.924</v>
      </c>
      <c r="M64" s="23">
        <v>4827.8100000000004</v>
      </c>
      <c r="N64" s="23">
        <v>4740.1130000000003</v>
      </c>
      <c r="O64" s="23">
        <v>5050.5990000000002</v>
      </c>
      <c r="P64" s="23">
        <v>5101.4040000000005</v>
      </c>
      <c r="Q64" s="23">
        <v>5497.9989999999998</v>
      </c>
      <c r="R64" s="23">
        <v>5584.1049999999996</v>
      </c>
      <c r="S64" s="23">
        <v>5654.4189999999999</v>
      </c>
      <c r="T64" s="23">
        <v>6540.6940000000004</v>
      </c>
      <c r="U64" s="23">
        <v>9870.6350000000002</v>
      </c>
      <c r="V64" s="23">
        <v>8164.0079999999998</v>
      </c>
      <c r="W64" s="23">
        <v>9268.6990000000005</v>
      </c>
      <c r="X64" s="23">
        <v>9991.2549999999992</v>
      </c>
      <c r="Y64" s="23">
        <v>15368.603999999999</v>
      </c>
      <c r="Z64" s="23">
        <v>15255.981</v>
      </c>
      <c r="AA64" s="23">
        <v>14243.833000000001</v>
      </c>
      <c r="AB64" s="23">
        <v>11229.89</v>
      </c>
      <c r="AC64" s="23">
        <v>11652.769</v>
      </c>
      <c r="AD64" s="23"/>
      <c r="AE64" s="23">
        <v>12014.454</v>
      </c>
    </row>
    <row r="65" spans="1:31">
      <c r="A65" s="45" t="s">
        <v>79</v>
      </c>
      <c r="B65" s="45"/>
      <c r="C65" s="45"/>
      <c r="D65" s="45"/>
      <c r="E65" s="45"/>
      <c r="F65" s="46">
        <v>0</v>
      </c>
      <c r="G65" s="45"/>
      <c r="H65" s="45"/>
      <c r="I65" s="45">
        <v>0</v>
      </c>
      <c r="J65" s="45"/>
      <c r="K65" s="45">
        <v>0</v>
      </c>
      <c r="L65" s="45">
        <v>0</v>
      </c>
      <c r="M65" s="45">
        <v>0</v>
      </c>
      <c r="N65" s="45">
        <v>0</v>
      </c>
      <c r="O65" s="45">
        <v>0</v>
      </c>
      <c r="P65" s="45">
        <v>0</v>
      </c>
      <c r="Q65" s="45">
        <v>0</v>
      </c>
      <c r="R65" s="45">
        <v>0</v>
      </c>
      <c r="S65" s="45">
        <v>0</v>
      </c>
      <c r="T65" s="45">
        <v>0</v>
      </c>
      <c r="U65" s="45">
        <v>0</v>
      </c>
      <c r="V65" s="45">
        <v>0</v>
      </c>
      <c r="W65" s="45">
        <v>0</v>
      </c>
      <c r="X65" s="23"/>
      <c r="Y65" s="23"/>
      <c r="Z65" s="23"/>
      <c r="AA65" s="23"/>
      <c r="AB65" s="23"/>
      <c r="AC65" s="23"/>
      <c r="AD65" s="23"/>
      <c r="AE65" s="23">
        <v>0</v>
      </c>
    </row>
    <row r="67" spans="1:31">
      <c r="I67" s="19" t="s">
        <v>99</v>
      </c>
      <c r="J67" s="19" t="s">
        <v>100</v>
      </c>
      <c r="K67" s="19"/>
      <c r="L67" s="19" t="s">
        <v>101</v>
      </c>
      <c r="M67" s="19"/>
      <c r="N67" s="19"/>
      <c r="O67" s="19" t="s">
        <v>99</v>
      </c>
      <c r="P67" s="19" t="s">
        <v>99</v>
      </c>
      <c r="Q67" s="19" t="s">
        <v>99</v>
      </c>
      <c r="R67" s="19" t="s">
        <v>99</v>
      </c>
      <c r="S67" s="19"/>
      <c r="T67" s="19"/>
      <c r="U67" s="19"/>
      <c r="V67" s="19"/>
      <c r="W67" s="19"/>
    </row>
    <row r="68" spans="1:31">
      <c r="I68" s="1" t="s">
        <v>102</v>
      </c>
      <c r="J68" s="1" t="s">
        <v>103</v>
      </c>
      <c r="L68" s="1" t="s">
        <v>104</v>
      </c>
      <c r="O68" s="1" t="s">
        <v>102</v>
      </c>
      <c r="P68" s="1" t="s">
        <v>102</v>
      </c>
      <c r="Q68" s="1" t="s">
        <v>102</v>
      </c>
      <c r="R68" s="1" t="s">
        <v>102</v>
      </c>
    </row>
    <row r="69" spans="1:31">
      <c r="I69" s="1" t="s">
        <v>105</v>
      </c>
      <c r="J69" s="1" t="s">
        <v>106</v>
      </c>
      <c r="O69" s="1" t="s">
        <v>105</v>
      </c>
      <c r="P69" s="1" t="s">
        <v>105</v>
      </c>
      <c r="Q69" s="1" t="s">
        <v>105</v>
      </c>
      <c r="R69" s="1" t="s">
        <v>105</v>
      </c>
    </row>
    <row r="70" spans="1:31">
      <c r="J70" s="1" t="s">
        <v>107</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tabColor theme="4" tint="0.39997558519241921"/>
  </sheetPr>
  <dimension ref="A1:AE70"/>
  <sheetViews>
    <sheetView showZeros="0" zoomScale="90" zoomScaleNormal="90" workbookViewId="0">
      <pane xSplit="1" ySplit="5" topLeftCell="R6" activePane="bottomRight" state="frozen"/>
      <selection pane="topRight" activeCell="AC65" sqref="AC65"/>
      <selection pane="bottomLeft" activeCell="AC65" sqref="AC65"/>
      <selection pane="bottomRight" activeCell="AE9" sqref="AE9:AE24"/>
    </sheetView>
  </sheetViews>
  <sheetFormatPr defaultColWidth="9.85546875" defaultRowHeight="12.75"/>
  <cols>
    <col min="1" max="1" width="23.42578125" style="43" customWidth="1"/>
    <col min="2" max="23" width="12.42578125" style="1" customWidth="1"/>
    <col min="24" max="29" width="10.85546875" style="1" customWidth="1"/>
    <col min="30" max="31" width="12.42578125" style="1" customWidth="1"/>
    <col min="32" max="42" width="10.85546875" style="1" customWidth="1"/>
    <col min="43" max="16384" width="9.85546875" style="1"/>
  </cols>
  <sheetData>
    <row r="1" spans="1:31">
      <c r="A1" s="7" t="s">
        <v>94</v>
      </c>
      <c r="B1"/>
      <c r="C1"/>
      <c r="D1"/>
      <c r="E1"/>
      <c r="F1"/>
      <c r="G1"/>
      <c r="H1"/>
      <c r="I1"/>
      <c r="J1"/>
      <c r="K1"/>
      <c r="L1"/>
      <c r="M1"/>
      <c r="N1"/>
      <c r="O1"/>
      <c r="P1"/>
      <c r="Q1"/>
      <c r="R1"/>
      <c r="S1"/>
      <c r="T1"/>
      <c r="U1"/>
      <c r="V1"/>
      <c r="W1"/>
      <c r="AA1" s="1">
        <v>1000</v>
      </c>
    </row>
    <row r="2" spans="1:31">
      <c r="A2" s="9"/>
      <c r="B2"/>
      <c r="C2"/>
      <c r="D2"/>
      <c r="E2"/>
      <c r="F2"/>
      <c r="G2"/>
      <c r="H2"/>
      <c r="I2"/>
      <c r="J2"/>
      <c r="K2"/>
      <c r="L2"/>
      <c r="M2"/>
      <c r="N2"/>
      <c r="O2"/>
      <c r="P2"/>
      <c r="Q2"/>
      <c r="R2"/>
      <c r="S2"/>
      <c r="T2"/>
      <c r="U2"/>
      <c r="V2"/>
      <c r="W2"/>
    </row>
    <row r="3" spans="1:31">
      <c r="A3" s="1" t="s">
        <v>135</v>
      </c>
      <c r="B3"/>
      <c r="C3"/>
      <c r="D3"/>
      <c r="E3"/>
      <c r="F3"/>
      <c r="G3"/>
      <c r="H3"/>
      <c r="I3"/>
      <c r="J3"/>
      <c r="K3"/>
      <c r="L3"/>
      <c r="M3"/>
      <c r="N3"/>
      <c r="O3"/>
      <c r="P3"/>
      <c r="Q3"/>
      <c r="R3"/>
      <c r="S3"/>
      <c r="T3"/>
      <c r="U3"/>
      <c r="V3"/>
      <c r="W3"/>
    </row>
    <row r="4" spans="1:31" s="32" customFormat="1">
      <c r="B4" s="32">
        <v>1984</v>
      </c>
      <c r="C4" s="32">
        <v>1985</v>
      </c>
      <c r="D4" s="32">
        <v>1986</v>
      </c>
      <c r="E4" s="32">
        <v>1991</v>
      </c>
      <c r="F4" s="32">
        <v>1992</v>
      </c>
      <c r="G4" s="32">
        <v>1993</v>
      </c>
      <c r="H4" s="32">
        <v>1994</v>
      </c>
      <c r="I4" s="32">
        <v>1995</v>
      </c>
      <c r="J4" s="32">
        <v>1996</v>
      </c>
      <c r="K4" s="32">
        <v>1997</v>
      </c>
      <c r="L4" s="32">
        <v>2000</v>
      </c>
      <c r="M4" s="39">
        <v>2001</v>
      </c>
      <c r="N4" s="39">
        <v>2002</v>
      </c>
      <c r="O4" s="39">
        <v>2003</v>
      </c>
      <c r="P4" s="39">
        <v>2004</v>
      </c>
      <c r="Q4" s="32">
        <v>2005</v>
      </c>
      <c r="R4" s="32">
        <v>2006</v>
      </c>
      <c r="S4" s="39">
        <v>2007</v>
      </c>
      <c r="T4" s="39">
        <v>2008</v>
      </c>
      <c r="U4" s="39">
        <v>2009</v>
      </c>
      <c r="V4" s="39">
        <v>2010</v>
      </c>
      <c r="W4" s="39">
        <v>2011</v>
      </c>
      <c r="X4" s="32" t="s">
        <v>111</v>
      </c>
      <c r="Y4" s="32" t="s">
        <v>112</v>
      </c>
      <c r="Z4" s="32" t="s">
        <v>113</v>
      </c>
      <c r="AA4" s="32" t="s">
        <v>114</v>
      </c>
      <c r="AB4" s="95" t="s">
        <v>115</v>
      </c>
      <c r="AC4" s="95" t="s">
        <v>116</v>
      </c>
      <c r="AD4" s="96">
        <v>2018</v>
      </c>
      <c r="AE4" s="96">
        <v>2019</v>
      </c>
    </row>
    <row r="5" spans="1:31" s="8" customFormat="1">
      <c r="B5" s="8" t="s">
        <v>96</v>
      </c>
      <c r="C5" s="8" t="s">
        <v>96</v>
      </c>
      <c r="D5" s="8" t="s">
        <v>96</v>
      </c>
      <c r="E5" s="8" t="s">
        <v>96</v>
      </c>
      <c r="F5" s="8" t="s">
        <v>96</v>
      </c>
      <c r="G5" s="8" t="s">
        <v>96</v>
      </c>
      <c r="H5" s="8" t="s">
        <v>96</v>
      </c>
      <c r="I5" s="8" t="s">
        <v>96</v>
      </c>
      <c r="J5" s="8" t="s">
        <v>96</v>
      </c>
      <c r="K5" s="8" t="s">
        <v>96</v>
      </c>
      <c r="L5" s="8" t="s">
        <v>96</v>
      </c>
      <c r="M5" s="8" t="s">
        <v>96</v>
      </c>
      <c r="N5" s="8" t="s">
        <v>96</v>
      </c>
      <c r="O5" s="8" t="s">
        <v>96</v>
      </c>
      <c r="P5" s="8" t="s">
        <v>96</v>
      </c>
      <c r="Q5" s="8" t="s">
        <v>96</v>
      </c>
      <c r="R5" s="8" t="s">
        <v>96</v>
      </c>
      <c r="S5" s="8" t="s">
        <v>96</v>
      </c>
      <c r="T5" s="8" t="s">
        <v>96</v>
      </c>
      <c r="U5" s="8" t="s">
        <v>96</v>
      </c>
      <c r="V5" s="8" t="s">
        <v>96</v>
      </c>
      <c r="W5" s="8" t="s">
        <v>96</v>
      </c>
      <c r="X5" s="8" t="s">
        <v>96</v>
      </c>
      <c r="Y5" s="8" t="s">
        <v>96</v>
      </c>
      <c r="Z5" s="8" t="s">
        <v>96</v>
      </c>
      <c r="AA5" s="8" t="s">
        <v>96</v>
      </c>
      <c r="AB5" s="8" t="s">
        <v>96</v>
      </c>
      <c r="AC5" s="8" t="s">
        <v>96</v>
      </c>
      <c r="AD5" s="8" t="s">
        <v>96</v>
      </c>
      <c r="AE5" s="8" t="s">
        <v>96</v>
      </c>
    </row>
    <row r="6" spans="1:31">
      <c r="A6" s="23" t="s">
        <v>24</v>
      </c>
      <c r="B6" s="1">
        <f>534162+1150940</f>
        <v>1685102</v>
      </c>
      <c r="C6" s="1">
        <f>588558+1253205</f>
        <v>1841763</v>
      </c>
      <c r="D6" s="1">
        <f>639977+1361198</f>
        <v>2001175</v>
      </c>
      <c r="E6" s="1">
        <v>2772947.1239999998</v>
      </c>
      <c r="F6" s="48">
        <f>+F7+F25+F40+F54+F65</f>
        <v>2862019.622</v>
      </c>
      <c r="G6" s="1">
        <v>3269448.477</v>
      </c>
      <c r="H6" s="1">
        <v>3298838.8190000001</v>
      </c>
      <c r="I6" s="48">
        <f>+I7+I25+I40+I54+I65</f>
        <v>3405337.8819999998</v>
      </c>
      <c r="J6" s="1">
        <v>3525266.301</v>
      </c>
      <c r="K6" s="48">
        <f t="shared" ref="K6:U6" si="0">+K7+K25+K40+K54+K65</f>
        <v>3881206.0453199996</v>
      </c>
      <c r="L6" s="48">
        <f t="shared" si="0"/>
        <v>4664135.0159999998</v>
      </c>
      <c r="M6" s="48">
        <f t="shared" si="0"/>
        <v>4952500.5470000003</v>
      </c>
      <c r="N6" s="48">
        <f t="shared" si="0"/>
        <v>5211416.4550000001</v>
      </c>
      <c r="O6" s="48">
        <f t="shared" si="0"/>
        <v>5375257.3640000001</v>
      </c>
      <c r="P6" s="48">
        <f t="shared" si="0"/>
        <v>5637180.9160000002</v>
      </c>
      <c r="Q6" s="48">
        <f t="shared" si="0"/>
        <v>6189602.5379999997</v>
      </c>
      <c r="R6" s="48">
        <f t="shared" si="0"/>
        <v>6425120.8950000014</v>
      </c>
      <c r="S6" s="48">
        <f t="shared" si="0"/>
        <v>6875146.0760000004</v>
      </c>
      <c r="T6" s="48">
        <f t="shared" si="0"/>
        <v>7739845.5589999994</v>
      </c>
      <c r="U6" s="48">
        <f t="shared" si="0"/>
        <v>7978662.3099999996</v>
      </c>
      <c r="V6" s="48">
        <f t="shared" ref="V6:W6" si="1">+V7+V25+V40+V54+V65</f>
        <v>9309767.568</v>
      </c>
      <c r="W6" s="48">
        <f t="shared" si="1"/>
        <v>9722966.3499999996</v>
      </c>
      <c r="X6" s="48">
        <f t="shared" ref="X6:Y6" si="2">+X7+X25+X40+X54+X65</f>
        <v>10278086.606999999</v>
      </c>
      <c r="Y6" s="48">
        <f t="shared" si="2"/>
        <v>10739928.431999998</v>
      </c>
      <c r="Z6" s="48">
        <f t="shared" ref="Z6:AA6" si="3">+Z7+Z25+Z40+Z54+Z65</f>
        <v>11534187.737</v>
      </c>
      <c r="AA6" s="48">
        <f t="shared" si="3"/>
        <v>12033843.597999999</v>
      </c>
      <c r="AB6" s="48">
        <f t="shared" ref="AB6:AE6" si="4">+AB7+AB25+AB40+AB54+AB65</f>
        <v>12645165.080999997</v>
      </c>
      <c r="AC6" s="48">
        <f t="shared" si="4"/>
        <v>13175555.091</v>
      </c>
      <c r="AD6" s="48">
        <f t="shared" si="4"/>
        <v>0</v>
      </c>
      <c r="AE6" s="48">
        <f t="shared" si="4"/>
        <v>14038894.759000001</v>
      </c>
    </row>
    <row r="7" spans="1:31">
      <c r="A7" s="1" t="s">
        <v>25</v>
      </c>
      <c r="B7" s="47">
        <f>SUM(B8:B24)</f>
        <v>419587</v>
      </c>
      <c r="C7" s="47">
        <f t="shared" ref="C7:U7" si="5">SUM(C8:C24)</f>
        <v>461112</v>
      </c>
      <c r="D7" s="47">
        <f t="shared" si="5"/>
        <v>508993</v>
      </c>
      <c r="E7" s="47">
        <f t="shared" si="5"/>
        <v>724983.85499999998</v>
      </c>
      <c r="F7" s="47">
        <f t="shared" si="5"/>
        <v>754283.39300000004</v>
      </c>
      <c r="G7" s="47">
        <f t="shared" si="5"/>
        <v>810540.55299999984</v>
      </c>
      <c r="H7" s="47">
        <f t="shared" si="5"/>
        <v>862587.1</v>
      </c>
      <c r="I7" s="47">
        <f t="shared" si="5"/>
        <v>940786.72600000002</v>
      </c>
      <c r="J7" s="47">
        <f t="shared" si="5"/>
        <v>1000750.7769999999</v>
      </c>
      <c r="K7" s="47">
        <f t="shared" si="5"/>
        <v>1060449.75376</v>
      </c>
      <c r="L7" s="47">
        <f t="shared" si="5"/>
        <v>1369357.7850000001</v>
      </c>
      <c r="M7" s="47">
        <f t="shared" si="5"/>
        <v>1470353.307</v>
      </c>
      <c r="N7" s="47">
        <f t="shared" si="5"/>
        <v>1599360.0019999999</v>
      </c>
      <c r="O7" s="47">
        <f t="shared" si="5"/>
        <v>1719401.6950000001</v>
      </c>
      <c r="P7" s="47">
        <f t="shared" si="5"/>
        <v>1796446.4080000001</v>
      </c>
      <c r="Q7" s="47">
        <f t="shared" si="5"/>
        <v>2046051.155</v>
      </c>
      <c r="R7" s="47">
        <f t="shared" si="5"/>
        <v>2095190.6460000002</v>
      </c>
      <c r="S7" s="47">
        <f t="shared" si="5"/>
        <v>2219104.36</v>
      </c>
      <c r="T7" s="47">
        <f t="shared" si="5"/>
        <v>2506182.1210000003</v>
      </c>
      <c r="U7" s="47">
        <f t="shared" si="5"/>
        <v>2543015.9900000002</v>
      </c>
      <c r="V7" s="47">
        <f t="shared" ref="V7:W7" si="6">SUM(V8:V24)</f>
        <v>3061067.4830000009</v>
      </c>
      <c r="W7" s="47">
        <f t="shared" si="6"/>
        <v>3223858.4389999998</v>
      </c>
      <c r="X7" s="47">
        <f t="shared" ref="X7:Y7" si="7">SUM(X8:X24)</f>
        <v>3415602.7129999995</v>
      </c>
      <c r="Y7" s="47">
        <f t="shared" si="7"/>
        <v>3548333.1770000001</v>
      </c>
      <c r="Z7" s="47">
        <f t="shared" ref="Z7:AA7" si="8">SUM(Z8:Z24)</f>
        <v>3763196.1669999999</v>
      </c>
      <c r="AA7" s="47">
        <f t="shared" si="8"/>
        <v>3884938.0039999997</v>
      </c>
      <c r="AB7" s="47">
        <f t="shared" ref="AB7:AE7" si="9">SUM(AB8:AB24)</f>
        <v>4052328.1069999994</v>
      </c>
      <c r="AC7" s="47">
        <f t="shared" si="9"/>
        <v>4310556.3589999992</v>
      </c>
      <c r="AD7" s="47">
        <f t="shared" si="9"/>
        <v>0</v>
      </c>
      <c r="AE7" s="47">
        <f t="shared" si="9"/>
        <v>4639686.2520000003</v>
      </c>
    </row>
    <row r="8" spans="1:31">
      <c r="A8" s="7" t="s">
        <v>97</v>
      </c>
    </row>
    <row r="9" spans="1:31">
      <c r="A9" s="1" t="s">
        <v>26</v>
      </c>
      <c r="B9" s="1">
        <f>7966+23428</f>
        <v>31394</v>
      </c>
      <c r="C9" s="1">
        <f>8494+26253</f>
        <v>34747</v>
      </c>
      <c r="D9" s="1">
        <f>9323+29235</f>
        <v>38558</v>
      </c>
      <c r="E9" s="1">
        <v>55927.031999999999</v>
      </c>
      <c r="F9" s="41">
        <v>57481.09</v>
      </c>
      <c r="G9" s="1">
        <v>63171.076999999997</v>
      </c>
      <c r="H9" s="1">
        <v>68761.494999999995</v>
      </c>
      <c r="I9" s="1">
        <v>75551.721000000005</v>
      </c>
      <c r="J9" s="1">
        <v>72954.720000000001</v>
      </c>
      <c r="K9" s="1">
        <v>75028.785000000003</v>
      </c>
      <c r="L9" s="1">
        <v>97535.877999999997</v>
      </c>
      <c r="M9" s="1">
        <v>103598.318</v>
      </c>
      <c r="N9" s="1">
        <v>107990.209</v>
      </c>
      <c r="O9" s="1">
        <v>114496.18799999999</v>
      </c>
      <c r="P9" s="1">
        <v>114110.38400000001</v>
      </c>
      <c r="Q9" s="1">
        <v>126744.08199999999</v>
      </c>
      <c r="R9" s="1">
        <v>143651.97099999999</v>
      </c>
      <c r="S9" s="1">
        <v>155111.09</v>
      </c>
      <c r="T9" s="1">
        <v>173529.622</v>
      </c>
      <c r="U9" s="1">
        <v>188654.19699999999</v>
      </c>
      <c r="V9" s="1">
        <v>217811.09899999999</v>
      </c>
      <c r="W9" s="1">
        <v>232375.726</v>
      </c>
      <c r="X9" s="1">
        <v>249743.56700000001</v>
      </c>
      <c r="Y9" s="1">
        <v>268094.45</v>
      </c>
      <c r="Z9" s="1">
        <v>291287.27600000001</v>
      </c>
      <c r="AA9" s="1">
        <v>304223.09399999998</v>
      </c>
      <c r="AB9" s="1">
        <v>333312.40100000001</v>
      </c>
      <c r="AC9" s="1">
        <v>362724.90500000003</v>
      </c>
      <c r="AE9" s="1">
        <v>369344.63900000002</v>
      </c>
    </row>
    <row r="10" spans="1:31">
      <c r="A10" s="1" t="s">
        <v>27</v>
      </c>
      <c r="B10" s="1">
        <f>2574+6545</f>
        <v>9119</v>
      </c>
      <c r="C10" s="1">
        <f>3015+7440</f>
        <v>10455</v>
      </c>
      <c r="D10" s="1">
        <f>3373+7977</f>
        <v>11350</v>
      </c>
      <c r="E10" s="1">
        <v>16503.120999999999</v>
      </c>
      <c r="F10" s="41">
        <v>17986.368999999999</v>
      </c>
      <c r="G10" s="1">
        <v>19438.065999999999</v>
      </c>
      <c r="H10" s="1">
        <v>19669.092000000001</v>
      </c>
      <c r="I10" s="1">
        <v>20028.282999999999</v>
      </c>
      <c r="J10" s="1">
        <v>24095.71</v>
      </c>
      <c r="K10" s="1">
        <v>27533.895</v>
      </c>
      <c r="L10" s="1">
        <v>34451.088000000003</v>
      </c>
      <c r="M10" s="1">
        <v>35635.815999999999</v>
      </c>
      <c r="N10" s="1">
        <v>39711.091999999997</v>
      </c>
      <c r="O10" s="1">
        <v>43949.99</v>
      </c>
      <c r="P10" s="1">
        <v>50995.074999999997</v>
      </c>
      <c r="Q10" s="1">
        <v>53087.752</v>
      </c>
      <c r="R10" s="1">
        <v>57971.324000000001</v>
      </c>
      <c r="S10" s="1">
        <v>55129.391000000003</v>
      </c>
      <c r="T10" s="1">
        <v>61507.777999999998</v>
      </c>
      <c r="U10" s="1">
        <v>61961.396000000001</v>
      </c>
      <c r="V10" s="1">
        <v>79758.192999999999</v>
      </c>
      <c r="W10" s="1">
        <v>85286.251000000004</v>
      </c>
      <c r="X10" s="1">
        <v>89819.688999999998</v>
      </c>
      <c r="Y10" s="1">
        <v>95697.811000000002</v>
      </c>
      <c r="Z10" s="1">
        <v>98985.553</v>
      </c>
      <c r="AA10" s="1">
        <v>100636.516</v>
      </c>
      <c r="AB10" s="1">
        <v>101532.182</v>
      </c>
      <c r="AC10" s="1">
        <v>106824.36500000001</v>
      </c>
      <c r="AE10" s="1">
        <v>123880.80899999999</v>
      </c>
    </row>
    <row r="11" spans="1:31" ht="12" customHeight="1">
      <c r="A11" s="1" t="s">
        <v>28</v>
      </c>
      <c r="D11" s="1">
        <f>6954+1937</f>
        <v>8891</v>
      </c>
      <c r="E11" s="1">
        <v>12953.847</v>
      </c>
      <c r="F11" s="41">
        <v>13572.08</v>
      </c>
      <c r="I11" s="1">
        <v>17375.366000000002</v>
      </c>
      <c r="J11" s="1">
        <v>17453.524000000001</v>
      </c>
      <c r="K11" s="1">
        <v>17726.221000000001</v>
      </c>
      <c r="L11" s="1">
        <v>21177.713</v>
      </c>
      <c r="M11" s="1">
        <v>24946.172999999999</v>
      </c>
      <c r="N11" s="1">
        <v>25319.242999999999</v>
      </c>
      <c r="O11" s="1">
        <v>25532.830999999998</v>
      </c>
      <c r="P11" s="1">
        <v>27089.837</v>
      </c>
      <c r="Q11" s="1">
        <f>8427.627+19244.397</f>
        <v>27672.024000000001</v>
      </c>
      <c r="R11" s="1">
        <v>32222.204000000002</v>
      </c>
      <c r="S11" s="1">
        <v>14458.902</v>
      </c>
      <c r="T11" s="1">
        <v>41578.453000000001</v>
      </c>
      <c r="U11" s="1">
        <v>41901.065000000002</v>
      </c>
      <c r="V11" s="1">
        <v>44396.156999999999</v>
      </c>
      <c r="W11" s="1">
        <v>46489.368000000002</v>
      </c>
      <c r="X11" s="1">
        <v>45595.09</v>
      </c>
      <c r="Y11" s="1">
        <v>17055.633999999998</v>
      </c>
      <c r="Z11" s="1">
        <v>53303.894999999997</v>
      </c>
      <c r="AA11" s="1">
        <v>52305.067000000003</v>
      </c>
      <c r="AB11" s="1">
        <v>55392.724000000002</v>
      </c>
      <c r="AC11" s="1">
        <v>17383.343000000001</v>
      </c>
      <c r="AE11" s="1">
        <v>62687.517</v>
      </c>
    </row>
    <row r="12" spans="1:31">
      <c r="A12" s="1" t="s">
        <v>29</v>
      </c>
      <c r="B12" s="1">
        <f>13592+19092</f>
        <v>32684</v>
      </c>
      <c r="C12" s="1">
        <f>14216+23327</f>
        <v>37543</v>
      </c>
      <c r="D12" s="1">
        <f>15246+26024</f>
        <v>41270</v>
      </c>
      <c r="E12" s="1">
        <v>77691.638000000006</v>
      </c>
      <c r="F12" s="41">
        <v>78046.797000000006</v>
      </c>
      <c r="G12" s="1">
        <v>91567.13</v>
      </c>
      <c r="H12" s="1">
        <v>89812.857999999993</v>
      </c>
      <c r="I12" s="1">
        <v>98549.554000000004</v>
      </c>
      <c r="J12" s="1">
        <v>106798.416</v>
      </c>
      <c r="K12" s="1">
        <v>102759.613</v>
      </c>
      <c r="L12" s="1">
        <v>145828.51</v>
      </c>
      <c r="M12" s="1">
        <v>152773.96900000001</v>
      </c>
      <c r="N12" s="1">
        <v>170589.93400000001</v>
      </c>
      <c r="O12" s="1">
        <v>214241.848</v>
      </c>
      <c r="P12" s="1">
        <v>207440.23199999999</v>
      </c>
      <c r="Q12" s="1">
        <v>220381.609</v>
      </c>
      <c r="R12" s="1">
        <v>229481.321</v>
      </c>
      <c r="S12" s="1">
        <v>231142.93900000001</v>
      </c>
      <c r="T12" s="1">
        <v>245655.22899999999</v>
      </c>
      <c r="U12" s="1">
        <v>232883.91800000001</v>
      </c>
      <c r="V12" s="1">
        <v>255229.78700000001</v>
      </c>
      <c r="W12" s="1">
        <v>275407.71899999998</v>
      </c>
      <c r="X12" s="1">
        <v>292511.86099999998</v>
      </c>
      <c r="Y12" s="1">
        <v>321792.48700000002</v>
      </c>
      <c r="Z12" s="1">
        <v>341901.43599999999</v>
      </c>
      <c r="AA12" s="1">
        <v>354410.147</v>
      </c>
      <c r="AB12" s="1">
        <v>358186.201</v>
      </c>
      <c r="AC12" s="1">
        <v>398574.8</v>
      </c>
      <c r="AE12" s="1">
        <v>430608.46299999999</v>
      </c>
    </row>
    <row r="13" spans="1:31">
      <c r="A13" s="1" t="s">
        <v>30</v>
      </c>
      <c r="B13" s="1">
        <f>5207+17228</f>
        <v>22435</v>
      </c>
      <c r="C13" s="1">
        <f>5686+18935</f>
        <v>24621</v>
      </c>
      <c r="D13" s="1">
        <f>5920+25445</f>
        <v>31365</v>
      </c>
      <c r="E13" s="1">
        <v>45194.661999999997</v>
      </c>
      <c r="F13" s="41">
        <v>43654.053999999996</v>
      </c>
      <c r="G13" s="1">
        <v>63301.78</v>
      </c>
      <c r="H13" s="1">
        <v>68140.464999999997</v>
      </c>
      <c r="I13" s="1">
        <v>73655.991999999998</v>
      </c>
      <c r="J13" s="1">
        <v>79457.100999999995</v>
      </c>
      <c r="K13" s="1">
        <v>88765.611999999994</v>
      </c>
      <c r="L13" s="1">
        <v>109895.20600000001</v>
      </c>
      <c r="M13" s="1">
        <v>120087.61900000001</v>
      </c>
      <c r="N13" s="1">
        <v>121617.97500000001</v>
      </c>
      <c r="O13" s="1">
        <v>133903.62299999999</v>
      </c>
      <c r="P13" s="1">
        <v>137727.185</v>
      </c>
      <c r="Q13" s="1">
        <v>145051.21799999999</v>
      </c>
      <c r="R13" s="1">
        <v>150846.96400000001</v>
      </c>
      <c r="S13" s="1">
        <v>168907.88699999999</v>
      </c>
      <c r="T13" s="1">
        <v>190976.48300000001</v>
      </c>
      <c r="U13" s="1">
        <v>190581.71299999999</v>
      </c>
      <c r="V13" s="1">
        <v>231274.546</v>
      </c>
      <c r="W13" s="1">
        <v>271582.83600000001</v>
      </c>
      <c r="X13" s="1">
        <v>285815.31099999999</v>
      </c>
      <c r="Y13" s="1">
        <v>307283.83799999999</v>
      </c>
      <c r="Z13" s="1">
        <v>313813.80200000003</v>
      </c>
      <c r="AA13" s="1">
        <v>345461.23300000001</v>
      </c>
      <c r="AB13" s="1">
        <v>357316.28399999999</v>
      </c>
      <c r="AC13" s="1">
        <v>375986.12300000002</v>
      </c>
      <c r="AE13" s="1">
        <v>396347.28700000001</v>
      </c>
    </row>
    <row r="14" spans="1:31">
      <c r="A14" s="1" t="s">
        <v>31</v>
      </c>
      <c r="B14" s="1">
        <f>14270+18487</f>
        <v>32757</v>
      </c>
      <c r="C14" s="1">
        <f>15174+20524</f>
        <v>35698</v>
      </c>
      <c r="D14" s="1">
        <f>16390+21268</f>
        <v>37658</v>
      </c>
      <c r="E14" s="1">
        <v>50528.906999999999</v>
      </c>
      <c r="F14" s="41">
        <v>54121.690999999999</v>
      </c>
      <c r="G14" s="1">
        <v>54696.51</v>
      </c>
      <c r="H14" s="1">
        <v>57865.760000000002</v>
      </c>
      <c r="I14" s="1">
        <v>59711.69</v>
      </c>
      <c r="J14" s="1">
        <v>63123.678999999996</v>
      </c>
      <c r="K14" s="1">
        <v>65926.179999999993</v>
      </c>
      <c r="L14" s="1">
        <v>75933.175000000003</v>
      </c>
      <c r="M14" s="1">
        <v>80558.241999999998</v>
      </c>
      <c r="N14" s="1">
        <v>80656.361000000004</v>
      </c>
      <c r="O14" s="1">
        <v>88793.656000000003</v>
      </c>
      <c r="P14" s="1">
        <v>93158.695999999996</v>
      </c>
      <c r="Q14" s="1">
        <v>98780.611999999994</v>
      </c>
      <c r="R14" s="1">
        <v>107466.63800000001</v>
      </c>
      <c r="S14" s="1">
        <v>117779.891</v>
      </c>
      <c r="T14" s="1">
        <v>135137.99100000001</v>
      </c>
      <c r="U14" s="1">
        <v>142725.296</v>
      </c>
      <c r="V14" s="1">
        <v>171928.76800000001</v>
      </c>
      <c r="W14" s="1">
        <v>186728.568</v>
      </c>
      <c r="X14" s="1">
        <v>201237.94</v>
      </c>
      <c r="Y14" s="1">
        <v>209569.99900000001</v>
      </c>
      <c r="Z14" s="1">
        <v>214316.04300000001</v>
      </c>
      <c r="AA14" s="1">
        <v>221773.73300000001</v>
      </c>
      <c r="AB14" s="1">
        <v>232792.91</v>
      </c>
      <c r="AC14" s="1">
        <v>236179.97399999999</v>
      </c>
      <c r="AE14" s="1">
        <v>226995.22</v>
      </c>
    </row>
    <row r="15" spans="1:31">
      <c r="A15" s="1" t="s">
        <v>32</v>
      </c>
      <c r="B15" s="1">
        <f>3472+25348</f>
        <v>28820</v>
      </c>
      <c r="C15" s="1">
        <f>3334+27196</f>
        <v>30530</v>
      </c>
      <c r="D15" s="1">
        <f>3713+27481</f>
        <v>31194</v>
      </c>
      <c r="E15" s="1">
        <v>44712.09</v>
      </c>
      <c r="F15" s="41">
        <v>47804.35</v>
      </c>
      <c r="G15" s="1">
        <v>48095.953000000001</v>
      </c>
      <c r="H15" s="1">
        <v>47876.972999999998</v>
      </c>
      <c r="I15" s="1">
        <v>49959.908000000003</v>
      </c>
      <c r="J15" s="1">
        <v>51976.065000000002</v>
      </c>
      <c r="K15" s="1">
        <v>54849.476999999999</v>
      </c>
      <c r="L15" s="1">
        <v>66366.028999999995</v>
      </c>
      <c r="M15" s="1">
        <v>70410.84</v>
      </c>
      <c r="N15" s="1">
        <v>76324.884000000005</v>
      </c>
      <c r="O15" s="1">
        <v>78386.847999999998</v>
      </c>
      <c r="P15" s="1">
        <v>89306.952000000005</v>
      </c>
      <c r="Q15" s="1">
        <v>92431.35</v>
      </c>
      <c r="R15" s="1">
        <v>93119.400999999998</v>
      </c>
      <c r="S15" s="1">
        <v>97481.884000000005</v>
      </c>
      <c r="T15" s="1">
        <v>119526.947</v>
      </c>
      <c r="U15" s="1">
        <v>123465.254</v>
      </c>
      <c r="V15" s="1">
        <v>141189.908</v>
      </c>
      <c r="W15" s="1">
        <v>140502.85200000001</v>
      </c>
      <c r="X15" s="1">
        <v>141200.11600000001</v>
      </c>
      <c r="Y15" s="1">
        <v>142335.74299999999</v>
      </c>
      <c r="Z15" s="1">
        <v>146115.872</v>
      </c>
      <c r="AA15" s="1">
        <v>148713.538</v>
      </c>
      <c r="AB15" s="1">
        <v>136648.31</v>
      </c>
      <c r="AC15" s="1">
        <v>149187.861</v>
      </c>
      <c r="AE15" s="1">
        <v>148301.25099999999</v>
      </c>
    </row>
    <row r="16" spans="1:31">
      <c r="A16" s="1" t="s">
        <v>33</v>
      </c>
      <c r="B16" s="1">
        <v>34600</v>
      </c>
      <c r="C16" s="1">
        <f>0+39006</f>
        <v>39006</v>
      </c>
      <c r="D16" s="1">
        <f>0+34121</f>
        <v>34121</v>
      </c>
      <c r="E16" s="1">
        <v>53416.159</v>
      </c>
      <c r="F16" s="41">
        <v>52759.904000000002</v>
      </c>
      <c r="G16" s="1">
        <v>50499.665000000001</v>
      </c>
      <c r="H16" s="1">
        <v>55814.997000000003</v>
      </c>
      <c r="I16" s="1">
        <v>59208.728000000003</v>
      </c>
      <c r="J16" s="1">
        <v>62401.434000000001</v>
      </c>
      <c r="K16" s="1">
        <v>72879.817999999999</v>
      </c>
      <c r="L16" s="1">
        <v>83362.164999999994</v>
      </c>
      <c r="M16" s="1">
        <v>90285.036999999997</v>
      </c>
      <c r="N16" s="1">
        <v>110517.272</v>
      </c>
      <c r="O16" s="1">
        <v>113659.015</v>
      </c>
      <c r="P16" s="1">
        <v>111112.126</v>
      </c>
      <c r="Q16" s="1">
        <v>222901.02100000001</v>
      </c>
      <c r="R16" s="1">
        <v>135991.31400000001</v>
      </c>
      <c r="S16" s="1">
        <v>155717.823</v>
      </c>
      <c r="T16" s="1">
        <v>171544.486</v>
      </c>
      <c r="U16" s="1">
        <v>181261.598</v>
      </c>
      <c r="V16" s="1">
        <v>204144.853</v>
      </c>
      <c r="W16" s="1">
        <v>208931.867</v>
      </c>
      <c r="X16" s="1">
        <v>225514.353</v>
      </c>
      <c r="Y16" s="1">
        <v>231083.30900000001</v>
      </c>
      <c r="Z16" s="1">
        <v>247894.82800000001</v>
      </c>
      <c r="AA16" s="1">
        <v>252491.51</v>
      </c>
      <c r="AB16" s="1">
        <v>256834.592</v>
      </c>
      <c r="AC16" s="1">
        <v>274682.75400000002</v>
      </c>
      <c r="AE16" s="1">
        <v>314504.78899999999</v>
      </c>
    </row>
    <row r="17" spans="1:31">
      <c r="A17" s="1" t="s">
        <v>34</v>
      </c>
      <c r="B17" s="1">
        <f>2856+13503</f>
        <v>16359</v>
      </c>
      <c r="C17" s="1">
        <f>2759+14975</f>
        <v>17734</v>
      </c>
      <c r="D17" s="1">
        <f>2925+17664</f>
        <v>20589</v>
      </c>
      <c r="E17" s="1">
        <v>24462.089</v>
      </c>
      <c r="F17" s="41">
        <v>24816.226999999999</v>
      </c>
      <c r="G17" s="1">
        <v>26453.039000000001</v>
      </c>
      <c r="H17" s="1">
        <v>28188.953000000001</v>
      </c>
      <c r="I17" s="1">
        <v>30725.210999999999</v>
      </c>
      <c r="J17" s="1">
        <v>33575.705000000002</v>
      </c>
      <c r="K17" s="1">
        <v>31710.719000000001</v>
      </c>
      <c r="L17" s="1">
        <v>48061.521000000001</v>
      </c>
      <c r="M17" s="1">
        <v>47055.601000000002</v>
      </c>
      <c r="N17" s="1">
        <v>47601.648999999998</v>
      </c>
      <c r="O17" s="1">
        <v>49954.277999999998</v>
      </c>
      <c r="P17" s="1">
        <v>51026.553999999996</v>
      </c>
      <c r="Q17" s="1">
        <v>54095.400999999998</v>
      </c>
      <c r="R17" s="1">
        <v>58018.131999999998</v>
      </c>
      <c r="S17" s="1">
        <v>67303.233999999997</v>
      </c>
      <c r="T17" s="1">
        <v>71893.491999999998</v>
      </c>
      <c r="U17" s="1">
        <v>71757.611000000004</v>
      </c>
      <c r="V17" s="1">
        <v>81275.551999999996</v>
      </c>
      <c r="W17" s="1">
        <v>82231.770999999993</v>
      </c>
      <c r="X17" s="1">
        <v>84901.240999999995</v>
      </c>
      <c r="Y17" s="1">
        <v>86508.1</v>
      </c>
      <c r="Z17" s="1">
        <v>92150.399000000005</v>
      </c>
      <c r="AA17" s="1">
        <v>93626.538</v>
      </c>
      <c r="AB17" s="1">
        <v>97248.35</v>
      </c>
      <c r="AC17" s="1">
        <v>108003.932</v>
      </c>
      <c r="AE17" s="1">
        <v>104804.109</v>
      </c>
    </row>
    <row r="18" spans="1:31">
      <c r="A18" s="1" t="s">
        <v>35</v>
      </c>
      <c r="B18" s="1">
        <f>4171+22880</f>
        <v>27051</v>
      </c>
      <c r="C18" s="1">
        <f>4936+25139</f>
        <v>30075</v>
      </c>
      <c r="D18" s="1">
        <f>5341+28068</f>
        <v>33409</v>
      </c>
      <c r="E18" s="1">
        <v>45075.476999999999</v>
      </c>
      <c r="F18" s="41">
        <v>46454.677000000003</v>
      </c>
      <c r="G18" s="1">
        <v>50439.281999999999</v>
      </c>
      <c r="H18" s="1">
        <v>53519.048000000003</v>
      </c>
      <c r="I18" s="1">
        <v>59696.991999999998</v>
      </c>
      <c r="J18" s="1">
        <v>62287.947999999997</v>
      </c>
      <c r="K18" s="1">
        <v>65507.358</v>
      </c>
      <c r="L18" s="1">
        <v>80979.023000000001</v>
      </c>
      <c r="M18" s="1">
        <v>87514.100999999995</v>
      </c>
      <c r="N18" s="1">
        <v>98016.144</v>
      </c>
      <c r="O18" s="1">
        <v>98413.150999999998</v>
      </c>
      <c r="P18" s="1">
        <v>102099.912</v>
      </c>
      <c r="Q18" s="1">
        <v>109728.808</v>
      </c>
      <c r="R18" s="1">
        <v>121035.001</v>
      </c>
      <c r="S18" s="1">
        <v>138293.98000000001</v>
      </c>
      <c r="T18" s="1">
        <v>150961.12299999999</v>
      </c>
      <c r="U18" s="1">
        <v>153237.201</v>
      </c>
      <c r="V18" s="1">
        <v>192293.726</v>
      </c>
      <c r="W18" s="1">
        <v>203533.44399999999</v>
      </c>
      <c r="X18" s="1">
        <v>199572.86300000001</v>
      </c>
      <c r="Y18" s="1">
        <v>222847.11499999999</v>
      </c>
      <c r="Z18" s="1">
        <v>229030.02100000001</v>
      </c>
      <c r="AA18" s="1">
        <v>236393.31899999999</v>
      </c>
      <c r="AB18" s="1">
        <v>242741.71599999999</v>
      </c>
      <c r="AC18" s="1">
        <v>276356.74599999998</v>
      </c>
      <c r="AE18" s="1">
        <v>281255.11300000001</v>
      </c>
    </row>
    <row r="19" spans="1:31">
      <c r="A19" s="1" t="s">
        <v>36</v>
      </c>
      <c r="B19" s="1">
        <v>12765</v>
      </c>
      <c r="C19" s="1">
        <f>0+12483</f>
        <v>12483</v>
      </c>
      <c r="D19" s="1">
        <f>0+16609</f>
        <v>16609</v>
      </c>
      <c r="E19" s="1">
        <v>20370.488000000001</v>
      </c>
      <c r="F19" s="41">
        <v>24631.776000000002</v>
      </c>
      <c r="G19" s="1">
        <v>25311.164000000001</v>
      </c>
      <c r="H19" s="1">
        <v>26648.576000000001</v>
      </c>
      <c r="I19" s="1">
        <v>28160.358</v>
      </c>
      <c r="J19" s="1">
        <v>30277.048999999999</v>
      </c>
      <c r="K19" s="1">
        <v>34016.907189999998</v>
      </c>
      <c r="L19" s="1">
        <v>47453.908000000003</v>
      </c>
      <c r="M19" s="1">
        <v>52093.031999999999</v>
      </c>
      <c r="N19" s="1">
        <v>50373.059000000001</v>
      </c>
      <c r="O19" s="1">
        <v>54814.84</v>
      </c>
      <c r="P19" s="1">
        <v>56630.266000000003</v>
      </c>
      <c r="Q19" s="1">
        <v>68453.437999999995</v>
      </c>
      <c r="R19" s="1">
        <v>76814.346000000005</v>
      </c>
      <c r="S19" s="1">
        <v>80722.369000000006</v>
      </c>
      <c r="T19" s="1">
        <v>94039.702999999994</v>
      </c>
      <c r="U19" s="1">
        <v>90122.728000000003</v>
      </c>
      <c r="V19" s="1">
        <v>106588.223</v>
      </c>
      <c r="W19" s="1">
        <v>109192.747</v>
      </c>
      <c r="X19" s="1">
        <v>114890.997</v>
      </c>
      <c r="Y19" s="1">
        <v>124131.773</v>
      </c>
      <c r="Z19" s="1">
        <v>128657.315</v>
      </c>
      <c r="AA19" s="1">
        <v>134341.65400000001</v>
      </c>
      <c r="AB19" s="1">
        <v>136871.73199999999</v>
      </c>
      <c r="AC19" s="1">
        <v>139240.296</v>
      </c>
      <c r="AE19" s="1">
        <v>142263.91200000001</v>
      </c>
    </row>
    <row r="20" spans="1:31">
      <c r="A20" s="1" t="s">
        <v>37</v>
      </c>
      <c r="B20" s="1">
        <f>10931+11980</f>
        <v>22911</v>
      </c>
      <c r="C20" s="1">
        <f>11581+14123</f>
        <v>25704</v>
      </c>
      <c r="D20" s="1">
        <f>12590+15677</f>
        <v>28267</v>
      </c>
      <c r="E20" s="1">
        <v>39647.877</v>
      </c>
      <c r="F20" s="41">
        <v>41163.387000000002</v>
      </c>
      <c r="G20" s="1">
        <v>43038.775000000001</v>
      </c>
      <c r="H20" s="1">
        <v>44885.050999999999</v>
      </c>
      <c r="I20" s="1">
        <v>47024.855000000003</v>
      </c>
      <c r="J20" s="1">
        <v>50111.072999999997</v>
      </c>
      <c r="K20" s="1">
        <v>54520.46</v>
      </c>
      <c r="L20" s="1">
        <v>72483.111999999994</v>
      </c>
      <c r="M20" s="1">
        <v>76014.520999999993</v>
      </c>
      <c r="N20" s="1">
        <v>80299.792000000001</v>
      </c>
      <c r="O20" s="1">
        <v>91343.294999999998</v>
      </c>
      <c r="P20" s="1">
        <v>99870.415999999997</v>
      </c>
      <c r="Q20" s="1">
        <v>101950.164</v>
      </c>
      <c r="R20" s="1">
        <v>120373.711</v>
      </c>
      <c r="S20" s="1">
        <v>133779.296</v>
      </c>
      <c r="T20" s="1">
        <v>150778.54399999999</v>
      </c>
      <c r="U20" s="1">
        <v>139060.046</v>
      </c>
      <c r="V20" s="1">
        <v>181306.80600000001</v>
      </c>
      <c r="W20" s="1">
        <v>188389.35800000001</v>
      </c>
      <c r="X20" s="1">
        <v>197394.10800000001</v>
      </c>
      <c r="Y20" s="1">
        <v>218810.62299999999</v>
      </c>
      <c r="Z20" s="1">
        <v>242562.867</v>
      </c>
      <c r="AA20" s="1">
        <v>246564.28700000001</v>
      </c>
      <c r="AB20" s="1">
        <v>241299.82</v>
      </c>
      <c r="AC20" s="1">
        <v>260529.68100000001</v>
      </c>
      <c r="AE20" s="1">
        <v>273735.97200000001</v>
      </c>
    </row>
    <row r="21" spans="1:31" s="23" customFormat="1">
      <c r="A21" s="1" t="s">
        <v>38</v>
      </c>
      <c r="B21" s="1">
        <f>8694+28697</f>
        <v>37391</v>
      </c>
      <c r="C21" s="1">
        <f>9467+31738</f>
        <v>41205</v>
      </c>
      <c r="D21" s="1">
        <f>11943+33209</f>
        <v>45152</v>
      </c>
      <c r="E21" s="1">
        <v>66787.707999999999</v>
      </c>
      <c r="F21" s="41">
        <v>65789.991999999998</v>
      </c>
      <c r="G21" s="1">
        <v>73548.846000000005</v>
      </c>
      <c r="H21" s="1">
        <v>80310.091</v>
      </c>
      <c r="I21" s="1">
        <v>86914.998000000007</v>
      </c>
      <c r="J21" s="1">
        <v>93390.614000000001</v>
      </c>
      <c r="K21" s="1">
        <v>95350.998470000006</v>
      </c>
      <c r="L21" s="1">
        <v>130238.5</v>
      </c>
      <c r="M21" s="1">
        <v>139543.875</v>
      </c>
      <c r="N21" s="1">
        <v>149734.45499999999</v>
      </c>
      <c r="O21" s="1">
        <v>151364.61300000001</v>
      </c>
      <c r="P21" s="1">
        <v>159188.19899999999</v>
      </c>
      <c r="Q21" s="1">
        <v>179492.23699999999</v>
      </c>
      <c r="R21" s="1">
        <v>181468.09299999999</v>
      </c>
      <c r="S21" s="1">
        <v>176183.022</v>
      </c>
      <c r="T21" s="1">
        <v>192312.476</v>
      </c>
      <c r="U21" s="1">
        <v>202659.978</v>
      </c>
      <c r="V21" s="1">
        <v>243082.50099999999</v>
      </c>
      <c r="W21" s="1">
        <v>252834.65100000001</v>
      </c>
      <c r="X21" s="1">
        <v>277235.995</v>
      </c>
      <c r="Y21" s="1">
        <v>281837.52299999999</v>
      </c>
      <c r="Z21" s="1">
        <v>292980.05300000001</v>
      </c>
      <c r="AA21" s="1">
        <v>291165.31800000003</v>
      </c>
      <c r="AB21" s="1">
        <v>308540.51899999997</v>
      </c>
      <c r="AC21" s="1">
        <v>322976.06599999999</v>
      </c>
      <c r="AD21" s="1"/>
      <c r="AE21" s="1">
        <v>343548.23700000002</v>
      </c>
    </row>
    <row r="22" spans="1:31">
      <c r="A22" s="1" t="s">
        <v>39</v>
      </c>
      <c r="B22" s="1">
        <f>19788+44629</f>
        <v>64417</v>
      </c>
      <c r="C22" s="1">
        <f>27412+42147</f>
        <v>69559</v>
      </c>
      <c r="D22" s="1">
        <f>26811+42894</f>
        <v>69705</v>
      </c>
      <c r="E22" s="1">
        <v>86205.198000000004</v>
      </c>
      <c r="F22" s="41">
        <v>99256.18</v>
      </c>
      <c r="G22" s="1">
        <v>112502.04300000001</v>
      </c>
      <c r="H22" s="1">
        <v>124081.575</v>
      </c>
      <c r="I22" s="1">
        <v>129192.42200000001</v>
      </c>
      <c r="J22" s="1">
        <v>147350.40599999999</v>
      </c>
      <c r="K22" s="1">
        <v>159196.201</v>
      </c>
      <c r="L22" s="1">
        <v>224082.095</v>
      </c>
      <c r="M22" s="1">
        <v>247323.16800000001</v>
      </c>
      <c r="N22" s="1">
        <v>296721.45500000002</v>
      </c>
      <c r="O22" s="1">
        <v>314602.37099999998</v>
      </c>
      <c r="P22" s="1">
        <v>353025.375</v>
      </c>
      <c r="Q22" s="1">
        <v>387299.52100000001</v>
      </c>
      <c r="R22" s="1">
        <v>415509.66499999998</v>
      </c>
      <c r="S22" s="1">
        <v>443000.21799999999</v>
      </c>
      <c r="T22" s="1">
        <v>497079.75099999999</v>
      </c>
      <c r="U22" s="1">
        <v>508249.88400000002</v>
      </c>
      <c r="V22" s="1">
        <v>641830.22</v>
      </c>
      <c r="W22" s="1">
        <v>655269.43900000001</v>
      </c>
      <c r="X22" s="1">
        <v>711091.41099999996</v>
      </c>
      <c r="Y22" s="1">
        <v>709814.054</v>
      </c>
      <c r="Z22" s="1">
        <v>753879.18700000003</v>
      </c>
      <c r="AA22" s="1">
        <v>776592.13899999997</v>
      </c>
      <c r="AB22" s="1">
        <v>866950.39099999995</v>
      </c>
      <c r="AC22" s="1">
        <v>935538.65300000005</v>
      </c>
      <c r="AE22" s="1">
        <v>1049204.774</v>
      </c>
    </row>
    <row r="23" spans="1:31">
      <c r="A23" s="1" t="s">
        <v>40</v>
      </c>
      <c r="B23" s="1">
        <f>11235+21622</f>
        <v>32857</v>
      </c>
      <c r="C23" s="1">
        <f>12682+23755</f>
        <v>36437</v>
      </c>
      <c r="D23" s="1">
        <f>13920+29967</f>
        <v>43887</v>
      </c>
      <c r="E23" s="1">
        <v>60550.508000000002</v>
      </c>
      <c r="F23" s="41">
        <v>59949.11</v>
      </c>
      <c r="G23" s="1">
        <v>60052.478000000003</v>
      </c>
      <c r="H23" s="1">
        <v>65286.722999999998</v>
      </c>
      <c r="I23" s="1">
        <v>69863.452000000005</v>
      </c>
      <c r="J23" s="1">
        <v>70587.338000000003</v>
      </c>
      <c r="K23" s="1">
        <v>78090.153000000006</v>
      </c>
      <c r="L23" s="1">
        <v>89671.53</v>
      </c>
      <c r="M23" s="1">
        <v>96238.195999999996</v>
      </c>
      <c r="N23" s="1">
        <v>99348.69</v>
      </c>
      <c r="O23" s="1">
        <v>97451.846999999994</v>
      </c>
      <c r="P23" s="1">
        <v>97396.293000000005</v>
      </c>
      <c r="Q23" s="1">
        <v>109050.95699999999</v>
      </c>
      <c r="R23" s="1">
        <v>119174.424</v>
      </c>
      <c r="S23" s="1">
        <v>127873.92200000001</v>
      </c>
      <c r="T23" s="1">
        <v>146817.69500000001</v>
      </c>
      <c r="U23" s="1">
        <v>152903.52100000001</v>
      </c>
      <c r="V23" s="1">
        <v>189308.52900000001</v>
      </c>
      <c r="W23" s="1">
        <v>198597.68100000001</v>
      </c>
      <c r="X23" s="1">
        <v>206826.791</v>
      </c>
      <c r="Y23" s="1">
        <v>217873.16800000001</v>
      </c>
      <c r="Z23" s="1">
        <v>224484.81</v>
      </c>
      <c r="AA23" s="1">
        <v>234587.55</v>
      </c>
      <c r="AB23" s="1">
        <v>242095.557</v>
      </c>
      <c r="AC23" s="1">
        <v>262495.59499999997</v>
      </c>
      <c r="AE23" s="1">
        <v>286586.65399999998</v>
      </c>
    </row>
    <row r="24" spans="1:31">
      <c r="A24" s="23" t="s">
        <v>41</v>
      </c>
      <c r="B24" s="23">
        <f>5932+8095</f>
        <v>14027</v>
      </c>
      <c r="C24" s="23">
        <f>6524+8791</f>
        <v>15315</v>
      </c>
      <c r="D24" s="23">
        <f>7085+9883</f>
        <v>16968</v>
      </c>
      <c r="E24" s="23">
        <v>24957.054</v>
      </c>
      <c r="F24" s="44">
        <v>26795.708999999999</v>
      </c>
      <c r="G24" s="23">
        <v>28424.744999999999</v>
      </c>
      <c r="H24" s="23">
        <v>31725.442999999999</v>
      </c>
      <c r="I24" s="23">
        <v>35167.196000000004</v>
      </c>
      <c r="J24" s="23">
        <v>34909.995000000003</v>
      </c>
      <c r="K24" s="23">
        <v>36587.356100000005</v>
      </c>
      <c r="L24" s="23">
        <v>41838.332000000002</v>
      </c>
      <c r="M24" s="23">
        <v>46274.798999999999</v>
      </c>
      <c r="N24" s="23">
        <v>44537.788</v>
      </c>
      <c r="O24" s="23">
        <v>48493.300999999999</v>
      </c>
      <c r="P24" s="23">
        <v>46268.906000000003</v>
      </c>
      <c r="Q24" s="23">
        <v>48930.961000000003</v>
      </c>
      <c r="R24" s="23">
        <v>52046.137000000002</v>
      </c>
      <c r="S24" s="23">
        <v>56218.512000000002</v>
      </c>
      <c r="T24" s="23">
        <v>62842.347999999998</v>
      </c>
      <c r="U24" s="23">
        <v>61590.584000000003</v>
      </c>
      <c r="V24" s="23">
        <v>79648.615000000005</v>
      </c>
      <c r="W24" s="23">
        <v>86504.160999999993</v>
      </c>
      <c r="X24" s="23">
        <v>92251.38</v>
      </c>
      <c r="Y24" s="23">
        <v>93597.55</v>
      </c>
      <c r="Z24" s="23">
        <v>91832.81</v>
      </c>
      <c r="AA24" s="23">
        <v>91652.361000000004</v>
      </c>
      <c r="AB24" s="23">
        <v>84564.418000000005</v>
      </c>
      <c r="AC24" s="23">
        <v>83871.264999999999</v>
      </c>
      <c r="AD24" s="23"/>
      <c r="AE24" s="23">
        <v>85617.505999999994</v>
      </c>
    </row>
    <row r="25" spans="1:31">
      <c r="A25" s="7" t="s">
        <v>42</v>
      </c>
      <c r="B25" s="47">
        <f>SUM(B27:B39)</f>
        <v>0</v>
      </c>
      <c r="C25" s="47">
        <f t="shared" ref="C25:AC25" si="10">SUM(C27:C39)</f>
        <v>0</v>
      </c>
      <c r="D25" s="47">
        <f t="shared" si="10"/>
        <v>0</v>
      </c>
      <c r="E25" s="47">
        <f t="shared" si="10"/>
        <v>0</v>
      </c>
      <c r="F25" s="47">
        <f t="shared" si="10"/>
        <v>755912.96800000011</v>
      </c>
      <c r="G25" s="47">
        <f t="shared" si="10"/>
        <v>0</v>
      </c>
      <c r="H25" s="47">
        <f t="shared" si="10"/>
        <v>0</v>
      </c>
      <c r="I25" s="47">
        <f t="shared" si="10"/>
        <v>879486.14399999985</v>
      </c>
      <c r="J25" s="47">
        <f t="shared" si="10"/>
        <v>0</v>
      </c>
      <c r="K25" s="47">
        <f t="shared" si="10"/>
        <v>984374.15868000011</v>
      </c>
      <c r="L25" s="47">
        <f t="shared" si="10"/>
        <v>1148286.3519999997</v>
      </c>
      <c r="M25" s="47">
        <f t="shared" si="10"/>
        <v>1261910.0330000001</v>
      </c>
      <c r="N25" s="47">
        <f t="shared" si="10"/>
        <v>1334271.3390000002</v>
      </c>
      <c r="O25" s="47">
        <f t="shared" si="10"/>
        <v>1386631.0759999997</v>
      </c>
      <c r="P25" s="47">
        <f t="shared" si="10"/>
        <v>1448698.8939999999</v>
      </c>
      <c r="Q25" s="47">
        <f t="shared" si="10"/>
        <v>1554195.5759999997</v>
      </c>
      <c r="R25" s="47">
        <f t="shared" si="10"/>
        <v>1637725.5530000003</v>
      </c>
      <c r="S25" s="47">
        <f t="shared" si="10"/>
        <v>1796154.3729999997</v>
      </c>
      <c r="T25" s="47">
        <f t="shared" si="10"/>
        <v>2078688.8120000002</v>
      </c>
      <c r="U25" s="47">
        <f t="shared" si="10"/>
        <v>2066363.8309999998</v>
      </c>
      <c r="V25" s="47">
        <f t="shared" si="10"/>
        <v>2305093.6780000003</v>
      </c>
      <c r="W25" s="47">
        <f t="shared" si="10"/>
        <v>2432500.8590000002</v>
      </c>
      <c r="X25" s="47">
        <f t="shared" si="10"/>
        <v>2631413.0419999994</v>
      </c>
      <c r="Y25" s="47">
        <f t="shared" si="10"/>
        <v>2808701.760999999</v>
      </c>
      <c r="Z25" s="47">
        <f t="shared" si="10"/>
        <v>3104582.341</v>
      </c>
      <c r="AA25" s="47">
        <f t="shared" si="10"/>
        <v>3272142.4129999997</v>
      </c>
      <c r="AB25" s="47">
        <f t="shared" si="10"/>
        <v>3569864.6769999997</v>
      </c>
      <c r="AC25" s="47">
        <f t="shared" si="10"/>
        <v>3670711.6339999991</v>
      </c>
      <c r="AD25" s="47">
        <f t="shared" ref="AD25:AE25" si="11">SUM(AD27:AD39)</f>
        <v>0</v>
      </c>
      <c r="AE25" s="47">
        <f t="shared" si="11"/>
        <v>4018899.8619999993</v>
      </c>
    </row>
    <row r="26" spans="1:31">
      <c r="A26" s="7" t="s">
        <v>97</v>
      </c>
      <c r="X26" s="1">
        <v>0</v>
      </c>
      <c r="Y26" s="1">
        <v>0</v>
      </c>
      <c r="AB26" s="1">
        <v>0</v>
      </c>
      <c r="AC26" s="1">
        <v>0</v>
      </c>
    </row>
    <row r="27" spans="1:31">
      <c r="A27" s="1" t="s">
        <v>43</v>
      </c>
      <c r="F27" s="41">
        <v>18301.045999999998</v>
      </c>
      <c r="I27" s="1">
        <v>22742.123</v>
      </c>
      <c r="K27" s="1">
        <v>23116.848999999998</v>
      </c>
      <c r="L27" s="1">
        <v>23838.185000000001</v>
      </c>
      <c r="M27" s="1">
        <v>26261.656999999999</v>
      </c>
      <c r="N27" s="1">
        <v>28653.49</v>
      </c>
      <c r="O27" s="1">
        <v>31156.173999999999</v>
      </c>
      <c r="P27" s="1">
        <v>32744.350999999999</v>
      </c>
      <c r="Q27" s="1">
        <v>35757.421000000002</v>
      </c>
      <c r="R27" s="1">
        <v>38240.879000000001</v>
      </c>
      <c r="S27" s="1">
        <v>41592.800999999999</v>
      </c>
      <c r="T27" s="1">
        <v>45093.949000000001</v>
      </c>
      <c r="U27" s="1">
        <v>57706.67</v>
      </c>
      <c r="V27" s="1">
        <v>59927.563999999998</v>
      </c>
      <c r="W27" s="1">
        <v>61902.273000000001</v>
      </c>
      <c r="X27" s="1">
        <v>63241.771999999997</v>
      </c>
      <c r="Y27" s="1">
        <v>65602.712</v>
      </c>
      <c r="Z27" s="1">
        <v>66368.267000000007</v>
      </c>
      <c r="AA27" s="1">
        <v>66321.828999999998</v>
      </c>
      <c r="AB27" s="1">
        <v>65264.328000000001</v>
      </c>
      <c r="AC27" s="1">
        <v>63137.324999999997</v>
      </c>
      <c r="AE27" s="1">
        <v>63724.26</v>
      </c>
    </row>
    <row r="28" spans="1:31">
      <c r="A28" s="1" t="s">
        <v>44</v>
      </c>
      <c r="F28" s="41">
        <v>44909.114000000001</v>
      </c>
      <c r="I28" s="1">
        <v>46249.760000000002</v>
      </c>
      <c r="K28" s="1">
        <v>57165.139000000003</v>
      </c>
      <c r="L28" s="1">
        <v>70547.694000000003</v>
      </c>
      <c r="M28" s="1">
        <v>78195.888000000006</v>
      </c>
      <c r="N28" s="1">
        <v>70942.172999999995</v>
      </c>
      <c r="O28" s="1">
        <v>70467.914000000004</v>
      </c>
      <c r="P28" s="1">
        <v>76685.78</v>
      </c>
      <c r="Q28" s="1">
        <v>86050.546000000002</v>
      </c>
      <c r="R28" s="1">
        <v>91735.82</v>
      </c>
      <c r="S28" s="1">
        <v>101080.99800000001</v>
      </c>
      <c r="T28" s="1">
        <v>110940.98</v>
      </c>
      <c r="U28" s="1">
        <v>107863.122</v>
      </c>
      <c r="V28" s="1">
        <v>118711.234</v>
      </c>
      <c r="W28" s="1">
        <v>135337.29800000001</v>
      </c>
      <c r="X28" s="1">
        <v>149806.71100000001</v>
      </c>
      <c r="Y28" s="1">
        <v>177050.201</v>
      </c>
      <c r="Z28" s="1">
        <v>198314.935</v>
      </c>
      <c r="AA28" s="1">
        <v>226163.587</v>
      </c>
      <c r="AB28" s="1">
        <v>230486.09</v>
      </c>
      <c r="AC28" s="1">
        <v>246703.367</v>
      </c>
      <c r="AE28" s="1">
        <v>332126.86700000003</v>
      </c>
    </row>
    <row r="29" spans="1:31">
      <c r="A29" s="1" t="s">
        <v>45</v>
      </c>
      <c r="F29" s="41">
        <v>422677.38400000002</v>
      </c>
      <c r="I29" s="1">
        <v>483566.79399999999</v>
      </c>
      <c r="K29" s="1">
        <v>535879.30299999996</v>
      </c>
      <c r="L29" s="1">
        <v>650995.67599999998</v>
      </c>
      <c r="M29" s="1">
        <v>725190.098</v>
      </c>
      <c r="N29" s="1">
        <v>747176.72400000005</v>
      </c>
      <c r="O29" s="1">
        <v>777189.10600000003</v>
      </c>
      <c r="P29" s="1">
        <v>790429.76300000004</v>
      </c>
      <c r="Q29" s="1">
        <v>822628.00300000003</v>
      </c>
      <c r="R29" s="1">
        <v>895281.47600000002</v>
      </c>
      <c r="S29" s="1">
        <v>983965.52300000004</v>
      </c>
      <c r="T29" s="1">
        <v>1201119.3259999999</v>
      </c>
      <c r="U29" s="1">
        <v>1230723.1159999999</v>
      </c>
      <c r="V29" s="1">
        <v>1304904.2390000001</v>
      </c>
      <c r="W29" s="1">
        <v>1420380.655</v>
      </c>
      <c r="X29" s="1">
        <v>1538695.162</v>
      </c>
      <c r="Y29" s="1">
        <v>1635397.7919999999</v>
      </c>
      <c r="Z29" s="1">
        <v>1803444.844</v>
      </c>
      <c r="AA29" s="1">
        <v>1940965.2679999999</v>
      </c>
      <c r="AB29" s="1">
        <v>2156359.307</v>
      </c>
      <c r="AC29" s="1">
        <v>2171543.7919999999</v>
      </c>
      <c r="AE29" s="1">
        <v>2318876.1830000002</v>
      </c>
    </row>
    <row r="30" spans="1:31">
      <c r="A30" s="1" t="s">
        <v>46</v>
      </c>
      <c r="F30" s="41">
        <v>69355.682000000001</v>
      </c>
      <c r="I30" s="1">
        <v>84852.269</v>
      </c>
      <c r="K30" s="1">
        <v>98511.713300000003</v>
      </c>
      <c r="L30" s="1">
        <v>107704.266</v>
      </c>
      <c r="M30" s="1">
        <v>113098.67600000001</v>
      </c>
      <c r="N30" s="1">
        <v>126166.26300000001</v>
      </c>
      <c r="O30" s="1">
        <v>126907.16499999999</v>
      </c>
      <c r="P30" s="1">
        <v>123878.389</v>
      </c>
      <c r="Q30" s="1">
        <v>157874.00099999999</v>
      </c>
      <c r="R30" s="1">
        <v>134150.26199999999</v>
      </c>
      <c r="S30" s="1">
        <v>126355.15300000001</v>
      </c>
      <c r="T30" s="1">
        <v>125372.37</v>
      </c>
      <c r="U30" s="1">
        <v>133587.82199999999</v>
      </c>
      <c r="V30" s="1">
        <v>159620.462</v>
      </c>
      <c r="W30" s="1">
        <v>169908.01800000001</v>
      </c>
      <c r="X30" s="1">
        <v>198155.986</v>
      </c>
      <c r="Y30" s="1">
        <v>209849.54500000001</v>
      </c>
      <c r="Z30" s="1">
        <v>230160.02799999999</v>
      </c>
      <c r="AA30" s="1">
        <v>252540.88399999999</v>
      </c>
      <c r="AB30" s="1">
        <v>263707.01799999998</v>
      </c>
      <c r="AC30" s="1">
        <v>296170.88299999997</v>
      </c>
      <c r="AE30" s="1">
        <v>321710.32</v>
      </c>
    </row>
    <row r="31" spans="1:31">
      <c r="A31" s="1" t="s">
        <v>47</v>
      </c>
      <c r="F31" s="41">
        <v>17647.446</v>
      </c>
      <c r="I31" s="1">
        <v>20468.277999999998</v>
      </c>
      <c r="K31" s="1">
        <v>20486.382000000001</v>
      </c>
      <c r="L31" s="1">
        <v>20283.103999999999</v>
      </c>
      <c r="M31" s="1">
        <v>20573.080000000002</v>
      </c>
      <c r="N31" s="1">
        <v>22355.376</v>
      </c>
      <c r="O31" s="1">
        <v>25327.576000000001</v>
      </c>
      <c r="P31" s="1">
        <v>29637</v>
      </c>
      <c r="Q31" s="1">
        <v>31521.338</v>
      </c>
      <c r="R31" s="1">
        <v>38018.411</v>
      </c>
      <c r="S31" s="1">
        <v>37940.436999999998</v>
      </c>
      <c r="T31" s="1">
        <v>42001.279000000002</v>
      </c>
      <c r="U31" s="1">
        <v>41998.37</v>
      </c>
      <c r="V31" s="1">
        <v>47632.637000000002</v>
      </c>
      <c r="W31" s="1">
        <v>57230.453999999998</v>
      </c>
      <c r="X31" s="1">
        <v>63736.732000000004</v>
      </c>
      <c r="Y31" s="1">
        <v>71016.561000000002</v>
      </c>
      <c r="Z31" s="1">
        <v>81154.77</v>
      </c>
      <c r="AA31" s="1">
        <v>49944.82</v>
      </c>
      <c r="AB31" s="1">
        <v>52922.817000000003</v>
      </c>
      <c r="AC31" s="1">
        <v>56050.580999999998</v>
      </c>
      <c r="AE31" s="1">
        <v>59749.923999999999</v>
      </c>
    </row>
    <row r="32" spans="1:31">
      <c r="A32" s="1" t="s">
        <v>48</v>
      </c>
      <c r="F32" s="41">
        <v>12694.396000000001</v>
      </c>
      <c r="I32" s="1">
        <v>15293.195</v>
      </c>
      <c r="K32" s="1">
        <v>17290.583999999999</v>
      </c>
      <c r="L32" s="1">
        <v>22410.296999999999</v>
      </c>
      <c r="M32" s="1">
        <v>24173.002</v>
      </c>
      <c r="N32" s="1">
        <v>26870.856</v>
      </c>
      <c r="O32" s="1">
        <v>29994.242999999999</v>
      </c>
      <c r="P32" s="1">
        <v>26430.845000000001</v>
      </c>
      <c r="Q32" s="1">
        <v>25382.785</v>
      </c>
      <c r="R32" s="1">
        <v>26033.044999999998</v>
      </c>
      <c r="S32" s="1">
        <v>27320.725999999999</v>
      </c>
      <c r="T32" s="1">
        <v>29590.833999999999</v>
      </c>
      <c r="U32" s="1">
        <v>31428.007000000001</v>
      </c>
      <c r="V32" s="1">
        <v>37037.764000000003</v>
      </c>
      <c r="W32" s="1">
        <v>40331.408000000003</v>
      </c>
      <c r="X32" s="1">
        <v>42804.254000000001</v>
      </c>
      <c r="Y32" s="1">
        <v>45784.858999999997</v>
      </c>
      <c r="Z32" s="1">
        <v>52019.531999999999</v>
      </c>
      <c r="AA32" s="1">
        <v>56347.053999999996</v>
      </c>
      <c r="AB32" s="1">
        <v>56296.271999999997</v>
      </c>
      <c r="AC32" s="1">
        <v>61322.203999999998</v>
      </c>
      <c r="AE32" s="1">
        <v>65132.771999999997</v>
      </c>
    </row>
    <row r="33" spans="1:31">
      <c r="A33" s="1" t="s">
        <v>49</v>
      </c>
      <c r="F33" s="41">
        <v>23013.403999999999</v>
      </c>
      <c r="I33" s="1">
        <v>26484.411</v>
      </c>
      <c r="K33" s="1">
        <v>30733.177</v>
      </c>
      <c r="L33" s="1">
        <v>34458.57</v>
      </c>
      <c r="M33" s="1">
        <v>35875.553</v>
      </c>
      <c r="N33" s="1">
        <v>37353.71</v>
      </c>
      <c r="O33" s="1">
        <v>37731.362999999998</v>
      </c>
      <c r="P33" s="1">
        <v>41478.754000000001</v>
      </c>
      <c r="Q33" s="1">
        <v>40336.042000000001</v>
      </c>
      <c r="R33" s="1">
        <v>43334.322999999997</v>
      </c>
      <c r="S33" s="1">
        <v>46213.71</v>
      </c>
      <c r="T33" s="1">
        <v>50129.595000000001</v>
      </c>
      <c r="U33" s="1">
        <v>60575.69</v>
      </c>
      <c r="V33" s="1">
        <v>64656.688999999998</v>
      </c>
      <c r="W33" s="1">
        <v>70015.922999999995</v>
      </c>
      <c r="X33" s="1">
        <v>74340.721000000005</v>
      </c>
      <c r="Y33" s="1">
        <v>78380.418999999994</v>
      </c>
      <c r="Z33" s="1">
        <v>80673.066999999995</v>
      </c>
      <c r="AA33" s="1">
        <v>80670.976999999999</v>
      </c>
      <c r="AB33" s="1">
        <v>82929.688999999998</v>
      </c>
      <c r="AC33" s="1">
        <v>86115.21</v>
      </c>
      <c r="AE33" s="1">
        <v>88392.668000000005</v>
      </c>
    </row>
    <row r="34" spans="1:31">
      <c r="A34" s="1" t="s">
        <v>50</v>
      </c>
      <c r="F34" s="41">
        <v>19015.323</v>
      </c>
      <c r="I34" s="1">
        <v>21810.155999999999</v>
      </c>
      <c r="K34" s="1">
        <v>23989.652999999998</v>
      </c>
      <c r="L34" s="1">
        <v>17873.019</v>
      </c>
      <c r="M34" s="1">
        <v>20961.962</v>
      </c>
      <c r="N34" s="1">
        <v>29430.83</v>
      </c>
      <c r="O34" s="1">
        <v>34545.300999999999</v>
      </c>
      <c r="P34" s="1">
        <v>52076.766000000003</v>
      </c>
      <c r="Q34" s="1">
        <v>57982.800999999999</v>
      </c>
      <c r="R34" s="1">
        <v>66623.616999999998</v>
      </c>
      <c r="S34" s="1">
        <v>83786.89</v>
      </c>
      <c r="T34" s="1">
        <v>91328.838000000003</v>
      </c>
      <c r="U34" s="1">
        <v>63759.675000000003</v>
      </c>
      <c r="V34" s="1">
        <v>71882.604999999996</v>
      </c>
      <c r="W34" s="1">
        <v>72613.172999999995</v>
      </c>
      <c r="X34" s="1">
        <v>71137.425000000003</v>
      </c>
      <c r="Y34" s="1">
        <v>87744.532999999996</v>
      </c>
      <c r="Z34" s="1">
        <v>117250.034</v>
      </c>
      <c r="AA34" s="1">
        <v>120082.628</v>
      </c>
      <c r="AB34" s="1">
        <v>127599.436</v>
      </c>
      <c r="AC34" s="1">
        <v>140479.774</v>
      </c>
      <c r="AE34" s="1">
        <v>143415.51300000001</v>
      </c>
    </row>
    <row r="35" spans="1:31">
      <c r="A35" s="1" t="s">
        <v>51</v>
      </c>
      <c r="F35" s="41">
        <v>27479.126</v>
      </c>
      <c r="I35" s="1">
        <v>31364.018</v>
      </c>
      <c r="K35" s="1">
        <v>39179.513380000004</v>
      </c>
      <c r="L35" s="1">
        <v>36921.048000000003</v>
      </c>
      <c r="M35" s="1">
        <v>38696.623</v>
      </c>
      <c r="N35" s="1">
        <v>34275.535000000003</v>
      </c>
      <c r="O35" s="1">
        <v>35040.817999999999</v>
      </c>
      <c r="P35" s="1">
        <v>39834.750999999997</v>
      </c>
      <c r="Q35" s="1">
        <v>41532.197</v>
      </c>
      <c r="R35" s="1">
        <v>43296.353000000003</v>
      </c>
      <c r="S35" s="1">
        <v>47181.387000000002</v>
      </c>
      <c r="T35" s="1">
        <v>48984.925000000003</v>
      </c>
      <c r="U35" s="1">
        <v>51243.732000000004</v>
      </c>
      <c r="V35" s="1">
        <v>61508.347999999998</v>
      </c>
      <c r="W35" s="1">
        <v>59987.788</v>
      </c>
      <c r="X35" s="1">
        <v>60752.074999999997</v>
      </c>
      <c r="Y35" s="1">
        <v>62727.02</v>
      </c>
      <c r="Z35" s="1">
        <v>66782.37</v>
      </c>
      <c r="AA35" s="1">
        <v>67445.350999999995</v>
      </c>
      <c r="AB35" s="1">
        <v>68840.953999999998</v>
      </c>
      <c r="AC35" s="1">
        <v>66166.910999999993</v>
      </c>
      <c r="AE35" s="1">
        <v>71388.475999999995</v>
      </c>
    </row>
    <row r="36" spans="1:31">
      <c r="A36" s="1" t="s">
        <v>52</v>
      </c>
      <c r="F36" s="41">
        <v>30904.366000000002</v>
      </c>
      <c r="I36" s="1">
        <v>35518.135999999999</v>
      </c>
      <c r="K36" s="1">
        <v>35408.006000000001</v>
      </c>
      <c r="L36" s="1">
        <v>41032.400000000001</v>
      </c>
      <c r="M36" s="1">
        <v>47014.184999999998</v>
      </c>
      <c r="N36" s="1">
        <v>75581.667000000001</v>
      </c>
      <c r="O36" s="1">
        <v>79323.244999999995</v>
      </c>
      <c r="P36" s="1">
        <v>87977.884999999995</v>
      </c>
      <c r="Q36" s="1">
        <v>100814.663</v>
      </c>
      <c r="R36" s="1">
        <v>96339.819000000003</v>
      </c>
      <c r="S36" s="1">
        <v>101832.045</v>
      </c>
      <c r="T36" s="1">
        <v>110997.264</v>
      </c>
      <c r="U36" s="1">
        <v>79411.982999999993</v>
      </c>
      <c r="V36" s="1">
        <v>145348.837</v>
      </c>
      <c r="W36" s="1">
        <v>100974.91</v>
      </c>
      <c r="X36" s="1">
        <v>108128.914</v>
      </c>
      <c r="Y36" s="1">
        <v>114307.70699999999</v>
      </c>
      <c r="Z36" s="1">
        <v>121998.79300000001</v>
      </c>
      <c r="AA36" s="1">
        <v>112373.48</v>
      </c>
      <c r="AB36" s="1">
        <v>133433.478</v>
      </c>
      <c r="AC36" s="1">
        <v>133595.29699999999</v>
      </c>
      <c r="AE36" s="1">
        <v>140313.601</v>
      </c>
    </row>
    <row r="37" spans="1:31">
      <c r="A37" s="1" t="s">
        <v>53</v>
      </c>
      <c r="F37" s="41">
        <v>25198.026999999998</v>
      </c>
      <c r="I37" s="1">
        <v>40329.167000000001</v>
      </c>
      <c r="K37" s="1">
        <v>44477.832999999999</v>
      </c>
      <c r="L37" s="1">
        <v>50995.752999999997</v>
      </c>
      <c r="M37" s="1">
        <v>54676.110999999997</v>
      </c>
      <c r="N37" s="1">
        <v>55991.614999999998</v>
      </c>
      <c r="O37" s="1">
        <v>57290.771999999997</v>
      </c>
      <c r="P37" s="1">
        <v>60703.014000000003</v>
      </c>
      <c r="Q37" s="1">
        <v>64850.216</v>
      </c>
      <c r="R37" s="1">
        <v>69214.346999999994</v>
      </c>
      <c r="S37" s="1">
        <v>75533.179999999993</v>
      </c>
      <c r="T37" s="1">
        <v>84144.467000000004</v>
      </c>
      <c r="U37" s="1">
        <v>90110.281000000003</v>
      </c>
      <c r="V37" s="1">
        <v>99256.865999999995</v>
      </c>
      <c r="W37" s="1">
        <v>104035.344</v>
      </c>
      <c r="X37" s="1">
        <v>115713.999</v>
      </c>
      <c r="Y37" s="1">
        <v>112254.891</v>
      </c>
      <c r="Z37" s="1">
        <v>119987.125</v>
      </c>
      <c r="AA37" s="1">
        <v>127412.697</v>
      </c>
      <c r="AB37" s="1">
        <v>147960.26300000001</v>
      </c>
      <c r="AC37" s="1">
        <v>158755.68900000001</v>
      </c>
      <c r="AE37" s="1">
        <v>217873.08499999999</v>
      </c>
    </row>
    <row r="38" spans="1:31">
      <c r="A38" s="1" t="s">
        <v>54</v>
      </c>
      <c r="F38" s="41">
        <v>39546.192000000003</v>
      </c>
      <c r="I38" s="1">
        <v>46040.357000000004</v>
      </c>
      <c r="K38" s="1">
        <v>52752.01</v>
      </c>
      <c r="L38" s="1">
        <v>63649.027999999998</v>
      </c>
      <c r="M38" s="1">
        <v>69916.240000000005</v>
      </c>
      <c r="N38" s="1">
        <v>69498.991999999998</v>
      </c>
      <c r="O38" s="1">
        <v>72322.982000000004</v>
      </c>
      <c r="P38" s="1">
        <v>76719.888999999996</v>
      </c>
      <c r="Q38" s="1">
        <v>79576.342999999993</v>
      </c>
      <c r="R38" s="1">
        <v>85838.107999999993</v>
      </c>
      <c r="S38" s="1">
        <v>113360.258</v>
      </c>
      <c r="T38" s="1">
        <v>127514.97500000001</v>
      </c>
      <c r="U38" s="1">
        <v>106441.298</v>
      </c>
      <c r="V38" s="1">
        <v>121442.211</v>
      </c>
      <c r="W38" s="1">
        <v>125839.753</v>
      </c>
      <c r="X38" s="1">
        <v>128781.59600000001</v>
      </c>
      <c r="Y38" s="1">
        <v>133149.97099999999</v>
      </c>
      <c r="Z38" s="1">
        <v>149531.72700000001</v>
      </c>
      <c r="AA38" s="1">
        <v>154590.022</v>
      </c>
      <c r="AB38" s="1">
        <v>166746.14799999999</v>
      </c>
      <c r="AC38" s="1">
        <v>171518.848</v>
      </c>
      <c r="AE38" s="1">
        <v>173281.05300000001</v>
      </c>
    </row>
    <row r="39" spans="1:31">
      <c r="A39" s="23" t="s">
        <v>55</v>
      </c>
      <c r="B39" s="23"/>
      <c r="C39" s="23"/>
      <c r="D39" s="23"/>
      <c r="E39" s="23"/>
      <c r="F39" s="44">
        <v>5171.4620000000004</v>
      </c>
      <c r="G39" s="23"/>
      <c r="H39" s="23"/>
      <c r="I39" s="23">
        <v>4767.4799999999996</v>
      </c>
      <c r="J39" s="23"/>
      <c r="K39" s="23">
        <v>5383.9960000000001</v>
      </c>
      <c r="L39" s="23">
        <v>7577.3119999999999</v>
      </c>
      <c r="M39" s="23">
        <v>7276.9579999999996</v>
      </c>
      <c r="N39" s="23">
        <v>9974.1080000000002</v>
      </c>
      <c r="O39" s="23">
        <v>9334.4169999999995</v>
      </c>
      <c r="P39" s="23">
        <v>10101.707</v>
      </c>
      <c r="Q39" s="23">
        <v>9889.2199999999993</v>
      </c>
      <c r="R39" s="23">
        <v>9619.0930000000008</v>
      </c>
      <c r="S39" s="23">
        <v>9991.2649999999994</v>
      </c>
      <c r="T39" s="23">
        <v>11470.01</v>
      </c>
      <c r="U39" s="23">
        <v>11514.065000000001</v>
      </c>
      <c r="V39" s="23">
        <v>13164.222</v>
      </c>
      <c r="W39" s="23">
        <v>13943.861999999999</v>
      </c>
      <c r="X39" s="23">
        <v>16117.695</v>
      </c>
      <c r="Y39" s="23">
        <v>15435.55</v>
      </c>
      <c r="Z39" s="23">
        <v>16896.848999999998</v>
      </c>
      <c r="AA39" s="23">
        <v>17283.815999999999</v>
      </c>
      <c r="AB39" s="23">
        <v>17318.877</v>
      </c>
      <c r="AC39" s="23">
        <v>19151.753000000001</v>
      </c>
      <c r="AD39" s="23"/>
      <c r="AE39" s="23">
        <v>22915.14</v>
      </c>
    </row>
    <row r="40" spans="1:31">
      <c r="A40" s="7" t="s">
        <v>56</v>
      </c>
      <c r="B40" s="47">
        <f>SUM(B42:B53)</f>
        <v>0</v>
      </c>
      <c r="C40" s="47">
        <f t="shared" ref="C40:AC40" si="12">SUM(C42:C53)</f>
        <v>0</v>
      </c>
      <c r="D40" s="47">
        <f t="shared" si="12"/>
        <v>0</v>
      </c>
      <c r="E40" s="47">
        <f t="shared" si="12"/>
        <v>0</v>
      </c>
      <c r="F40" s="47">
        <f t="shared" si="12"/>
        <v>847313.51699999999</v>
      </c>
      <c r="G40" s="47">
        <f t="shared" si="12"/>
        <v>0</v>
      </c>
      <c r="H40" s="47">
        <f t="shared" si="12"/>
        <v>0</v>
      </c>
      <c r="I40" s="47">
        <f t="shared" si="12"/>
        <v>962196.36300000001</v>
      </c>
      <c r="J40" s="47">
        <f t="shared" si="12"/>
        <v>0</v>
      </c>
      <c r="K40" s="47">
        <f t="shared" si="12"/>
        <v>1080278.32121</v>
      </c>
      <c r="L40" s="47">
        <f t="shared" si="12"/>
        <v>1283167.0330000001</v>
      </c>
      <c r="M40" s="47">
        <f t="shared" si="12"/>
        <v>1366969.2779999999</v>
      </c>
      <c r="N40" s="47">
        <f t="shared" si="12"/>
        <v>1439213.1260000002</v>
      </c>
      <c r="O40" s="47">
        <f t="shared" si="12"/>
        <v>1485226.868</v>
      </c>
      <c r="P40" s="47">
        <f t="shared" si="12"/>
        <v>1562562.6239999998</v>
      </c>
      <c r="Q40" s="47">
        <f t="shared" si="12"/>
        <v>1612033.9900000002</v>
      </c>
      <c r="R40" s="47">
        <f t="shared" si="12"/>
        <v>1694162.2829999998</v>
      </c>
      <c r="S40" s="47">
        <f t="shared" si="12"/>
        <v>1776888.051</v>
      </c>
      <c r="T40" s="47">
        <f t="shared" si="12"/>
        <v>1942624.9519999996</v>
      </c>
      <c r="U40" s="47">
        <f t="shared" si="12"/>
        <v>2136599.8939999999</v>
      </c>
      <c r="V40" s="47">
        <f t="shared" si="12"/>
        <v>2406828.9589999998</v>
      </c>
      <c r="W40" s="47">
        <f t="shared" si="12"/>
        <v>2461277.5659999996</v>
      </c>
      <c r="X40" s="47">
        <f t="shared" si="12"/>
        <v>2567537.4680000003</v>
      </c>
      <c r="Y40" s="47">
        <f t="shared" si="12"/>
        <v>2695302.8939999999</v>
      </c>
      <c r="Z40" s="47">
        <f t="shared" si="12"/>
        <v>2858681.22</v>
      </c>
      <c r="AA40" s="47">
        <f t="shared" si="12"/>
        <v>3008681.7889999999</v>
      </c>
      <c r="AB40" s="47">
        <f t="shared" si="12"/>
        <v>2980533.0209999993</v>
      </c>
      <c r="AC40" s="47">
        <f t="shared" si="12"/>
        <v>3094618.6640000003</v>
      </c>
      <c r="AD40" s="47">
        <f t="shared" ref="AD40:AE40" si="13">SUM(AD42:AD53)</f>
        <v>0</v>
      </c>
      <c r="AE40" s="47">
        <f t="shared" si="13"/>
        <v>3213316.182</v>
      </c>
    </row>
    <row r="41" spans="1:31">
      <c r="A41" s="7" t="s">
        <v>97</v>
      </c>
      <c r="X41" s="1">
        <v>0</v>
      </c>
      <c r="Y41" s="1">
        <v>0</v>
      </c>
      <c r="AB41" s="1">
        <v>0</v>
      </c>
      <c r="AC41" s="1">
        <v>0</v>
      </c>
    </row>
    <row r="42" spans="1:31">
      <c r="A42" s="1" t="s">
        <v>57</v>
      </c>
      <c r="F42" s="41">
        <v>118109.56200000001</v>
      </c>
      <c r="I42" s="1">
        <v>136724.08199999999</v>
      </c>
      <c r="K42" s="1">
        <v>153667.96799999999</v>
      </c>
      <c r="L42" s="1">
        <v>169536.345</v>
      </c>
      <c r="M42" s="1">
        <v>176699.00399999999</v>
      </c>
      <c r="N42" s="1">
        <v>196037.43400000001</v>
      </c>
      <c r="O42" s="1">
        <v>199705.08499999999</v>
      </c>
      <c r="P42" s="1">
        <v>231576.08199999999</v>
      </c>
      <c r="Q42" s="1">
        <v>231671.67499999999</v>
      </c>
      <c r="R42" s="1">
        <v>243828.986</v>
      </c>
      <c r="S42" s="1">
        <v>262795.23499999999</v>
      </c>
      <c r="T42" s="1">
        <v>287946.27899999998</v>
      </c>
      <c r="U42" s="1">
        <v>318652.66700000002</v>
      </c>
      <c r="V42" s="1">
        <v>377058.962</v>
      </c>
      <c r="W42" s="1">
        <v>395717.67700000003</v>
      </c>
      <c r="X42" s="1">
        <v>414145.94400000002</v>
      </c>
      <c r="Y42" s="1">
        <v>451936.45500000002</v>
      </c>
      <c r="Z42" s="1">
        <v>465755.12099999998</v>
      </c>
      <c r="AA42" s="1">
        <v>501946.11700000003</v>
      </c>
      <c r="AB42" s="1">
        <v>494515.46899999998</v>
      </c>
      <c r="AC42" s="1">
        <v>515708.18199999997</v>
      </c>
      <c r="AE42" s="1">
        <v>488023.65700000001</v>
      </c>
    </row>
    <row r="43" spans="1:31">
      <c r="A43" s="1" t="s">
        <v>58</v>
      </c>
      <c r="F43" s="41">
        <v>60629.978999999999</v>
      </c>
      <c r="I43" s="1">
        <v>72183.857999999993</v>
      </c>
      <c r="K43" s="1">
        <v>81646.956000000006</v>
      </c>
      <c r="L43" s="1">
        <v>96390.744999999995</v>
      </c>
      <c r="M43" s="1">
        <v>102460.908</v>
      </c>
      <c r="N43" s="1">
        <v>103230.67200000001</v>
      </c>
      <c r="O43" s="1">
        <v>111512.557</v>
      </c>
      <c r="P43" s="1">
        <v>123870.981</v>
      </c>
      <c r="Q43" s="1">
        <v>134893.25200000001</v>
      </c>
      <c r="R43" s="1">
        <v>141038.81200000001</v>
      </c>
      <c r="S43" s="1">
        <v>142319.611</v>
      </c>
      <c r="T43" s="1">
        <v>144400.63399999999</v>
      </c>
      <c r="U43" s="1">
        <v>184614.77100000001</v>
      </c>
      <c r="V43" s="1">
        <v>218533.66800000001</v>
      </c>
      <c r="W43" s="1">
        <v>200783.66899999999</v>
      </c>
      <c r="X43" s="1">
        <v>210316.47399999999</v>
      </c>
      <c r="Y43" s="1">
        <v>215715.288</v>
      </c>
      <c r="Z43" s="1">
        <v>220267.291</v>
      </c>
      <c r="AA43" s="1">
        <v>226878.61900000001</v>
      </c>
      <c r="AB43" s="1">
        <v>245622.576</v>
      </c>
      <c r="AC43" s="1">
        <v>252312.18700000001</v>
      </c>
      <c r="AE43" s="1">
        <v>283819.212</v>
      </c>
    </row>
    <row r="44" spans="1:31">
      <c r="A44" s="1" t="s">
        <v>59</v>
      </c>
      <c r="F44" s="41">
        <v>36223.199000000001</v>
      </c>
      <c r="I44" s="1">
        <v>37740.374000000003</v>
      </c>
      <c r="K44" s="1">
        <v>42693.625</v>
      </c>
      <c r="L44" s="1">
        <v>49604.544999999998</v>
      </c>
      <c r="M44" s="1">
        <v>50943.010999999999</v>
      </c>
      <c r="N44" s="1">
        <v>50237.052000000003</v>
      </c>
      <c r="O44" s="1">
        <v>55322.877</v>
      </c>
      <c r="P44" s="1">
        <v>55564.527999999998</v>
      </c>
      <c r="Q44" s="1">
        <v>57311.580999999998</v>
      </c>
      <c r="R44" s="1">
        <v>61416.923000000003</v>
      </c>
      <c r="S44" s="1">
        <v>59148.741999999998</v>
      </c>
      <c r="T44" s="1">
        <v>63644.697</v>
      </c>
      <c r="U44" s="1">
        <v>64863.345000000001</v>
      </c>
      <c r="V44" s="1">
        <v>80433.243000000002</v>
      </c>
      <c r="W44" s="1">
        <v>76333.031000000003</v>
      </c>
      <c r="X44" s="1">
        <v>80426.941999999995</v>
      </c>
      <c r="Y44" s="1">
        <v>81722.615000000005</v>
      </c>
      <c r="Z44" s="1">
        <v>85088.657999999996</v>
      </c>
      <c r="AA44" s="1">
        <v>95690.883000000002</v>
      </c>
      <c r="AB44" s="1">
        <v>95982.642000000007</v>
      </c>
      <c r="AC44" s="1">
        <v>106592.023</v>
      </c>
      <c r="AE44" s="1">
        <v>104059.86199999999</v>
      </c>
    </row>
    <row r="45" spans="1:31">
      <c r="A45" s="1" t="s">
        <v>60</v>
      </c>
      <c r="F45" s="41">
        <v>42803.544999999998</v>
      </c>
      <c r="I45" s="1">
        <v>53659.186000000002</v>
      </c>
      <c r="K45" s="1">
        <v>60477.629070000003</v>
      </c>
      <c r="L45" s="1">
        <v>71537.129000000001</v>
      </c>
      <c r="M45" s="1">
        <v>69990.826000000001</v>
      </c>
      <c r="N45" s="1">
        <v>86420.657999999996</v>
      </c>
      <c r="O45" s="1">
        <v>76304.072</v>
      </c>
      <c r="P45" s="1">
        <v>79320.043999999994</v>
      </c>
      <c r="Q45" s="1">
        <v>83326.45</v>
      </c>
      <c r="R45" s="1">
        <v>88978.513999999996</v>
      </c>
      <c r="S45" s="1">
        <v>92197.866999999998</v>
      </c>
      <c r="T45" s="1">
        <v>103249.227</v>
      </c>
      <c r="U45" s="1">
        <v>139217.05499999999</v>
      </c>
      <c r="V45" s="1">
        <v>155115.00599999999</v>
      </c>
      <c r="W45" s="1">
        <v>166609.23000000001</v>
      </c>
      <c r="X45" s="1">
        <v>182188.37100000001</v>
      </c>
      <c r="Y45" s="1">
        <v>178879.14799999999</v>
      </c>
      <c r="Z45" s="1">
        <v>191398.16699999999</v>
      </c>
      <c r="AA45" s="1">
        <v>203785.56099999999</v>
      </c>
      <c r="AB45" s="1">
        <v>156655.943</v>
      </c>
      <c r="AC45" s="1">
        <v>151695.44899999999</v>
      </c>
      <c r="AE45" s="1">
        <v>182801.85500000001</v>
      </c>
    </row>
    <row r="46" spans="1:31">
      <c r="A46" s="1" t="s">
        <v>61</v>
      </c>
      <c r="F46" s="41">
        <v>158220.41200000001</v>
      </c>
      <c r="I46" s="1">
        <v>169753.897</v>
      </c>
      <c r="K46" s="1">
        <v>187894.50399999999</v>
      </c>
      <c r="L46" s="1">
        <v>215592.28099999999</v>
      </c>
      <c r="M46" s="1">
        <v>228214.43799999999</v>
      </c>
      <c r="N46" s="1">
        <v>240159.91200000001</v>
      </c>
      <c r="O46" s="1">
        <v>251584.53200000001</v>
      </c>
      <c r="P46" s="1">
        <v>238089.62400000001</v>
      </c>
      <c r="Q46" s="1">
        <v>242126.66200000001</v>
      </c>
      <c r="R46" s="1">
        <v>251745.48</v>
      </c>
      <c r="S46" s="1">
        <v>266786.65500000003</v>
      </c>
      <c r="T46" s="1">
        <v>318843.3</v>
      </c>
      <c r="U46" s="1">
        <v>350515.33</v>
      </c>
      <c r="V46" s="1">
        <v>374275.64899999998</v>
      </c>
      <c r="W46" s="1">
        <v>383647.26899999997</v>
      </c>
      <c r="X46" s="1">
        <v>398839.64</v>
      </c>
      <c r="Y46" s="1">
        <v>434475.97100000002</v>
      </c>
      <c r="Z46" s="1">
        <v>449918.75</v>
      </c>
      <c r="AA46" s="1">
        <v>472891.054</v>
      </c>
      <c r="AB46" s="1">
        <v>453152.38900000002</v>
      </c>
      <c r="AC46" s="1">
        <v>463739.8</v>
      </c>
      <c r="AE46" s="1">
        <v>492489.20199999999</v>
      </c>
    </row>
    <row r="47" spans="1:31">
      <c r="A47" s="1" t="s">
        <v>62</v>
      </c>
      <c r="F47" s="41">
        <v>68328.039999999994</v>
      </c>
      <c r="I47" s="1">
        <v>73975.514999999999</v>
      </c>
      <c r="K47" s="1">
        <v>94876.26</v>
      </c>
      <c r="L47" s="1">
        <v>115601.891</v>
      </c>
      <c r="M47" s="1">
        <v>128404.083</v>
      </c>
      <c r="N47" s="1">
        <v>133283.95600000001</v>
      </c>
      <c r="O47" s="1">
        <v>135413.25</v>
      </c>
      <c r="P47" s="1">
        <v>140443.68100000001</v>
      </c>
      <c r="Q47" s="1">
        <v>146855.48499999999</v>
      </c>
      <c r="R47" s="1">
        <v>157635.63399999999</v>
      </c>
      <c r="S47" s="1">
        <v>165558.492</v>
      </c>
      <c r="T47" s="1">
        <v>173400.83799999999</v>
      </c>
      <c r="U47" s="1">
        <v>213652.58100000001</v>
      </c>
      <c r="V47" s="1">
        <v>230645.845</v>
      </c>
      <c r="W47" s="1">
        <v>234151.36600000001</v>
      </c>
      <c r="X47" s="1">
        <v>237086.81599999999</v>
      </c>
      <c r="Y47" s="1">
        <v>253167.06400000001</v>
      </c>
      <c r="Z47" s="1">
        <v>264399.049</v>
      </c>
      <c r="AA47" s="1">
        <v>264252.86</v>
      </c>
      <c r="AB47" s="1">
        <v>269579.71999999997</v>
      </c>
      <c r="AC47" s="1">
        <v>285696.76899999997</v>
      </c>
      <c r="AE47" s="1">
        <v>303132.42800000001</v>
      </c>
    </row>
    <row r="48" spans="1:31">
      <c r="A48" s="1" t="s">
        <v>63</v>
      </c>
      <c r="F48" s="41">
        <v>65420.743000000002</v>
      </c>
      <c r="I48" s="1">
        <v>80144.017999999996</v>
      </c>
      <c r="K48" s="1">
        <v>91457.004000000001</v>
      </c>
      <c r="L48" s="1">
        <v>109295.274</v>
      </c>
      <c r="M48" s="1">
        <v>118852.83</v>
      </c>
      <c r="N48" s="1">
        <v>110632.296</v>
      </c>
      <c r="O48" s="1">
        <v>106930.792</v>
      </c>
      <c r="P48" s="1">
        <v>120653.499</v>
      </c>
      <c r="Q48" s="1">
        <v>125880.065</v>
      </c>
      <c r="R48" s="1">
        <v>134829.50700000001</v>
      </c>
      <c r="S48" s="1">
        <v>137323.09299999999</v>
      </c>
      <c r="T48" s="1">
        <v>150499.02799999999</v>
      </c>
      <c r="U48" s="1">
        <v>152636.54199999999</v>
      </c>
      <c r="V48" s="1">
        <v>167803.23300000001</v>
      </c>
      <c r="W48" s="1">
        <v>169332.77299999999</v>
      </c>
      <c r="X48" s="1">
        <v>181953.37100000001</v>
      </c>
      <c r="Y48" s="1">
        <v>191349.81400000001</v>
      </c>
      <c r="Z48" s="1">
        <v>211690.40299999999</v>
      </c>
      <c r="AA48" s="1">
        <v>222976.633</v>
      </c>
      <c r="AB48" s="1">
        <v>233827.29699999999</v>
      </c>
      <c r="AC48" s="1">
        <v>239451.076</v>
      </c>
      <c r="AE48" s="1">
        <v>228316.08799999999</v>
      </c>
    </row>
    <row r="49" spans="1:31">
      <c r="A49" s="1" t="s">
        <v>64</v>
      </c>
      <c r="F49" s="41">
        <v>18851.812999999998</v>
      </c>
      <c r="I49" s="1">
        <v>23305.936000000002</v>
      </c>
      <c r="K49" s="1">
        <v>21518.357</v>
      </c>
      <c r="L49" s="1">
        <v>25302.931</v>
      </c>
      <c r="M49" s="1">
        <v>26581.93</v>
      </c>
      <c r="N49" s="1">
        <v>26401.032999999999</v>
      </c>
      <c r="O49" s="1">
        <v>24275.973000000002</v>
      </c>
      <c r="P49" s="1">
        <v>23303.701000000001</v>
      </c>
      <c r="Q49" s="1">
        <v>26192.537</v>
      </c>
      <c r="R49" s="1">
        <v>30518.645</v>
      </c>
      <c r="S49" s="1">
        <v>31889.874</v>
      </c>
      <c r="T49" s="1">
        <v>39920.481</v>
      </c>
      <c r="U49" s="1">
        <v>33792.639000000003</v>
      </c>
      <c r="V49" s="1">
        <v>43332.322</v>
      </c>
      <c r="W49" s="1">
        <v>45780.552000000003</v>
      </c>
      <c r="X49" s="1">
        <v>52525.14</v>
      </c>
      <c r="Y49" s="1">
        <v>48587.055</v>
      </c>
      <c r="Z49" s="1">
        <v>49018.205999999998</v>
      </c>
      <c r="AA49" s="1">
        <v>50763.212</v>
      </c>
      <c r="AB49" s="1">
        <v>54868.423000000003</v>
      </c>
      <c r="AC49" s="1">
        <v>60400.38</v>
      </c>
      <c r="AE49" s="1">
        <v>64129.211000000003</v>
      </c>
    </row>
    <row r="50" spans="1:31">
      <c r="A50" s="1" t="s">
        <v>65</v>
      </c>
      <c r="F50" s="41">
        <v>12605.308999999999</v>
      </c>
      <c r="I50" s="1">
        <v>14351.857</v>
      </c>
      <c r="K50" s="1">
        <v>14547.696</v>
      </c>
      <c r="L50" s="1">
        <v>16660.422999999999</v>
      </c>
      <c r="M50" s="1">
        <v>18966.27</v>
      </c>
      <c r="N50" s="1">
        <v>21338.143</v>
      </c>
      <c r="O50" s="1">
        <v>22849.91</v>
      </c>
      <c r="P50" s="1">
        <v>24578.146000000001</v>
      </c>
      <c r="Q50" s="1">
        <v>26070.504000000001</v>
      </c>
      <c r="R50" s="1">
        <v>29101.632000000001</v>
      </c>
      <c r="S50" s="1">
        <v>31098.465</v>
      </c>
      <c r="T50" s="1">
        <v>33078.533000000003</v>
      </c>
      <c r="U50" s="1">
        <v>34997.652000000002</v>
      </c>
      <c r="V50" s="1">
        <v>40960.559999999998</v>
      </c>
      <c r="W50" s="1">
        <v>45365.144999999997</v>
      </c>
      <c r="X50" s="1">
        <v>46162.089</v>
      </c>
      <c r="Y50" s="1">
        <v>47984.860999999997</v>
      </c>
      <c r="Z50" s="1">
        <v>90521.917000000001</v>
      </c>
      <c r="AA50" s="1">
        <v>100623.788</v>
      </c>
      <c r="AB50" s="1">
        <v>97116.154999999999</v>
      </c>
      <c r="AC50" s="1">
        <v>101225.569</v>
      </c>
      <c r="AE50" s="1">
        <v>106534.87699999999</v>
      </c>
    </row>
    <row r="51" spans="1:31">
      <c r="A51" s="1" t="s">
        <v>66</v>
      </c>
      <c r="F51" s="41">
        <v>138465.351</v>
      </c>
      <c r="I51" s="1">
        <v>152975.897</v>
      </c>
      <c r="K51" s="1">
        <v>170094.649</v>
      </c>
      <c r="L51" s="1">
        <v>212242.62599999999</v>
      </c>
      <c r="M51" s="1">
        <v>226351.17300000001</v>
      </c>
      <c r="N51" s="1">
        <v>236613.77499999999</v>
      </c>
      <c r="O51" s="1">
        <v>256922.22500000001</v>
      </c>
      <c r="P51" s="1">
        <v>266597.09000000003</v>
      </c>
      <c r="Q51" s="1">
        <v>270911.84700000001</v>
      </c>
      <c r="R51" s="1">
        <v>281016.95600000001</v>
      </c>
      <c r="S51" s="1">
        <v>288895.554</v>
      </c>
      <c r="T51" s="1">
        <v>312550.28200000001</v>
      </c>
      <c r="U51" s="1">
        <v>304216.98599999998</v>
      </c>
      <c r="V51" s="1">
        <v>330499.80099999998</v>
      </c>
      <c r="W51" s="1">
        <v>343143.14399999997</v>
      </c>
      <c r="X51" s="1">
        <v>339985.62099999998</v>
      </c>
      <c r="Y51" s="1">
        <v>360690.29800000001</v>
      </c>
      <c r="Z51" s="1">
        <v>378054.005</v>
      </c>
      <c r="AA51" s="1">
        <v>406972.86599999998</v>
      </c>
      <c r="AB51" s="1">
        <v>432227.63</v>
      </c>
      <c r="AC51" s="1">
        <v>466784.63500000001</v>
      </c>
      <c r="AE51" s="1">
        <v>416271.00099999999</v>
      </c>
    </row>
    <row r="52" spans="1:31">
      <c r="A52" s="1" t="s">
        <v>67</v>
      </c>
      <c r="F52" s="41">
        <v>13095.206</v>
      </c>
      <c r="I52" s="1">
        <v>17389.377</v>
      </c>
      <c r="K52" s="1">
        <v>18401.98314</v>
      </c>
      <c r="L52" s="1">
        <v>24671.412</v>
      </c>
      <c r="M52" s="1">
        <v>24393.243999999999</v>
      </c>
      <c r="N52" s="1">
        <v>26896.516</v>
      </c>
      <c r="O52" s="1">
        <v>26206.143</v>
      </c>
      <c r="P52" s="1">
        <v>28808.254000000001</v>
      </c>
      <c r="Q52" s="1">
        <v>32382.365000000002</v>
      </c>
      <c r="R52" s="1">
        <v>33775.578000000001</v>
      </c>
      <c r="S52" s="1">
        <v>36351.85</v>
      </c>
      <c r="T52" s="1">
        <v>39189.082000000002</v>
      </c>
      <c r="U52" s="1">
        <v>39234.949999999997</v>
      </c>
      <c r="V52" s="1">
        <v>44270.567000000003</v>
      </c>
      <c r="W52" s="1">
        <v>45718.483</v>
      </c>
      <c r="X52" s="1">
        <v>50967.415999999997</v>
      </c>
      <c r="Y52" s="1">
        <v>56358.936999999998</v>
      </c>
      <c r="Z52" s="1">
        <v>58516.05</v>
      </c>
      <c r="AA52" s="1">
        <v>61708.180999999997</v>
      </c>
      <c r="AB52" s="1">
        <v>65491.084000000003</v>
      </c>
      <c r="AC52" s="1">
        <v>75142.827000000005</v>
      </c>
      <c r="AE52" s="1">
        <v>84339.828999999998</v>
      </c>
    </row>
    <row r="53" spans="1:31">
      <c r="A53" s="23" t="s">
        <v>68</v>
      </c>
      <c r="B53" s="23"/>
      <c r="C53" s="23"/>
      <c r="D53" s="23"/>
      <c r="E53" s="23"/>
      <c r="F53" s="44">
        <v>114560.35799999999</v>
      </c>
      <c r="G53" s="23"/>
      <c r="H53" s="23"/>
      <c r="I53" s="23">
        <v>129992.36599999999</v>
      </c>
      <c r="J53" s="23"/>
      <c r="K53" s="23">
        <v>143001.69</v>
      </c>
      <c r="L53" s="23">
        <v>176731.43100000001</v>
      </c>
      <c r="M53" s="23">
        <v>195111.56099999999</v>
      </c>
      <c r="N53" s="23">
        <v>207961.679</v>
      </c>
      <c r="O53" s="23">
        <v>218199.45199999999</v>
      </c>
      <c r="P53" s="23">
        <v>229756.99400000001</v>
      </c>
      <c r="Q53" s="23">
        <v>234411.56700000001</v>
      </c>
      <c r="R53" s="23">
        <v>240275.61600000001</v>
      </c>
      <c r="S53" s="23">
        <v>262522.61300000001</v>
      </c>
      <c r="T53" s="23">
        <v>275902.571</v>
      </c>
      <c r="U53" s="23">
        <v>300205.37599999999</v>
      </c>
      <c r="V53" s="23">
        <v>343900.103</v>
      </c>
      <c r="W53" s="23">
        <v>354695.22700000001</v>
      </c>
      <c r="X53" s="23">
        <v>372939.64399999997</v>
      </c>
      <c r="Y53" s="23">
        <v>374435.38799999998</v>
      </c>
      <c r="Z53" s="23">
        <v>394053.603</v>
      </c>
      <c r="AA53" s="23">
        <v>400192.01500000001</v>
      </c>
      <c r="AB53" s="23">
        <v>381493.69300000003</v>
      </c>
      <c r="AC53" s="23">
        <v>375869.76699999999</v>
      </c>
      <c r="AD53" s="23"/>
      <c r="AE53" s="23">
        <v>459398.96</v>
      </c>
    </row>
    <row r="54" spans="1:31">
      <c r="A54" s="7" t="s">
        <v>69</v>
      </c>
      <c r="B54" s="47">
        <f>SUM(B56:B64)</f>
        <v>0</v>
      </c>
      <c r="C54" s="47">
        <f t="shared" ref="C54:AC54" si="14">SUM(C56:C64)</f>
        <v>0</v>
      </c>
      <c r="D54" s="47">
        <f t="shared" si="14"/>
        <v>0</v>
      </c>
      <c r="E54" s="47">
        <f t="shared" si="14"/>
        <v>0</v>
      </c>
      <c r="F54" s="47">
        <f>SUM(F56:F64)</f>
        <v>497928.19199999998</v>
      </c>
      <c r="G54" s="47">
        <f t="shared" si="14"/>
        <v>0</v>
      </c>
      <c r="H54" s="47">
        <f t="shared" si="14"/>
        <v>0</v>
      </c>
      <c r="I54" s="47">
        <f t="shared" si="14"/>
        <v>618317.34899999993</v>
      </c>
      <c r="J54" s="47">
        <f t="shared" si="14"/>
        <v>0</v>
      </c>
      <c r="K54" s="47">
        <f t="shared" si="14"/>
        <v>751238.96199999994</v>
      </c>
      <c r="L54" s="47">
        <f t="shared" si="14"/>
        <v>853964.04399999999</v>
      </c>
      <c r="M54" s="47">
        <f t="shared" si="14"/>
        <v>844677.679</v>
      </c>
      <c r="N54" s="47">
        <f t="shared" si="14"/>
        <v>833538.59699999995</v>
      </c>
      <c r="O54" s="47">
        <f t="shared" si="14"/>
        <v>779982.85400000005</v>
      </c>
      <c r="P54" s="47">
        <f t="shared" si="14"/>
        <v>825152.79500000016</v>
      </c>
      <c r="Q54" s="47">
        <f t="shared" si="14"/>
        <v>969434.61899999995</v>
      </c>
      <c r="R54" s="47">
        <f t="shared" si="14"/>
        <v>989909.39900000009</v>
      </c>
      <c r="S54" s="47">
        <f t="shared" si="14"/>
        <v>1074142.2169999999</v>
      </c>
      <c r="T54" s="47">
        <f t="shared" si="14"/>
        <v>1202739.5659999999</v>
      </c>
      <c r="U54" s="47">
        <f t="shared" si="14"/>
        <v>1223701.9179999998</v>
      </c>
      <c r="V54" s="47">
        <f t="shared" si="14"/>
        <v>1526758.4479999999</v>
      </c>
      <c r="W54" s="47">
        <f t="shared" si="14"/>
        <v>1595284.733</v>
      </c>
      <c r="X54" s="47">
        <f t="shared" si="14"/>
        <v>1651927.5179999999</v>
      </c>
      <c r="Y54" s="47">
        <f t="shared" si="14"/>
        <v>1675116.8359999999</v>
      </c>
      <c r="Z54" s="47">
        <f t="shared" si="14"/>
        <v>1800320.0739999998</v>
      </c>
      <c r="AA54" s="47">
        <f t="shared" si="14"/>
        <v>1858593.5220000001</v>
      </c>
      <c r="AB54" s="47">
        <f t="shared" si="14"/>
        <v>2030917.064</v>
      </c>
      <c r="AC54" s="47">
        <f t="shared" si="14"/>
        <v>2086573.2930000001</v>
      </c>
      <c r="AD54" s="47">
        <f t="shared" ref="AD54:AE54" si="15">SUM(AD56:AD64)</f>
        <v>0</v>
      </c>
      <c r="AE54" s="47">
        <f t="shared" si="15"/>
        <v>2151624.6180000002</v>
      </c>
    </row>
    <row r="55" spans="1:31">
      <c r="A55" s="7" t="s">
        <v>97</v>
      </c>
      <c r="X55" s="1">
        <v>0</v>
      </c>
      <c r="Y55" s="1">
        <v>0</v>
      </c>
      <c r="AB55" s="1">
        <v>0</v>
      </c>
      <c r="AC55" s="1">
        <v>0</v>
      </c>
    </row>
    <row r="56" spans="1:31">
      <c r="A56" s="1" t="s">
        <v>70</v>
      </c>
      <c r="F56" s="41">
        <v>22646.129000000001</v>
      </c>
      <c r="I56" s="1">
        <v>32285.432000000001</v>
      </c>
      <c r="K56" s="1">
        <v>33489.195</v>
      </c>
      <c r="L56" s="1">
        <v>58354.69</v>
      </c>
      <c r="M56" s="1">
        <v>56579.985999999997</v>
      </c>
      <c r="N56" s="1">
        <v>62309.125</v>
      </c>
      <c r="O56" s="1">
        <v>66257.009999999995</v>
      </c>
      <c r="P56" s="1">
        <v>68289.558000000005</v>
      </c>
      <c r="Q56" s="1">
        <v>85014.751000000004</v>
      </c>
      <c r="R56" s="1">
        <v>82690.091</v>
      </c>
      <c r="S56" s="1">
        <v>92503.678</v>
      </c>
      <c r="T56" s="1">
        <v>113655.21</v>
      </c>
      <c r="U56" s="1">
        <v>115970.97100000001</v>
      </c>
      <c r="V56" s="1">
        <v>130811.976</v>
      </c>
      <c r="W56" s="1">
        <v>131353.45699999999</v>
      </c>
      <c r="X56" s="1">
        <v>120494.731</v>
      </c>
      <c r="Y56" s="1">
        <v>126534.423</v>
      </c>
      <c r="Z56" s="1">
        <v>149766.31099999999</v>
      </c>
      <c r="AA56" s="1">
        <v>160306.01</v>
      </c>
      <c r="AB56" s="1">
        <v>166485.96</v>
      </c>
      <c r="AC56" s="1">
        <v>147508.88099999999</v>
      </c>
      <c r="AE56" s="1">
        <v>159173.24100000001</v>
      </c>
    </row>
    <row r="57" spans="1:31">
      <c r="A57" s="1" t="s">
        <v>71</v>
      </c>
      <c r="F57" s="41">
        <v>23047.458999999999</v>
      </c>
      <c r="I57" s="1">
        <v>25129.305</v>
      </c>
      <c r="K57" s="1">
        <v>28571.003000000001</v>
      </c>
      <c r="L57" s="1">
        <v>33231.595999999998</v>
      </c>
      <c r="M57" s="1">
        <v>36257.802000000003</v>
      </c>
      <c r="N57" s="1">
        <v>36964.146000000001</v>
      </c>
      <c r="O57" s="1">
        <v>38844.39</v>
      </c>
      <c r="P57" s="1">
        <v>40749.4</v>
      </c>
      <c r="Q57" s="1">
        <v>42061.921999999999</v>
      </c>
      <c r="R57" s="1">
        <v>43800.978999999999</v>
      </c>
      <c r="S57" s="1">
        <v>47483.095000000001</v>
      </c>
      <c r="T57" s="1">
        <v>49704.41</v>
      </c>
      <c r="U57" s="1">
        <v>51457.849000000002</v>
      </c>
      <c r="V57" s="1">
        <v>58452.7</v>
      </c>
      <c r="W57" s="1">
        <v>59057.324999999997</v>
      </c>
      <c r="X57" s="1">
        <v>60254.008999999998</v>
      </c>
      <c r="Y57" s="1">
        <v>61444.821000000004</v>
      </c>
      <c r="Z57" s="1">
        <v>60809.696000000004</v>
      </c>
      <c r="AA57" s="1">
        <v>64083.053</v>
      </c>
      <c r="AB57" s="1">
        <v>68496.728000000003</v>
      </c>
      <c r="AC57" s="1">
        <v>69250.342000000004</v>
      </c>
      <c r="AE57" s="1">
        <v>77652.884000000005</v>
      </c>
    </row>
    <row r="58" spans="1:31" s="23" customFormat="1">
      <c r="A58" s="1" t="s">
        <v>72</v>
      </c>
      <c r="B58" s="1"/>
      <c r="C58" s="1"/>
      <c r="D58" s="1"/>
      <c r="E58" s="1"/>
      <c r="F58" s="41">
        <v>56235.154000000002</v>
      </c>
      <c r="G58" s="1"/>
      <c r="H58" s="1"/>
      <c r="I58" s="1">
        <v>72243.626000000004</v>
      </c>
      <c r="J58" s="1"/>
      <c r="K58" s="1">
        <v>90166.892999999996</v>
      </c>
      <c r="L58" s="1">
        <v>108627.982</v>
      </c>
      <c r="M58" s="1">
        <v>121890.7</v>
      </c>
      <c r="N58" s="1">
        <v>119799.791</v>
      </c>
      <c r="O58" s="1">
        <v>115530.228</v>
      </c>
      <c r="P58" s="1">
        <v>117841.164</v>
      </c>
      <c r="Q58" s="1">
        <v>130393.82399999999</v>
      </c>
      <c r="R58" s="1">
        <v>136849.82999999999</v>
      </c>
      <c r="S58" s="1">
        <v>151160.163</v>
      </c>
      <c r="T58" s="1">
        <v>163729.44</v>
      </c>
      <c r="U58" s="1">
        <v>145038.81</v>
      </c>
      <c r="V58" s="1">
        <v>190324.01699999999</v>
      </c>
      <c r="W58" s="1">
        <v>209520.81</v>
      </c>
      <c r="X58" s="1">
        <v>225482.723</v>
      </c>
      <c r="Y58" s="1">
        <v>231609.24400000001</v>
      </c>
      <c r="Z58" s="1">
        <v>250833.75200000001</v>
      </c>
      <c r="AA58" s="1">
        <v>273692.05200000003</v>
      </c>
      <c r="AB58" s="1">
        <v>291637.55200000003</v>
      </c>
      <c r="AC58" s="1">
        <v>308966.65299999999</v>
      </c>
      <c r="AD58" s="1"/>
      <c r="AE58" s="1">
        <v>329509.92800000001</v>
      </c>
    </row>
    <row r="59" spans="1:31">
      <c r="A59" s="1" t="s">
        <v>73</v>
      </c>
      <c r="F59" s="41">
        <v>15278.573</v>
      </c>
      <c r="I59" s="1">
        <v>15636.526</v>
      </c>
      <c r="K59" s="1">
        <v>16742.142</v>
      </c>
      <c r="L59" s="1">
        <v>18444.644</v>
      </c>
      <c r="M59" s="1">
        <v>20266.667000000001</v>
      </c>
      <c r="N59" s="1">
        <v>20942.811000000002</v>
      </c>
      <c r="O59" s="1">
        <v>25840.92</v>
      </c>
      <c r="P59" s="1">
        <v>25507.88</v>
      </c>
      <c r="Q59" s="1">
        <v>26394.858</v>
      </c>
      <c r="R59" s="1">
        <v>28871.49</v>
      </c>
      <c r="S59" s="1">
        <v>29444.147000000001</v>
      </c>
      <c r="T59" s="1">
        <v>36702.885999999999</v>
      </c>
      <c r="U59" s="1">
        <v>45367.881999999998</v>
      </c>
      <c r="V59" s="1">
        <v>43057.758000000002</v>
      </c>
      <c r="W59" s="1">
        <v>45335.809000000001</v>
      </c>
      <c r="X59" s="1">
        <v>39299.173999999999</v>
      </c>
      <c r="Y59" s="1">
        <v>39769.93</v>
      </c>
      <c r="Z59" s="1">
        <v>41922.834000000003</v>
      </c>
      <c r="AA59" s="1">
        <v>45752.042999999998</v>
      </c>
      <c r="AB59" s="1">
        <v>48952.625999999997</v>
      </c>
      <c r="AC59" s="1">
        <v>51539.31</v>
      </c>
      <c r="AE59" s="1">
        <v>59650.228999999999</v>
      </c>
    </row>
    <row r="60" spans="1:31">
      <c r="A60" s="1" t="s">
        <v>74</v>
      </c>
      <c r="F60" s="41">
        <v>54174.499000000003</v>
      </c>
      <c r="I60" s="1">
        <v>62035.243000000002</v>
      </c>
      <c r="K60" s="1">
        <v>111476.469</v>
      </c>
      <c r="L60" s="1">
        <v>80891.89</v>
      </c>
      <c r="M60" s="1">
        <v>90055.634999999995</v>
      </c>
      <c r="N60" s="1">
        <v>97483.498999999996</v>
      </c>
      <c r="O60" s="1">
        <v>88708.516000000003</v>
      </c>
      <c r="P60" s="1">
        <v>98722.092000000004</v>
      </c>
      <c r="Q60" s="1">
        <v>170318.75200000001</v>
      </c>
      <c r="R60" s="1">
        <v>188178.7</v>
      </c>
      <c r="S60" s="1">
        <v>194099.171</v>
      </c>
      <c r="T60" s="1">
        <v>212549.61</v>
      </c>
      <c r="U60" s="1">
        <v>218589.02900000001</v>
      </c>
      <c r="V60" s="1">
        <v>265123.44300000003</v>
      </c>
      <c r="W60" s="1">
        <v>273669.93</v>
      </c>
      <c r="X60" s="1">
        <v>299652.26899999997</v>
      </c>
      <c r="Y60" s="1">
        <v>305823.05499999999</v>
      </c>
      <c r="Z60" s="1">
        <v>344991.44099999999</v>
      </c>
      <c r="AA60" s="1">
        <v>330749.91499999998</v>
      </c>
      <c r="AB60" s="1">
        <v>371807.69799999997</v>
      </c>
      <c r="AC60" s="1">
        <v>408770.951</v>
      </c>
      <c r="AE60" s="1">
        <v>440491.83</v>
      </c>
    </row>
    <row r="61" spans="1:31">
      <c r="A61" s="1" t="s">
        <v>75</v>
      </c>
      <c r="F61" s="41">
        <v>154042.67600000001</v>
      </c>
      <c r="I61" s="1">
        <v>202696.08100000001</v>
      </c>
      <c r="K61" s="1">
        <v>237734.72899999999</v>
      </c>
      <c r="L61" s="1">
        <v>270030.788</v>
      </c>
      <c r="M61" s="1">
        <v>257306.747</v>
      </c>
      <c r="N61" s="1">
        <v>282740.64500000002</v>
      </c>
      <c r="O61" s="1">
        <v>287704.63400000002</v>
      </c>
      <c r="P61" s="1">
        <v>295867.70500000002</v>
      </c>
      <c r="Q61" s="1">
        <v>341070.75099999999</v>
      </c>
      <c r="R61" s="1">
        <v>329826.35600000003</v>
      </c>
      <c r="S61" s="1">
        <v>366856.685</v>
      </c>
      <c r="T61" s="1">
        <v>412510.26500000001</v>
      </c>
      <c r="U61" s="1">
        <v>425388.18699999998</v>
      </c>
      <c r="V61" s="1">
        <v>567116.79299999995</v>
      </c>
      <c r="W61" s="1">
        <v>588988.299</v>
      </c>
      <c r="X61" s="1">
        <v>611461.103</v>
      </c>
      <c r="Y61" s="1">
        <v>608056.73699999996</v>
      </c>
      <c r="Z61" s="1">
        <v>634977.31999999995</v>
      </c>
      <c r="AA61" s="1">
        <v>659597.62699999998</v>
      </c>
      <c r="AB61" s="1">
        <v>743741.26399999997</v>
      </c>
      <c r="AC61" s="1">
        <v>746313.68500000006</v>
      </c>
      <c r="AE61" s="1">
        <v>744622.255</v>
      </c>
    </row>
    <row r="62" spans="1:31">
      <c r="A62" s="1" t="s">
        <v>76</v>
      </c>
      <c r="F62" s="41">
        <v>147079.054</v>
      </c>
      <c r="I62" s="1">
        <v>176672.73300000001</v>
      </c>
      <c r="K62" s="1">
        <v>196508.81</v>
      </c>
      <c r="L62" s="1">
        <v>248020.33</v>
      </c>
      <c r="M62" s="1">
        <v>223218.552</v>
      </c>
      <c r="N62" s="1">
        <v>166397.08499999999</v>
      </c>
      <c r="O62" s="1">
        <v>114331.103</v>
      </c>
      <c r="P62" s="1">
        <v>124566.586</v>
      </c>
      <c r="Q62" s="1">
        <v>117019.311</v>
      </c>
      <c r="R62" s="1">
        <v>120523.125</v>
      </c>
      <c r="S62" s="1">
        <v>128841.02099999999</v>
      </c>
      <c r="T62" s="1">
        <v>140517.29</v>
      </c>
      <c r="U62" s="1">
        <v>149697.90100000001</v>
      </c>
      <c r="V62" s="1">
        <v>185135.05</v>
      </c>
      <c r="W62" s="1">
        <v>196322.959</v>
      </c>
      <c r="X62" s="1">
        <v>199651.95699999999</v>
      </c>
      <c r="Y62" s="1">
        <v>205016.00399999999</v>
      </c>
      <c r="Z62" s="1">
        <v>213313.91899999999</v>
      </c>
      <c r="AA62" s="1">
        <v>216984.677</v>
      </c>
      <c r="AB62" s="1">
        <v>221580.86499999999</v>
      </c>
      <c r="AC62" s="1">
        <v>229237.533</v>
      </c>
      <c r="AE62" s="1">
        <v>211732.503</v>
      </c>
    </row>
    <row r="63" spans="1:31">
      <c r="A63" s="1" t="s">
        <v>77</v>
      </c>
      <c r="F63" s="41">
        <v>13309.314</v>
      </c>
      <c r="I63" s="1">
        <v>18235.886999999999</v>
      </c>
      <c r="K63" s="1">
        <v>21755.892</v>
      </c>
      <c r="L63" s="1">
        <v>20681.835999999999</v>
      </c>
      <c r="M63" s="1">
        <v>21992.965</v>
      </c>
      <c r="N63" s="1">
        <v>23436.767</v>
      </c>
      <c r="O63" s="1">
        <v>24892.462</v>
      </c>
      <c r="P63" s="1">
        <v>27193.149000000001</v>
      </c>
      <c r="Q63" s="1">
        <v>29148.375</v>
      </c>
      <c r="R63" s="1">
        <v>30494.587</v>
      </c>
      <c r="S63" s="1">
        <v>30985.756000000001</v>
      </c>
      <c r="T63" s="1">
        <v>34418.156999999999</v>
      </c>
      <c r="U63" s="1">
        <v>34224.944000000003</v>
      </c>
      <c r="V63" s="1">
        <v>38455.892999999996</v>
      </c>
      <c r="W63" s="1">
        <v>40565.137999999999</v>
      </c>
      <c r="X63" s="1">
        <v>44708.281000000003</v>
      </c>
      <c r="Y63" s="1">
        <v>45398.196000000004</v>
      </c>
      <c r="Z63" s="1">
        <v>48028.733999999997</v>
      </c>
      <c r="AA63" s="1">
        <v>47835.633999999998</v>
      </c>
      <c r="AB63" s="1">
        <v>48976.423000000003</v>
      </c>
      <c r="AC63" s="1">
        <v>51953.184000000001</v>
      </c>
      <c r="AE63" s="1">
        <v>54652.478000000003</v>
      </c>
    </row>
    <row r="64" spans="1:31">
      <c r="A64" s="23" t="s">
        <v>78</v>
      </c>
      <c r="B64" s="23"/>
      <c r="C64" s="23"/>
      <c r="D64" s="23"/>
      <c r="E64" s="23"/>
      <c r="F64" s="44">
        <v>12115.334000000001</v>
      </c>
      <c r="G64" s="23"/>
      <c r="H64" s="23"/>
      <c r="I64" s="23">
        <v>13382.516</v>
      </c>
      <c r="J64" s="23"/>
      <c r="K64" s="23">
        <v>14793.829</v>
      </c>
      <c r="L64" s="23">
        <v>15680.288</v>
      </c>
      <c r="M64" s="23">
        <v>17108.625</v>
      </c>
      <c r="N64" s="23">
        <v>23464.727999999999</v>
      </c>
      <c r="O64" s="23">
        <v>17873.591</v>
      </c>
      <c r="P64" s="23">
        <v>26415.260999999999</v>
      </c>
      <c r="Q64" s="23">
        <v>28012.075000000001</v>
      </c>
      <c r="R64" s="23">
        <v>28674.241000000002</v>
      </c>
      <c r="S64" s="23">
        <v>32768.500999999997</v>
      </c>
      <c r="T64" s="23">
        <v>38952.298000000003</v>
      </c>
      <c r="U64" s="23">
        <v>37966.345000000001</v>
      </c>
      <c r="V64" s="23">
        <v>48280.817999999999</v>
      </c>
      <c r="W64" s="23">
        <v>50471.006000000001</v>
      </c>
      <c r="X64" s="23">
        <v>50923.271000000001</v>
      </c>
      <c r="Y64" s="23">
        <v>51464.425999999999</v>
      </c>
      <c r="Z64" s="23">
        <v>55676.067000000003</v>
      </c>
      <c r="AA64" s="23">
        <v>59592.510999999999</v>
      </c>
      <c r="AB64" s="23">
        <v>69237.948000000004</v>
      </c>
      <c r="AC64" s="23">
        <v>73032.754000000001</v>
      </c>
      <c r="AD64" s="23"/>
      <c r="AE64" s="23">
        <v>74139.27</v>
      </c>
    </row>
    <row r="65" spans="1:31">
      <c r="A65" s="45" t="s">
        <v>79</v>
      </c>
      <c r="B65" s="45"/>
      <c r="C65" s="45"/>
      <c r="D65" s="45"/>
      <c r="E65" s="45"/>
      <c r="F65" s="46">
        <v>6581.5519999999997</v>
      </c>
      <c r="G65" s="45"/>
      <c r="H65" s="45"/>
      <c r="I65" s="45">
        <v>4551.3</v>
      </c>
      <c r="J65" s="45"/>
      <c r="K65" s="45">
        <v>4864.8496699999996</v>
      </c>
      <c r="L65" s="45">
        <v>9359.8019999999997</v>
      </c>
      <c r="M65" s="45">
        <v>8590.25</v>
      </c>
      <c r="N65" s="45">
        <v>5033.3909999999996</v>
      </c>
      <c r="O65" s="45">
        <v>4014.8710000000001</v>
      </c>
      <c r="P65" s="45">
        <v>4320.1949999999997</v>
      </c>
      <c r="Q65" s="45">
        <v>7887.1980000000003</v>
      </c>
      <c r="R65" s="45">
        <v>8133.0140000000001</v>
      </c>
      <c r="S65" s="45">
        <v>8857.0750000000007</v>
      </c>
      <c r="T65" s="45">
        <v>9610.1080000000002</v>
      </c>
      <c r="U65" s="45">
        <v>8980.6769999999997</v>
      </c>
      <c r="V65" s="45">
        <v>10019</v>
      </c>
      <c r="W65" s="45">
        <v>10044.753000000001</v>
      </c>
      <c r="X65" s="23">
        <v>11605.866</v>
      </c>
      <c r="Y65" s="23">
        <v>12473.763999999999</v>
      </c>
      <c r="Z65" s="23">
        <v>7407.9350000000004</v>
      </c>
      <c r="AA65" s="23">
        <v>9487.8700000000008</v>
      </c>
      <c r="AB65" s="23">
        <v>11522.212</v>
      </c>
      <c r="AC65" s="23">
        <v>13095.141</v>
      </c>
      <c r="AD65" s="23"/>
      <c r="AE65" s="23">
        <v>15367.844999999999</v>
      </c>
    </row>
    <row r="67" spans="1:31">
      <c r="I67" s="19" t="s">
        <v>99</v>
      </c>
      <c r="J67" s="19" t="s">
        <v>100</v>
      </c>
      <c r="K67" s="19"/>
      <c r="L67" s="19" t="s">
        <v>101</v>
      </c>
      <c r="M67" s="19"/>
      <c r="N67" s="19"/>
      <c r="O67" s="19" t="s">
        <v>99</v>
      </c>
      <c r="P67" s="19" t="s">
        <v>99</v>
      </c>
      <c r="Q67" s="19" t="s">
        <v>99</v>
      </c>
      <c r="R67" s="19" t="s">
        <v>99</v>
      </c>
      <c r="S67" s="19"/>
      <c r="T67" s="19"/>
      <c r="U67" s="19"/>
      <c r="V67" s="19"/>
      <c r="W67" s="19"/>
    </row>
    <row r="68" spans="1:31">
      <c r="I68" s="1" t="s">
        <v>102</v>
      </c>
      <c r="J68" s="1" t="s">
        <v>103</v>
      </c>
      <c r="L68" s="1" t="s">
        <v>104</v>
      </c>
      <c r="O68" s="1" t="s">
        <v>102</v>
      </c>
      <c r="P68" s="1" t="s">
        <v>102</v>
      </c>
      <c r="Q68" s="1" t="s">
        <v>102</v>
      </c>
      <c r="R68" s="1" t="s">
        <v>102</v>
      </c>
    </row>
    <row r="69" spans="1:31">
      <c r="I69" s="1" t="s">
        <v>105</v>
      </c>
      <c r="J69" s="1" t="s">
        <v>106</v>
      </c>
      <c r="O69" s="1" t="s">
        <v>105</v>
      </c>
      <c r="P69" s="1" t="s">
        <v>105</v>
      </c>
      <c r="Q69" s="1" t="s">
        <v>105</v>
      </c>
      <c r="R69" s="1" t="s">
        <v>105</v>
      </c>
    </row>
    <row r="70" spans="1:31">
      <c r="J70" s="1" t="s">
        <v>107</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codeName="Sheet8">
    <tabColor theme="4" tint="0.39997558519241921"/>
  </sheetPr>
  <dimension ref="A1:AE70"/>
  <sheetViews>
    <sheetView showZeros="0" zoomScaleNormal="100" workbookViewId="0">
      <pane xSplit="1" ySplit="5" topLeftCell="U6" activePane="bottomRight" state="frozen"/>
      <selection pane="topRight" activeCell="AC65" sqref="AC65"/>
      <selection pane="bottomLeft" activeCell="AC65" sqref="AC65"/>
      <selection pane="bottomRight" activeCell="AE9" sqref="AE9:AE24"/>
    </sheetView>
  </sheetViews>
  <sheetFormatPr defaultColWidth="9.85546875" defaultRowHeight="12.75"/>
  <cols>
    <col min="1" max="1" width="23.42578125" style="43" customWidth="1"/>
    <col min="2" max="23" width="12.42578125" style="1" customWidth="1"/>
    <col min="24" max="24" width="10.85546875" style="1" customWidth="1"/>
    <col min="25" max="25" width="12.85546875" style="1" bestFit="1" customWidth="1"/>
    <col min="26" max="29" width="12.85546875" style="1" customWidth="1"/>
    <col min="30" max="31" width="12.42578125" style="1" customWidth="1"/>
    <col min="32" max="42" width="10.85546875" style="1" customWidth="1"/>
    <col min="43" max="16384" width="9.85546875" style="1"/>
  </cols>
  <sheetData>
    <row r="1" spans="1:31">
      <c r="A1" s="7" t="s">
        <v>94</v>
      </c>
      <c r="B1"/>
      <c r="C1"/>
      <c r="D1"/>
      <c r="E1"/>
      <c r="F1"/>
      <c r="G1"/>
      <c r="H1"/>
      <c r="I1"/>
      <c r="J1"/>
      <c r="K1"/>
      <c r="L1"/>
      <c r="M1"/>
      <c r="N1"/>
      <c r="O1"/>
      <c r="P1"/>
      <c r="Q1"/>
      <c r="R1"/>
      <c r="S1"/>
      <c r="T1"/>
      <c r="U1"/>
      <c r="V1"/>
      <c r="W1"/>
    </row>
    <row r="2" spans="1:31">
      <c r="A2" s="9"/>
      <c r="B2"/>
      <c r="C2"/>
      <c r="D2"/>
      <c r="E2"/>
      <c r="F2"/>
      <c r="G2"/>
      <c r="H2"/>
      <c r="I2"/>
      <c r="J2"/>
      <c r="K2"/>
      <c r="L2"/>
      <c r="M2"/>
      <c r="N2"/>
      <c r="O2"/>
      <c r="P2"/>
      <c r="Q2"/>
      <c r="R2"/>
      <c r="S2"/>
      <c r="T2"/>
      <c r="U2"/>
      <c r="V2"/>
      <c r="W2"/>
      <c r="AA2" s="1">
        <v>1000</v>
      </c>
    </row>
    <row r="3" spans="1:31">
      <c r="A3" s="1" t="s">
        <v>135</v>
      </c>
      <c r="B3"/>
      <c r="C3"/>
      <c r="D3"/>
      <c r="E3"/>
      <c r="F3"/>
      <c r="G3"/>
      <c r="H3"/>
      <c r="I3"/>
      <c r="J3"/>
      <c r="K3"/>
      <c r="L3"/>
      <c r="M3"/>
      <c r="N3"/>
      <c r="O3"/>
      <c r="P3"/>
      <c r="Q3"/>
      <c r="R3"/>
      <c r="S3"/>
      <c r="T3"/>
      <c r="U3"/>
      <c r="V3"/>
      <c r="W3"/>
    </row>
    <row r="4" spans="1:31" s="32" customFormat="1">
      <c r="B4" s="32">
        <v>1984</v>
      </c>
      <c r="C4" s="32">
        <v>1985</v>
      </c>
      <c r="D4" s="32">
        <v>1986</v>
      </c>
      <c r="E4" s="32">
        <v>1991</v>
      </c>
      <c r="F4" s="32">
        <v>1992</v>
      </c>
      <c r="G4" s="32">
        <v>1993</v>
      </c>
      <c r="H4" s="32">
        <v>1994</v>
      </c>
      <c r="I4" s="32">
        <v>1995</v>
      </c>
      <c r="J4" s="32">
        <v>1996</v>
      </c>
      <c r="K4" s="32">
        <v>1997</v>
      </c>
      <c r="L4" s="32">
        <v>2000</v>
      </c>
      <c r="M4" s="39">
        <v>2001</v>
      </c>
      <c r="N4" s="39">
        <v>2002</v>
      </c>
      <c r="O4" s="39">
        <v>2003</v>
      </c>
      <c r="P4" s="39">
        <v>2004</v>
      </c>
      <c r="Q4" s="32">
        <v>2005</v>
      </c>
      <c r="R4" s="32">
        <v>2006</v>
      </c>
      <c r="S4" s="39">
        <v>2007</v>
      </c>
      <c r="T4" s="39">
        <v>2008</v>
      </c>
      <c r="U4" s="39">
        <v>2009</v>
      </c>
      <c r="V4" s="39">
        <v>2010</v>
      </c>
      <c r="W4" s="39">
        <v>2011</v>
      </c>
      <c r="X4" s="32" t="s">
        <v>111</v>
      </c>
      <c r="Y4" s="32" t="s">
        <v>112</v>
      </c>
      <c r="Z4" s="32" t="s">
        <v>113</v>
      </c>
      <c r="AA4" s="32" t="s">
        <v>114</v>
      </c>
      <c r="AB4" s="95" t="s">
        <v>115</v>
      </c>
      <c r="AC4" s="95" t="s">
        <v>116</v>
      </c>
      <c r="AD4" s="96">
        <v>2018</v>
      </c>
      <c r="AE4" s="96">
        <v>2019</v>
      </c>
    </row>
    <row r="5" spans="1:31" s="8" customFormat="1">
      <c r="B5" s="8" t="s">
        <v>109</v>
      </c>
      <c r="C5" s="8" t="s">
        <v>109</v>
      </c>
      <c r="D5" s="8" t="s">
        <v>109</v>
      </c>
      <c r="E5" s="8" t="s">
        <v>109</v>
      </c>
      <c r="F5" s="8" t="s">
        <v>109</v>
      </c>
      <c r="G5" s="8" t="s">
        <v>109</v>
      </c>
      <c r="H5" s="8" t="s">
        <v>109</v>
      </c>
      <c r="I5" s="8" t="s">
        <v>109</v>
      </c>
      <c r="J5" s="8" t="s">
        <v>109</v>
      </c>
      <c r="K5" s="8" t="s">
        <v>109</v>
      </c>
      <c r="L5" s="8" t="s">
        <v>109</v>
      </c>
      <c r="M5" s="8" t="s">
        <v>109</v>
      </c>
      <c r="N5" s="8" t="s">
        <v>109</v>
      </c>
      <c r="O5" s="8" t="s">
        <v>109</v>
      </c>
      <c r="P5" s="8" t="s">
        <v>109</v>
      </c>
      <c r="Q5" s="8" t="s">
        <v>109</v>
      </c>
      <c r="R5" s="8" t="s">
        <v>109</v>
      </c>
      <c r="S5" s="8" t="s">
        <v>109</v>
      </c>
      <c r="T5" s="8" t="s">
        <v>109</v>
      </c>
      <c r="U5" s="8" t="s">
        <v>109</v>
      </c>
      <c r="V5" s="8" t="s">
        <v>109</v>
      </c>
      <c r="W5" s="8" t="s">
        <v>109</v>
      </c>
      <c r="X5" s="8" t="s">
        <v>109</v>
      </c>
      <c r="Y5" s="8" t="s">
        <v>109</v>
      </c>
      <c r="Z5" s="8" t="s">
        <v>109</v>
      </c>
      <c r="AA5" s="8" t="s">
        <v>109</v>
      </c>
      <c r="AB5" s="8" t="s">
        <v>109</v>
      </c>
      <c r="AC5" s="8" t="s">
        <v>109</v>
      </c>
      <c r="AD5" s="8" t="s">
        <v>109</v>
      </c>
      <c r="AE5" s="8" t="s">
        <v>109</v>
      </c>
    </row>
    <row r="6" spans="1:31">
      <c r="A6" s="23" t="s">
        <v>24</v>
      </c>
      <c r="B6" s="1">
        <v>775102</v>
      </c>
      <c r="C6" s="1">
        <v>842580</v>
      </c>
      <c r="D6" s="1">
        <v>920584</v>
      </c>
      <c r="E6" s="1">
        <v>1494583.094</v>
      </c>
      <c r="F6" s="48">
        <f>+F7+F25+F40+F54+F55</f>
        <v>1587201.267</v>
      </c>
      <c r="G6" s="1">
        <v>1797787.031</v>
      </c>
      <c r="H6" s="1">
        <v>1906801.6669999999</v>
      </c>
      <c r="I6" s="48">
        <f>+I7+I25+I40+I54+I55</f>
        <v>1923559.7099999997</v>
      </c>
      <c r="J6" s="1">
        <v>2173970.1150000002</v>
      </c>
      <c r="K6" s="48">
        <f t="shared" ref="K6:U6" si="0">+K7+K25+K40+K54+K55</f>
        <v>2242781.8574600006</v>
      </c>
      <c r="L6" s="48">
        <f t="shared" si="0"/>
        <v>2551965.3009999995</v>
      </c>
      <c r="M6" s="48">
        <f t="shared" si="0"/>
        <v>2786238.628</v>
      </c>
      <c r="N6" s="48">
        <f t="shared" si="0"/>
        <v>2838801.6030000001</v>
      </c>
      <c r="O6" s="48">
        <f t="shared" si="0"/>
        <v>2946185.4359999998</v>
      </c>
      <c r="P6" s="48">
        <f t="shared" si="0"/>
        <v>3036538.071</v>
      </c>
      <c r="Q6" s="48">
        <f t="shared" si="0"/>
        <v>3460856.0970000001</v>
      </c>
      <c r="R6" s="48">
        <f t="shared" si="0"/>
        <v>3639083.9119999995</v>
      </c>
      <c r="S6" s="48">
        <f t="shared" si="0"/>
        <v>3901066.358</v>
      </c>
      <c r="T6" s="48">
        <f t="shared" si="0"/>
        <v>4214526.3679999998</v>
      </c>
      <c r="U6" s="48">
        <f t="shared" si="0"/>
        <v>4685088.4159999993</v>
      </c>
      <c r="V6" s="48">
        <f t="shared" ref="V6:W6" si="1">+V7+V25+V40+V54+V55</f>
        <v>5515884.8159999996</v>
      </c>
      <c r="W6" s="48">
        <f t="shared" si="1"/>
        <v>5701678.3920000009</v>
      </c>
      <c r="X6" s="48">
        <f t="shared" ref="X6:Y6" si="2">+X7+X25+X40+X54+X55</f>
        <v>5822183.5049999999</v>
      </c>
      <c r="Y6" s="48">
        <f t="shared" si="2"/>
        <v>5038833.6170000006</v>
      </c>
      <c r="Z6" s="48">
        <f t="shared" ref="Z6:AA6" si="3">+Z7+Z25+Z40+Z54+Z55</f>
        <v>5244172.3339999998</v>
      </c>
      <c r="AA6" s="48">
        <f t="shared" si="3"/>
        <v>5422272.0829999996</v>
      </c>
      <c r="AB6" s="48">
        <f t="shared" ref="AB6:AC6" si="4">+AB7+AB25+AB40+AB54+AB55</f>
        <v>6640148.4789999994</v>
      </c>
      <c r="AC6" s="48">
        <f t="shared" si="4"/>
        <v>6802262.6919999998</v>
      </c>
      <c r="AD6" s="48">
        <f t="shared" ref="AD6:AE6" si="5">+AD7+AD25+AD40+AD54+AD65</f>
        <v>0</v>
      </c>
      <c r="AE6" s="48">
        <f t="shared" si="5"/>
        <v>7180002.1529999999</v>
      </c>
    </row>
    <row r="7" spans="1:31">
      <c r="A7" s="1" t="s">
        <v>25</v>
      </c>
      <c r="B7" s="47">
        <f>SUM(B8:B24)</f>
        <v>215005</v>
      </c>
      <c r="C7" s="47">
        <f t="shared" ref="C7:U7" si="6">SUM(C8:C24)</f>
        <v>232101</v>
      </c>
      <c r="D7" s="47">
        <f t="shared" si="6"/>
        <v>256495</v>
      </c>
      <c r="E7" s="47">
        <f t="shared" si="6"/>
        <v>404611.26900000009</v>
      </c>
      <c r="F7" s="47">
        <f t="shared" si="6"/>
        <v>429054.929</v>
      </c>
      <c r="G7" s="47">
        <f t="shared" si="6"/>
        <v>474875.93700000009</v>
      </c>
      <c r="H7" s="47">
        <f t="shared" si="6"/>
        <v>522360.60499999998</v>
      </c>
      <c r="I7" s="47">
        <f t="shared" si="6"/>
        <v>551569.87400000007</v>
      </c>
      <c r="J7" s="47">
        <f t="shared" si="6"/>
        <v>592551.14799999993</v>
      </c>
      <c r="K7" s="47">
        <f t="shared" si="6"/>
        <v>606061.12185</v>
      </c>
      <c r="L7" s="47">
        <f t="shared" si="6"/>
        <v>768650.77099999995</v>
      </c>
      <c r="M7" s="47">
        <f t="shared" si="6"/>
        <v>868617.55200000003</v>
      </c>
      <c r="N7" s="47">
        <f t="shared" si="6"/>
        <v>846868.22799999989</v>
      </c>
      <c r="O7" s="47">
        <f t="shared" si="6"/>
        <v>872823.61199999996</v>
      </c>
      <c r="P7" s="47">
        <f t="shared" si="6"/>
        <v>915887.95199999993</v>
      </c>
      <c r="Q7" s="47">
        <f t="shared" si="6"/>
        <v>1009867.49</v>
      </c>
      <c r="R7" s="47">
        <f t="shared" si="6"/>
        <v>1070373.8109999998</v>
      </c>
      <c r="S7" s="47">
        <f t="shared" si="6"/>
        <v>1163593.291</v>
      </c>
      <c r="T7" s="47">
        <f t="shared" si="6"/>
        <v>1281704.3199999998</v>
      </c>
      <c r="U7" s="47">
        <f t="shared" si="6"/>
        <v>1446840.6139999998</v>
      </c>
      <c r="V7" s="47">
        <f t="shared" ref="V7:W7" si="7">SUM(V8:V24)</f>
        <v>1739986.7560000001</v>
      </c>
      <c r="W7" s="47">
        <f t="shared" si="7"/>
        <v>1834847.773</v>
      </c>
      <c r="X7" s="47">
        <f t="shared" ref="X7:Y7" si="8">SUM(X8:X24)</f>
        <v>1889440.318</v>
      </c>
      <c r="Y7" s="47">
        <f t="shared" si="8"/>
        <v>1845607.8949999998</v>
      </c>
      <c r="Z7" s="47">
        <f t="shared" ref="Z7:AA7" si="9">SUM(Z8:Z24)</f>
        <v>1917972.7110000001</v>
      </c>
      <c r="AA7" s="47">
        <f t="shared" si="9"/>
        <v>1937965.1389999997</v>
      </c>
      <c r="AB7" s="47">
        <f t="shared" ref="AB7:AE7" si="10">SUM(AB8:AB24)</f>
        <v>2077563.889</v>
      </c>
      <c r="AC7" s="47">
        <f t="shared" si="10"/>
        <v>2007749.2229999998</v>
      </c>
      <c r="AD7" s="47">
        <f t="shared" si="10"/>
        <v>0</v>
      </c>
      <c r="AE7" s="47">
        <f t="shared" si="10"/>
        <v>2125235.0150000001</v>
      </c>
    </row>
    <row r="8" spans="1:31">
      <c r="A8" s="7" t="s">
        <v>97</v>
      </c>
    </row>
    <row r="9" spans="1:31">
      <c r="A9" s="1" t="s">
        <v>26</v>
      </c>
      <c r="B9" s="1">
        <v>10656</v>
      </c>
      <c r="C9" s="1">
        <v>13446</v>
      </c>
      <c r="D9" s="1">
        <v>15787</v>
      </c>
      <c r="E9" s="1">
        <v>27172.903999999999</v>
      </c>
      <c r="F9" s="41">
        <v>25791.47</v>
      </c>
      <c r="G9" s="1">
        <v>28598.18</v>
      </c>
      <c r="H9" s="1">
        <v>30714.486000000001</v>
      </c>
      <c r="I9" s="1">
        <v>32342.355</v>
      </c>
      <c r="J9" s="1">
        <v>35380.856</v>
      </c>
      <c r="K9" s="1">
        <v>34658.134840000006</v>
      </c>
      <c r="L9" s="1">
        <v>42421.55</v>
      </c>
      <c r="M9" s="1">
        <v>47340.921000000002</v>
      </c>
      <c r="N9" s="1">
        <v>44740.523000000001</v>
      </c>
      <c r="O9" s="1">
        <v>47183.012000000002</v>
      </c>
      <c r="P9" s="1">
        <v>48173.714999999997</v>
      </c>
      <c r="Q9" s="1">
        <v>50467.750999999997</v>
      </c>
      <c r="R9" s="1">
        <v>55288.398999999998</v>
      </c>
      <c r="S9" s="1">
        <v>62251.076999999997</v>
      </c>
      <c r="T9" s="1">
        <v>79516.838000000003</v>
      </c>
      <c r="U9" s="1">
        <v>82951.476999999999</v>
      </c>
      <c r="V9" s="1">
        <v>92570.968999999997</v>
      </c>
      <c r="W9" s="1">
        <v>94333.663</v>
      </c>
      <c r="X9" s="1">
        <v>93097.354999999996</v>
      </c>
      <c r="Y9" s="1">
        <v>86853.664999999994</v>
      </c>
      <c r="Z9" s="1">
        <v>87623.88</v>
      </c>
      <c r="AA9" s="1">
        <v>88815.02</v>
      </c>
      <c r="AB9" s="1">
        <v>86503.034</v>
      </c>
      <c r="AC9" s="1">
        <v>86591.532999999996</v>
      </c>
      <c r="AE9" s="1">
        <v>88533.937999999995</v>
      </c>
    </row>
    <row r="10" spans="1:31">
      <c r="A10" s="1" t="s">
        <v>27</v>
      </c>
      <c r="B10" s="1">
        <v>2210</v>
      </c>
      <c r="C10" s="1">
        <v>2633</v>
      </c>
      <c r="D10" s="1">
        <v>3055</v>
      </c>
      <c r="E10" s="1">
        <v>5131.1469999999999</v>
      </c>
      <c r="F10" s="41">
        <v>5954.7340000000004</v>
      </c>
      <c r="G10" s="1">
        <v>7530.49</v>
      </c>
      <c r="H10" s="1">
        <v>8142.991</v>
      </c>
      <c r="I10" s="1">
        <v>10098.424999999999</v>
      </c>
      <c r="J10" s="1">
        <v>14570.306</v>
      </c>
      <c r="K10" s="1">
        <v>13490.715</v>
      </c>
      <c r="L10" s="1">
        <v>18903.634999999998</v>
      </c>
      <c r="M10" s="1">
        <v>22041.567999999999</v>
      </c>
      <c r="N10" s="1">
        <v>21265.603999999999</v>
      </c>
      <c r="O10" s="1">
        <v>21819.448</v>
      </c>
      <c r="P10" s="1">
        <v>24145.48</v>
      </c>
      <c r="Q10" s="1">
        <v>24831.763999999999</v>
      </c>
      <c r="R10" s="1">
        <v>28440.190999999999</v>
      </c>
      <c r="S10" s="1">
        <v>35723.360000000001</v>
      </c>
      <c r="T10" s="1">
        <v>40687.387000000002</v>
      </c>
      <c r="U10" s="1">
        <v>42460.392999999996</v>
      </c>
      <c r="V10" s="1">
        <v>53628.637000000002</v>
      </c>
      <c r="W10" s="1">
        <v>57423.12</v>
      </c>
      <c r="X10" s="1">
        <v>58926.862000000001</v>
      </c>
      <c r="Y10" s="1">
        <v>58473.690999999999</v>
      </c>
      <c r="Z10" s="1">
        <v>57255.781000000003</v>
      </c>
      <c r="AA10" s="1">
        <v>57936.442999999999</v>
      </c>
      <c r="AB10" s="1">
        <v>54495.383999999998</v>
      </c>
      <c r="AC10" s="1">
        <v>54804.269</v>
      </c>
      <c r="AE10" s="1">
        <v>60396.633999999998</v>
      </c>
    </row>
    <row r="11" spans="1:31" ht="12" customHeight="1">
      <c r="A11" s="1" t="s">
        <v>28</v>
      </c>
      <c r="D11" s="1">
        <v>1989</v>
      </c>
      <c r="E11" s="1">
        <v>3580.0630000000001</v>
      </c>
      <c r="F11" s="41">
        <v>3853.8780000000002</v>
      </c>
      <c r="I11" s="1">
        <v>8610.2170000000006</v>
      </c>
      <c r="J11" s="1">
        <v>5628.116</v>
      </c>
      <c r="K11" s="1">
        <v>5807.0050000000001</v>
      </c>
      <c r="L11" s="1">
        <v>5859.3410000000003</v>
      </c>
      <c r="M11" s="1">
        <v>6435.5720000000001</v>
      </c>
      <c r="N11" s="1">
        <v>6625.6559999999999</v>
      </c>
      <c r="O11" s="1">
        <v>7893.0169999999998</v>
      </c>
      <c r="P11" s="1">
        <v>6910.0360000000001</v>
      </c>
      <c r="Q11" s="1">
        <v>7643.183</v>
      </c>
      <c r="R11" s="1">
        <v>8668.3889999999992</v>
      </c>
      <c r="S11" s="1">
        <v>7894.6350000000002</v>
      </c>
      <c r="T11" s="1">
        <v>9052.6280000000006</v>
      </c>
      <c r="U11" s="1">
        <v>8738.6149999999998</v>
      </c>
      <c r="V11" s="1">
        <v>9803.1180000000004</v>
      </c>
      <c r="W11" s="1">
        <v>10027.59</v>
      </c>
      <c r="X11" s="1">
        <v>10893.504999999999</v>
      </c>
      <c r="Y11" s="1">
        <v>11369.285</v>
      </c>
      <c r="Z11" s="1">
        <v>11837.51</v>
      </c>
      <c r="AA11" s="1">
        <v>11828.736000000001</v>
      </c>
      <c r="AB11" s="1">
        <v>12046.058000000001</v>
      </c>
      <c r="AC11" s="1">
        <v>12078.331</v>
      </c>
      <c r="AE11" s="1">
        <v>11649.764999999999</v>
      </c>
    </row>
    <row r="12" spans="1:31">
      <c r="A12" s="1" t="s">
        <v>29</v>
      </c>
      <c r="B12" s="1">
        <v>47099</v>
      </c>
      <c r="C12" s="1">
        <v>49203</v>
      </c>
      <c r="D12" s="1">
        <v>53875</v>
      </c>
      <c r="E12" s="1">
        <v>88254.462</v>
      </c>
      <c r="F12" s="41">
        <v>94695.578999999998</v>
      </c>
      <c r="G12" s="1">
        <v>104573.60400000001</v>
      </c>
      <c r="H12" s="1">
        <v>113450.663</v>
      </c>
      <c r="I12" s="1">
        <v>117129.266</v>
      </c>
      <c r="J12" s="1">
        <v>116948.43</v>
      </c>
      <c r="K12" s="1">
        <v>123887.708</v>
      </c>
      <c r="L12" s="1">
        <v>156823.92300000001</v>
      </c>
      <c r="M12" s="1">
        <v>183304.50399999999</v>
      </c>
      <c r="N12" s="1">
        <v>162638.91800000001</v>
      </c>
      <c r="O12" s="1">
        <v>142939.39300000001</v>
      </c>
      <c r="P12" s="1">
        <v>154643.179</v>
      </c>
      <c r="Q12" s="1">
        <v>162602.557</v>
      </c>
      <c r="R12" s="1">
        <v>169861.628</v>
      </c>
      <c r="S12" s="1">
        <v>196749.821</v>
      </c>
      <c r="T12" s="1">
        <v>196649.46</v>
      </c>
      <c r="U12" s="1">
        <v>311383.913</v>
      </c>
      <c r="V12" s="1">
        <v>317197.80099999998</v>
      </c>
      <c r="W12" s="1">
        <v>347857.826</v>
      </c>
      <c r="X12" s="1">
        <v>357768.54599999997</v>
      </c>
      <c r="Y12" s="1">
        <v>364586.63400000002</v>
      </c>
      <c r="Z12" s="1">
        <v>391564.179</v>
      </c>
      <c r="AA12" s="1">
        <v>381699.56</v>
      </c>
      <c r="AB12" s="1">
        <v>406444.179</v>
      </c>
      <c r="AC12" s="1">
        <v>410657.071</v>
      </c>
      <c r="AE12" s="1">
        <v>431201.51500000001</v>
      </c>
    </row>
    <row r="13" spans="1:31">
      <c r="A13" s="1" t="s">
        <v>30</v>
      </c>
      <c r="B13" s="1">
        <v>5704</v>
      </c>
      <c r="C13" s="1">
        <v>5950</v>
      </c>
      <c r="D13" s="1">
        <v>7243</v>
      </c>
      <c r="E13" s="1">
        <v>19352.126</v>
      </c>
      <c r="F13" s="41">
        <v>23412.66</v>
      </c>
      <c r="G13" s="1">
        <v>28345.544999999998</v>
      </c>
      <c r="H13" s="1">
        <v>33729.614000000001</v>
      </c>
      <c r="I13" s="1">
        <v>36479.864999999998</v>
      </c>
      <c r="J13" s="1">
        <v>29323.618999999999</v>
      </c>
      <c r="K13" s="1">
        <v>33080.897579999997</v>
      </c>
      <c r="L13" s="1">
        <v>50628.14</v>
      </c>
      <c r="M13" s="1">
        <v>56931.891000000003</v>
      </c>
      <c r="N13" s="1">
        <v>65383.491000000002</v>
      </c>
      <c r="O13" s="1">
        <v>71030.702000000005</v>
      </c>
      <c r="P13" s="1">
        <v>76104.759000000005</v>
      </c>
      <c r="Q13" s="1">
        <v>77552.578999999998</v>
      </c>
      <c r="R13" s="1">
        <v>83724.445999999996</v>
      </c>
      <c r="S13" s="1">
        <v>82831.519</v>
      </c>
      <c r="T13" s="1">
        <v>85761.066999999995</v>
      </c>
      <c r="U13" s="1">
        <v>43447.207999999999</v>
      </c>
      <c r="V13" s="1">
        <v>118458.03</v>
      </c>
      <c r="W13" s="1">
        <v>126982.916</v>
      </c>
      <c r="X13" s="1">
        <v>142102.20600000001</v>
      </c>
      <c r="Y13" s="1">
        <v>49671.881000000001</v>
      </c>
      <c r="Z13" s="1">
        <v>55703.682999999997</v>
      </c>
      <c r="AA13" s="1">
        <v>56852.11</v>
      </c>
      <c r="AB13" s="1">
        <v>133851.17199999999</v>
      </c>
      <c r="AC13" s="1">
        <v>43585.521999999997</v>
      </c>
      <c r="AE13" s="1">
        <v>39474.201999999997</v>
      </c>
    </row>
    <row r="14" spans="1:31">
      <c r="A14" s="1" t="s">
        <v>31</v>
      </c>
      <c r="B14" s="1">
        <v>2679</v>
      </c>
      <c r="C14" s="1">
        <v>1096</v>
      </c>
      <c r="D14" s="1">
        <v>926</v>
      </c>
      <c r="E14" s="1">
        <v>5337.8119999999999</v>
      </c>
      <c r="F14" s="41">
        <v>6815.2529999999997</v>
      </c>
      <c r="G14" s="1">
        <v>6603.7380000000003</v>
      </c>
      <c r="H14" s="1">
        <v>6757.1319999999996</v>
      </c>
      <c r="I14" s="1">
        <v>7461.8450000000003</v>
      </c>
      <c r="J14" s="1">
        <v>7944.482</v>
      </c>
      <c r="K14" s="1">
        <v>9456.2080000000005</v>
      </c>
      <c r="L14" s="1">
        <v>18793.048999999999</v>
      </c>
      <c r="M14" s="1">
        <v>27814.814999999999</v>
      </c>
      <c r="N14" s="1">
        <v>1710.0119999999999</v>
      </c>
      <c r="O14" s="1">
        <v>2080.7759999999998</v>
      </c>
      <c r="P14" s="1">
        <v>2256.9899999999998</v>
      </c>
      <c r="Q14" s="1">
        <v>34003.557000000001</v>
      </c>
      <c r="R14" s="1">
        <v>35612.332999999999</v>
      </c>
      <c r="S14" s="1">
        <v>38289.050000000003</v>
      </c>
      <c r="T14" s="1">
        <v>46901.226999999999</v>
      </c>
      <c r="U14" s="1">
        <v>44435.241000000002</v>
      </c>
      <c r="V14" s="1">
        <v>57387.040000000001</v>
      </c>
      <c r="W14" s="1">
        <v>61141.767</v>
      </c>
      <c r="X14" s="1">
        <v>62128.248</v>
      </c>
      <c r="Y14" s="1">
        <v>59741.987999999998</v>
      </c>
      <c r="Z14" s="1">
        <v>56716.951000000001</v>
      </c>
      <c r="AA14" s="1">
        <v>57649.83</v>
      </c>
      <c r="AB14" s="1">
        <v>63443.773000000001</v>
      </c>
      <c r="AC14" s="1">
        <v>54696.228999999999</v>
      </c>
      <c r="AE14" s="1">
        <v>51873.987999999998</v>
      </c>
    </row>
    <row r="15" spans="1:31">
      <c r="A15" s="1" t="s">
        <v>32</v>
      </c>
      <c r="B15" s="1">
        <v>2563</v>
      </c>
      <c r="C15" s="1">
        <v>2835</v>
      </c>
      <c r="D15" s="1">
        <v>2925</v>
      </c>
      <c r="E15" s="1">
        <v>3970.7719999999999</v>
      </c>
      <c r="F15" s="41">
        <v>4331.7359999999999</v>
      </c>
      <c r="G15" s="1">
        <v>5180.8999999999996</v>
      </c>
      <c r="H15" s="1">
        <v>5503.05</v>
      </c>
      <c r="I15" s="1">
        <v>5854.1409999999996</v>
      </c>
      <c r="J15" s="1">
        <v>10327.201999999999</v>
      </c>
      <c r="K15" s="1">
        <v>9713.2338699999982</v>
      </c>
      <c r="L15" s="1">
        <v>15226.955</v>
      </c>
      <c r="M15" s="1">
        <v>17608.981</v>
      </c>
      <c r="N15" s="1">
        <v>21595.123</v>
      </c>
      <c r="O15" s="1">
        <v>29314.675999999999</v>
      </c>
      <c r="P15" s="1">
        <v>32521.072</v>
      </c>
      <c r="Q15" s="1">
        <v>31924.047999999999</v>
      </c>
      <c r="R15" s="1">
        <v>32003.172999999999</v>
      </c>
      <c r="S15" s="1">
        <v>34400.978999999999</v>
      </c>
      <c r="T15" s="1">
        <v>43564.803999999996</v>
      </c>
      <c r="U15" s="1">
        <v>36132.74</v>
      </c>
      <c r="V15" s="1">
        <v>44662.694000000003</v>
      </c>
      <c r="W15" s="1">
        <v>43326.267</v>
      </c>
      <c r="X15" s="1">
        <v>43587.582000000002</v>
      </c>
      <c r="Y15" s="1">
        <v>34349.207000000002</v>
      </c>
      <c r="Z15" s="1">
        <v>33495.161</v>
      </c>
      <c r="AA15" s="1">
        <v>35955.129999999997</v>
      </c>
      <c r="AB15" s="1">
        <v>44859.775000000001</v>
      </c>
      <c r="AC15" s="1">
        <v>34044.735000000001</v>
      </c>
      <c r="AE15" s="1">
        <v>36701.660000000003</v>
      </c>
    </row>
    <row r="16" spans="1:31">
      <c r="A16" s="1" t="s">
        <v>33</v>
      </c>
      <c r="B16" s="1">
        <v>20853</v>
      </c>
      <c r="C16" s="1">
        <v>21363</v>
      </c>
      <c r="D16" s="1">
        <v>23440</v>
      </c>
      <c r="E16" s="1">
        <v>34991.697999999997</v>
      </c>
      <c r="F16" s="41">
        <v>28042.714</v>
      </c>
      <c r="G16" s="1">
        <v>37207.970999999998</v>
      </c>
      <c r="H16" s="1">
        <v>40089.620999999999</v>
      </c>
      <c r="I16" s="1">
        <v>33734.222000000002</v>
      </c>
      <c r="J16" s="1">
        <v>43673.156000000003</v>
      </c>
      <c r="K16" s="1">
        <v>43453.504999999997</v>
      </c>
      <c r="L16" s="1">
        <v>54767.883000000002</v>
      </c>
      <c r="M16" s="1">
        <v>59941.42</v>
      </c>
      <c r="N16" s="1">
        <v>65805.361000000004</v>
      </c>
      <c r="O16" s="1">
        <v>73014.372000000003</v>
      </c>
      <c r="P16" s="1">
        <v>75497.278999999995</v>
      </c>
      <c r="Q16" s="1">
        <v>80055.627999999997</v>
      </c>
      <c r="R16" s="1">
        <v>84563.119000000006</v>
      </c>
      <c r="S16" s="1">
        <v>92981.918000000005</v>
      </c>
      <c r="T16" s="1">
        <v>100077.761</v>
      </c>
      <c r="U16" s="1">
        <v>116051.394</v>
      </c>
      <c r="V16" s="1">
        <v>127851.265</v>
      </c>
      <c r="W16" s="1">
        <v>135083.951</v>
      </c>
      <c r="X16" s="1">
        <v>145659.87100000001</v>
      </c>
      <c r="Y16" s="1">
        <v>148519.533</v>
      </c>
      <c r="Z16" s="1">
        <v>154717.217</v>
      </c>
      <c r="AA16" s="1">
        <v>159913.22700000001</v>
      </c>
      <c r="AB16" s="1">
        <v>160185.41399999999</v>
      </c>
      <c r="AC16" s="1">
        <v>155781.736</v>
      </c>
      <c r="AE16" s="1">
        <v>159333.356</v>
      </c>
    </row>
    <row r="17" spans="1:31">
      <c r="A17" s="1" t="s">
        <v>34</v>
      </c>
      <c r="B17" s="1">
        <v>11458</v>
      </c>
      <c r="C17" s="1">
        <v>10987</v>
      </c>
      <c r="D17" s="1">
        <v>12201</v>
      </c>
      <c r="E17" s="1">
        <v>18918.142</v>
      </c>
      <c r="F17" s="41">
        <v>19019.035</v>
      </c>
      <c r="G17" s="1">
        <v>20186.917000000001</v>
      </c>
      <c r="H17" s="1">
        <v>22387.745999999999</v>
      </c>
      <c r="I17" s="1">
        <v>27811.074000000001</v>
      </c>
      <c r="J17" s="1">
        <v>30879.891</v>
      </c>
      <c r="K17" s="1">
        <v>31720.042000000001</v>
      </c>
      <c r="L17" s="1">
        <v>35118.22</v>
      </c>
      <c r="M17" s="1">
        <v>37013.256000000001</v>
      </c>
      <c r="N17" s="1">
        <v>34439.26</v>
      </c>
      <c r="O17" s="1">
        <v>36051.241999999998</v>
      </c>
      <c r="P17" s="1">
        <v>39732.735999999997</v>
      </c>
      <c r="Q17" s="1">
        <v>40445.171000000002</v>
      </c>
      <c r="R17" s="1">
        <v>40900.557999999997</v>
      </c>
      <c r="S17" s="1">
        <v>47024.838000000003</v>
      </c>
      <c r="T17" s="1">
        <v>51188.521000000001</v>
      </c>
      <c r="U17" s="1">
        <v>56554.641000000003</v>
      </c>
      <c r="V17" s="1">
        <v>65346.703000000001</v>
      </c>
      <c r="W17" s="1">
        <v>66351.600000000006</v>
      </c>
      <c r="X17" s="1">
        <v>69673.046000000002</v>
      </c>
      <c r="Y17" s="1">
        <v>72559.457999999999</v>
      </c>
      <c r="Z17" s="1">
        <v>72775.520999999993</v>
      </c>
      <c r="AA17" s="1">
        <v>78238.362999999998</v>
      </c>
      <c r="AB17" s="1">
        <v>80692.722999999998</v>
      </c>
      <c r="AC17" s="1">
        <v>85619.986000000004</v>
      </c>
      <c r="AE17" s="1">
        <v>80230.732999999993</v>
      </c>
    </row>
    <row r="18" spans="1:31">
      <c r="A18" s="1" t="s">
        <v>35</v>
      </c>
      <c r="B18" s="1">
        <v>19607</v>
      </c>
      <c r="C18" s="1">
        <v>21999</v>
      </c>
      <c r="D18" s="1">
        <v>24285</v>
      </c>
      <c r="E18" s="1">
        <v>36031.214</v>
      </c>
      <c r="F18" s="41">
        <v>38063.112000000001</v>
      </c>
      <c r="G18" s="1">
        <v>43462.3</v>
      </c>
      <c r="H18" s="1">
        <v>46410.493999999999</v>
      </c>
      <c r="I18" s="1">
        <v>46704.099000000002</v>
      </c>
      <c r="J18" s="1">
        <v>47805.981</v>
      </c>
      <c r="K18" s="1">
        <v>49760.348450000005</v>
      </c>
      <c r="L18" s="1">
        <v>68019.032999999996</v>
      </c>
      <c r="M18" s="1">
        <v>64641.224999999999</v>
      </c>
      <c r="N18" s="1">
        <v>60882.18</v>
      </c>
      <c r="O18" s="1">
        <v>68891.572</v>
      </c>
      <c r="P18" s="1">
        <v>72523.837</v>
      </c>
      <c r="Q18" s="1">
        <v>81209.342000000004</v>
      </c>
      <c r="R18" s="1">
        <v>89399.796000000002</v>
      </c>
      <c r="S18" s="1">
        <v>93137.339000000007</v>
      </c>
      <c r="T18" s="1">
        <v>98927.547999999995</v>
      </c>
      <c r="U18" s="1">
        <v>104127.25</v>
      </c>
      <c r="V18" s="1">
        <v>125198.798</v>
      </c>
      <c r="W18" s="1">
        <v>133252.649</v>
      </c>
      <c r="X18" s="1">
        <v>143275.128</v>
      </c>
      <c r="Y18" s="1">
        <v>154806.26199999999</v>
      </c>
      <c r="Z18" s="1">
        <v>153359.84899999999</v>
      </c>
      <c r="AA18" s="1">
        <v>153886.549</v>
      </c>
      <c r="AB18" s="1">
        <v>152292.44</v>
      </c>
      <c r="AC18" s="1">
        <v>157658.40100000001</v>
      </c>
      <c r="AE18" s="1">
        <v>179621.58</v>
      </c>
    </row>
    <row r="19" spans="1:31">
      <c r="A19" s="1" t="s">
        <v>36</v>
      </c>
      <c r="B19" s="1">
        <v>6948</v>
      </c>
      <c r="C19" s="1">
        <v>7248</v>
      </c>
      <c r="D19" s="1">
        <v>8222</v>
      </c>
      <c r="E19" s="1">
        <v>12435.403</v>
      </c>
      <c r="F19" s="41">
        <v>14723.955</v>
      </c>
      <c r="G19" s="1">
        <v>14449.800999999999</v>
      </c>
      <c r="H19" s="1">
        <v>15501.637000000001</v>
      </c>
      <c r="I19" s="1">
        <v>17076.774000000001</v>
      </c>
      <c r="J19" s="1">
        <v>17488.560000000001</v>
      </c>
      <c r="K19" s="1">
        <v>19964.940830000007</v>
      </c>
      <c r="L19" s="1">
        <v>23113.078000000001</v>
      </c>
      <c r="M19" s="1">
        <v>35870.343000000001</v>
      </c>
      <c r="N19" s="1">
        <v>29154.136999999999</v>
      </c>
      <c r="O19" s="1">
        <v>27056.01</v>
      </c>
      <c r="P19" s="1">
        <v>26468.885999999999</v>
      </c>
      <c r="Q19" s="1">
        <v>29353.427</v>
      </c>
      <c r="R19" s="1">
        <v>31509.302</v>
      </c>
      <c r="S19" s="1">
        <v>32115.325000000001</v>
      </c>
      <c r="T19" s="1">
        <v>37127.881999999998</v>
      </c>
      <c r="U19" s="1">
        <v>43152.053</v>
      </c>
      <c r="V19" s="1">
        <v>51025.218999999997</v>
      </c>
      <c r="W19" s="1">
        <v>55065.671999999999</v>
      </c>
      <c r="X19" s="1">
        <v>50959.828999999998</v>
      </c>
      <c r="Y19" s="1">
        <v>51523.74</v>
      </c>
      <c r="Z19" s="1">
        <v>55344.188000000002</v>
      </c>
      <c r="AA19" s="1">
        <v>52458.591</v>
      </c>
      <c r="AB19" s="1">
        <v>49419.01</v>
      </c>
      <c r="AC19" s="1">
        <v>50349.453999999998</v>
      </c>
      <c r="AE19" s="1">
        <v>59401.552000000003</v>
      </c>
    </row>
    <row r="20" spans="1:31">
      <c r="A20" s="1" t="s">
        <v>37</v>
      </c>
      <c r="B20" s="1">
        <v>10110</v>
      </c>
      <c r="C20" s="1">
        <v>12184</v>
      </c>
      <c r="D20" s="1">
        <v>13460</v>
      </c>
      <c r="E20" s="1">
        <v>18864.028999999999</v>
      </c>
      <c r="F20" s="41">
        <v>21726.866000000002</v>
      </c>
      <c r="G20" s="1">
        <v>21595.312999999998</v>
      </c>
      <c r="H20" s="1">
        <v>25208.121999999999</v>
      </c>
      <c r="I20" s="1">
        <v>27897.993999999999</v>
      </c>
      <c r="J20" s="1">
        <v>31044.352999999999</v>
      </c>
      <c r="K20" s="1">
        <v>30925.513999999999</v>
      </c>
      <c r="L20" s="1">
        <v>41240.696000000004</v>
      </c>
      <c r="M20" s="1">
        <v>43607.796999999999</v>
      </c>
      <c r="N20" s="1">
        <v>46441.826999999997</v>
      </c>
      <c r="O20" s="1">
        <v>47279.671000000002</v>
      </c>
      <c r="P20" s="1">
        <v>49052.934000000001</v>
      </c>
      <c r="Q20" s="1">
        <v>53454.362999999998</v>
      </c>
      <c r="R20" s="1">
        <v>55931.400999999998</v>
      </c>
      <c r="S20" s="1">
        <v>61003.781000000003</v>
      </c>
      <c r="T20" s="1">
        <v>66349.024999999994</v>
      </c>
      <c r="U20" s="1">
        <v>82805.111000000004</v>
      </c>
      <c r="V20" s="1">
        <v>83874.820999999996</v>
      </c>
      <c r="W20" s="1">
        <v>83671.339000000007</v>
      </c>
      <c r="X20" s="1">
        <v>85950.894</v>
      </c>
      <c r="Y20" s="1">
        <v>91547.509000000005</v>
      </c>
      <c r="Z20" s="1">
        <v>92730.357000000004</v>
      </c>
      <c r="AA20" s="1">
        <v>96650.142999999996</v>
      </c>
      <c r="AB20" s="1">
        <v>96353.430999999997</v>
      </c>
      <c r="AC20" s="1">
        <v>95534.264999999999</v>
      </c>
      <c r="AE20" s="1">
        <v>94028.03</v>
      </c>
    </row>
    <row r="21" spans="1:31" s="23" customFormat="1">
      <c r="A21" s="1" t="s">
        <v>38</v>
      </c>
      <c r="B21" s="1">
        <v>9652</v>
      </c>
      <c r="C21" s="1">
        <v>11204</v>
      </c>
      <c r="D21" s="1">
        <v>12231</v>
      </c>
      <c r="E21" s="1">
        <v>19579.682000000001</v>
      </c>
      <c r="F21" s="41">
        <v>20434.478999999999</v>
      </c>
      <c r="G21" s="1">
        <v>22425.019</v>
      </c>
      <c r="H21" s="1">
        <v>25968.633000000002</v>
      </c>
      <c r="I21" s="1">
        <v>26782.27</v>
      </c>
      <c r="J21" s="1">
        <v>29720.608</v>
      </c>
      <c r="K21" s="1">
        <v>28983.296999999999</v>
      </c>
      <c r="L21" s="1">
        <v>31892.556</v>
      </c>
      <c r="M21" s="1">
        <v>36282.086000000003</v>
      </c>
      <c r="N21" s="1">
        <v>36485.947999999997</v>
      </c>
      <c r="O21" s="1">
        <v>39010.264999999999</v>
      </c>
      <c r="P21" s="1">
        <v>39984.663</v>
      </c>
      <c r="Q21" s="1">
        <v>42694.150999999998</v>
      </c>
      <c r="R21" s="1">
        <v>45341.796000000002</v>
      </c>
      <c r="S21" s="1">
        <v>48086.896999999997</v>
      </c>
      <c r="T21" s="1">
        <v>52573.241000000002</v>
      </c>
      <c r="U21" s="1">
        <v>56548.997000000003</v>
      </c>
      <c r="V21" s="1">
        <v>62275.993000000002</v>
      </c>
      <c r="W21" s="1">
        <v>65184.49</v>
      </c>
      <c r="X21" s="1">
        <v>63789.71</v>
      </c>
      <c r="Y21" s="1">
        <v>67853.464000000007</v>
      </c>
      <c r="Z21" s="1">
        <v>68710.399000000005</v>
      </c>
      <c r="AA21" s="1">
        <v>64296.684999999998</v>
      </c>
      <c r="AB21" s="1">
        <v>63892.964999999997</v>
      </c>
      <c r="AC21" s="1">
        <v>71994.039999999994</v>
      </c>
      <c r="AD21" s="1"/>
      <c r="AE21" s="1">
        <v>74169.277000000002</v>
      </c>
    </row>
    <row r="22" spans="1:31">
      <c r="A22" s="1" t="s">
        <v>39</v>
      </c>
      <c r="B22" s="1">
        <v>49244</v>
      </c>
      <c r="C22" s="1">
        <v>52778</v>
      </c>
      <c r="D22" s="1">
        <v>57052</v>
      </c>
      <c r="E22" s="1">
        <v>84881.623000000007</v>
      </c>
      <c r="F22" s="41">
        <v>95880.442999999999</v>
      </c>
      <c r="G22" s="1">
        <v>107480.243</v>
      </c>
      <c r="H22" s="1">
        <v>119889.65300000001</v>
      </c>
      <c r="I22" s="1">
        <v>123730.716</v>
      </c>
      <c r="J22" s="1">
        <v>140665.97399999999</v>
      </c>
      <c r="K22" s="1">
        <v>138269.155</v>
      </c>
      <c r="L22" s="1">
        <v>164754.82800000001</v>
      </c>
      <c r="M22" s="1">
        <v>184902.459</v>
      </c>
      <c r="N22" s="1">
        <v>207210.095</v>
      </c>
      <c r="O22" s="1">
        <v>215759.36799999999</v>
      </c>
      <c r="P22" s="1">
        <v>221228.33799999999</v>
      </c>
      <c r="Q22" s="1">
        <v>240463.87400000001</v>
      </c>
      <c r="R22" s="1">
        <v>253565.875</v>
      </c>
      <c r="S22" s="1">
        <v>267408.80800000002</v>
      </c>
      <c r="T22" s="1">
        <v>296366.08399999997</v>
      </c>
      <c r="U22" s="1">
        <v>336877.21899999998</v>
      </c>
      <c r="V22" s="1">
        <v>440293.20699999999</v>
      </c>
      <c r="W22" s="1">
        <v>453621.25599999999</v>
      </c>
      <c r="X22" s="1">
        <v>451367.51699999999</v>
      </c>
      <c r="Y22" s="1">
        <v>473749.40700000001</v>
      </c>
      <c r="Z22" s="1">
        <v>498851.95899999997</v>
      </c>
      <c r="AA22" s="1">
        <v>507249.01199999999</v>
      </c>
      <c r="AB22" s="1">
        <v>534899.85</v>
      </c>
      <c r="AC22" s="1">
        <v>555972.13699999999</v>
      </c>
      <c r="AE22" s="1">
        <v>615925.05700000003</v>
      </c>
    </row>
    <row r="23" spans="1:31">
      <c r="A23" s="1" t="s">
        <v>40</v>
      </c>
      <c r="B23" s="1">
        <v>14666</v>
      </c>
      <c r="C23" s="1">
        <v>17417</v>
      </c>
      <c r="D23" s="1">
        <v>18092</v>
      </c>
      <c r="E23" s="1">
        <v>23965.575000000001</v>
      </c>
      <c r="F23" s="41">
        <v>23830.32</v>
      </c>
      <c r="G23" s="1">
        <v>24835.916000000001</v>
      </c>
      <c r="H23" s="1">
        <v>25846.826000000001</v>
      </c>
      <c r="I23" s="1">
        <v>26712.705999999998</v>
      </c>
      <c r="J23" s="1">
        <v>27837.223000000002</v>
      </c>
      <c r="K23" s="1">
        <v>29430.567999999999</v>
      </c>
      <c r="L23" s="1">
        <v>37400.455999999998</v>
      </c>
      <c r="M23" s="1">
        <v>40695.353999999999</v>
      </c>
      <c r="N23" s="1">
        <v>38760.373</v>
      </c>
      <c r="O23" s="1">
        <v>39126.040999999997</v>
      </c>
      <c r="P23" s="1">
        <v>43768.125999999997</v>
      </c>
      <c r="Q23" s="1">
        <v>48147.466999999997</v>
      </c>
      <c r="R23" s="1">
        <v>49965.557000000001</v>
      </c>
      <c r="S23" s="1">
        <v>56186.648000000001</v>
      </c>
      <c r="T23" s="1">
        <v>69334.471000000005</v>
      </c>
      <c r="U23" s="1">
        <v>73160.635999999999</v>
      </c>
      <c r="V23" s="1">
        <v>78632.013000000006</v>
      </c>
      <c r="W23" s="1">
        <v>87142.269</v>
      </c>
      <c r="X23" s="1">
        <v>96342.354000000007</v>
      </c>
      <c r="Y23" s="1">
        <v>106001.264</v>
      </c>
      <c r="Z23" s="1">
        <v>113937.26300000001</v>
      </c>
      <c r="AA23" s="1">
        <v>120952.239</v>
      </c>
      <c r="AB23" s="1">
        <v>125624.4</v>
      </c>
      <c r="AC23" s="1">
        <v>125717.16899999999</v>
      </c>
      <c r="AE23" s="1">
        <v>128793.697</v>
      </c>
    </row>
    <row r="24" spans="1:31">
      <c r="A24" s="23" t="s">
        <v>41</v>
      </c>
      <c r="B24" s="23">
        <v>1556</v>
      </c>
      <c r="C24" s="23">
        <v>1758</v>
      </c>
      <c r="D24" s="23">
        <v>1712</v>
      </c>
      <c r="E24" s="23">
        <v>2144.6170000000002</v>
      </c>
      <c r="F24" s="44">
        <v>2478.6950000000002</v>
      </c>
      <c r="G24" s="23">
        <v>2400</v>
      </c>
      <c r="H24" s="23">
        <v>2759.9369999999999</v>
      </c>
      <c r="I24" s="23">
        <v>3143.9050000000002</v>
      </c>
      <c r="J24" s="23">
        <v>3312.3910000000001</v>
      </c>
      <c r="K24" s="23">
        <v>3459.8492800000013</v>
      </c>
      <c r="L24" s="23">
        <v>3687.4279999999999</v>
      </c>
      <c r="M24" s="23">
        <v>4185.3599999999997</v>
      </c>
      <c r="N24" s="23">
        <v>3729.72</v>
      </c>
      <c r="O24" s="23">
        <v>4374.0469999999996</v>
      </c>
      <c r="P24" s="23">
        <v>2875.922</v>
      </c>
      <c r="Q24" s="23">
        <v>5018.6279999999997</v>
      </c>
      <c r="R24" s="23">
        <v>5597.848</v>
      </c>
      <c r="S24" s="23">
        <v>7507.2960000000003</v>
      </c>
      <c r="T24" s="23">
        <v>7626.3760000000002</v>
      </c>
      <c r="U24" s="23">
        <v>8013.7259999999997</v>
      </c>
      <c r="V24" s="23">
        <v>11780.448</v>
      </c>
      <c r="W24" s="23">
        <v>14381.397999999999</v>
      </c>
      <c r="X24" s="23">
        <v>13917.665000000001</v>
      </c>
      <c r="Y24" s="23">
        <v>14000.906999999999</v>
      </c>
      <c r="Z24" s="23">
        <v>13348.813</v>
      </c>
      <c r="AA24" s="23">
        <v>13583.501</v>
      </c>
      <c r="AB24" s="23">
        <v>12560.281000000001</v>
      </c>
      <c r="AC24" s="23">
        <v>12664.344999999999</v>
      </c>
      <c r="AD24" s="23"/>
      <c r="AE24" s="23">
        <v>13900.031000000001</v>
      </c>
    </row>
    <row r="25" spans="1:31">
      <c r="A25" s="7" t="s">
        <v>42</v>
      </c>
      <c r="B25" s="47">
        <f>SUM(B27:B39)</f>
        <v>0</v>
      </c>
      <c r="C25" s="47">
        <f t="shared" ref="C25:AC25" si="11">SUM(C27:C39)</f>
        <v>0</v>
      </c>
      <c r="D25" s="47">
        <f t="shared" si="11"/>
        <v>0</v>
      </c>
      <c r="E25" s="47">
        <f t="shared" si="11"/>
        <v>0</v>
      </c>
      <c r="F25" s="47">
        <f t="shared" si="11"/>
        <v>557227.31599999999</v>
      </c>
      <c r="G25" s="47">
        <f t="shared" si="11"/>
        <v>0</v>
      </c>
      <c r="H25" s="47">
        <f t="shared" si="11"/>
        <v>0</v>
      </c>
      <c r="I25" s="47">
        <f t="shared" si="11"/>
        <v>658658.31999999983</v>
      </c>
      <c r="J25" s="47">
        <f t="shared" si="11"/>
        <v>0</v>
      </c>
      <c r="K25" s="47">
        <f t="shared" si="11"/>
        <v>807633.8634400001</v>
      </c>
      <c r="L25" s="47">
        <f t="shared" si="11"/>
        <v>829105.39899999998</v>
      </c>
      <c r="M25" s="47">
        <f t="shared" si="11"/>
        <v>904328.28899999987</v>
      </c>
      <c r="N25" s="47">
        <f t="shared" si="11"/>
        <v>910685.65599999996</v>
      </c>
      <c r="O25" s="47">
        <f t="shared" si="11"/>
        <v>916813.84499999986</v>
      </c>
      <c r="P25" s="47">
        <f t="shared" si="11"/>
        <v>882585.34</v>
      </c>
      <c r="Q25" s="47">
        <f t="shared" si="11"/>
        <v>1173331.952</v>
      </c>
      <c r="R25" s="47">
        <f t="shared" si="11"/>
        <v>1227489.1740000001</v>
      </c>
      <c r="S25" s="47">
        <f t="shared" si="11"/>
        <v>1332732.9880000001</v>
      </c>
      <c r="T25" s="47">
        <f t="shared" si="11"/>
        <v>1465485.4709999999</v>
      </c>
      <c r="U25" s="47">
        <f t="shared" si="11"/>
        <v>1611805.9449999998</v>
      </c>
      <c r="V25" s="47">
        <f t="shared" si="11"/>
        <v>1765344.754</v>
      </c>
      <c r="W25" s="47">
        <f t="shared" si="11"/>
        <v>1806450.7800000003</v>
      </c>
      <c r="X25" s="47">
        <f t="shared" si="11"/>
        <v>1834357.0599999998</v>
      </c>
      <c r="Y25" s="47">
        <f t="shared" si="11"/>
        <v>1365128.7660000001</v>
      </c>
      <c r="Z25" s="47">
        <f t="shared" si="11"/>
        <v>1442425.841</v>
      </c>
      <c r="AA25" s="47">
        <f t="shared" si="11"/>
        <v>1546483.5819999997</v>
      </c>
      <c r="AB25" s="47">
        <f t="shared" si="11"/>
        <v>2302076.165</v>
      </c>
      <c r="AC25" s="47">
        <f t="shared" si="11"/>
        <v>2479813.923</v>
      </c>
      <c r="AD25" s="47">
        <f t="shared" ref="AD25:AE25" si="12">SUM(AD27:AD39)</f>
        <v>0</v>
      </c>
      <c r="AE25" s="47">
        <f t="shared" si="12"/>
        <v>2687392.2119999994</v>
      </c>
    </row>
    <row r="26" spans="1:31">
      <c r="A26" s="7" t="s">
        <v>97</v>
      </c>
      <c r="X26" s="1">
        <v>0</v>
      </c>
      <c r="AB26" s="1">
        <v>0</v>
      </c>
      <c r="AC26" s="1">
        <v>0</v>
      </c>
    </row>
    <row r="27" spans="1:31">
      <c r="A27" s="1" t="s">
        <v>43</v>
      </c>
      <c r="F27" s="41">
        <v>272.399</v>
      </c>
      <c r="I27" s="1">
        <v>222.86699999999999</v>
      </c>
      <c r="K27" s="1">
        <v>141.15700000000001</v>
      </c>
      <c r="L27" s="1">
        <v>987.89300000000003</v>
      </c>
      <c r="M27" s="1">
        <v>170.608</v>
      </c>
      <c r="N27" s="1">
        <v>866.75400000000002</v>
      </c>
      <c r="O27" s="1">
        <v>813.75699999999995</v>
      </c>
      <c r="P27" s="1">
        <v>1129.758</v>
      </c>
      <c r="Q27" s="1">
        <v>275.24900000000002</v>
      </c>
      <c r="R27" s="1">
        <v>1432.2529999999999</v>
      </c>
      <c r="S27" s="1">
        <v>1317.6410000000001</v>
      </c>
      <c r="T27" s="1">
        <v>1681.346</v>
      </c>
      <c r="U27" s="1">
        <v>1654.7080000000001</v>
      </c>
      <c r="V27" s="1">
        <v>2182.837</v>
      </c>
      <c r="W27" s="1">
        <v>796.24599999999998</v>
      </c>
      <c r="X27" s="1">
        <v>2509.5459999999998</v>
      </c>
      <c r="Y27" s="1">
        <v>756.20399999999995</v>
      </c>
      <c r="AB27" s="1">
        <v>2530.0740000000001</v>
      </c>
      <c r="AC27" s="1">
        <v>2696.0369999999998</v>
      </c>
      <c r="AE27" s="1">
        <v>2947.471</v>
      </c>
    </row>
    <row r="28" spans="1:31">
      <c r="A28" s="1" t="s">
        <v>44</v>
      </c>
      <c r="F28" s="41">
        <v>35619.599999999999</v>
      </c>
      <c r="I28" s="1">
        <v>38880.957000000002</v>
      </c>
      <c r="K28" s="1">
        <v>49096.5075</v>
      </c>
      <c r="L28" s="1">
        <v>51461.767</v>
      </c>
      <c r="M28" s="1">
        <v>55965.284</v>
      </c>
      <c r="N28" s="1">
        <v>58707.544999999998</v>
      </c>
      <c r="O28" s="1">
        <v>64541.858999999997</v>
      </c>
      <c r="P28" s="1">
        <v>70130.426999999996</v>
      </c>
      <c r="Q28" s="1">
        <v>73877.054000000004</v>
      </c>
      <c r="R28" s="1">
        <v>79931.498000000007</v>
      </c>
      <c r="S28" s="1">
        <v>85102.812999999995</v>
      </c>
      <c r="T28" s="1">
        <v>99259.188999999998</v>
      </c>
      <c r="U28" s="1">
        <v>110711.955</v>
      </c>
      <c r="V28" s="1">
        <v>136676.38500000001</v>
      </c>
      <c r="W28" s="1">
        <v>140555.50200000001</v>
      </c>
      <c r="X28" s="1">
        <v>142951.24299999999</v>
      </c>
      <c r="Y28" s="1">
        <v>34401.438000000002</v>
      </c>
      <c r="Z28" s="1">
        <v>36710.383000000002</v>
      </c>
      <c r="AA28" s="1">
        <v>36313.675999999999</v>
      </c>
      <c r="AB28" s="1">
        <v>164445.96599999999</v>
      </c>
      <c r="AC28" s="1">
        <v>155874.514</v>
      </c>
      <c r="AE28" s="1">
        <v>167433.84599999999</v>
      </c>
    </row>
    <row r="29" spans="1:31">
      <c r="A29" s="1" t="s">
        <v>45</v>
      </c>
      <c r="F29" s="41">
        <v>363657.45699999999</v>
      </c>
      <c r="I29" s="1">
        <v>420912.58199999999</v>
      </c>
      <c r="K29" s="1">
        <v>523500.16536000004</v>
      </c>
      <c r="L29" s="1">
        <v>498253.10600000003</v>
      </c>
      <c r="M29" s="1">
        <v>552532.21600000001</v>
      </c>
      <c r="N29" s="1">
        <v>531241.49199999997</v>
      </c>
      <c r="O29" s="1">
        <v>493651.065</v>
      </c>
      <c r="P29" s="1">
        <v>462637.21600000001</v>
      </c>
      <c r="Q29" s="1">
        <v>729969.745</v>
      </c>
      <c r="R29" s="1">
        <v>758494.99899999995</v>
      </c>
      <c r="S29" s="1">
        <v>849897.41399999999</v>
      </c>
      <c r="T29" s="1">
        <v>935330.30099999998</v>
      </c>
      <c r="U29" s="1">
        <v>976218.12899999996</v>
      </c>
      <c r="V29" s="1">
        <v>1054494.6470000001</v>
      </c>
      <c r="W29" s="1">
        <v>1078807.105</v>
      </c>
      <c r="X29" s="1">
        <v>1087867.497</v>
      </c>
      <c r="Y29" s="1">
        <v>815232.52399999998</v>
      </c>
      <c r="Z29" s="1">
        <v>853719.77399999998</v>
      </c>
      <c r="AA29" s="1">
        <v>956988.38899999997</v>
      </c>
      <c r="AB29" s="1">
        <v>1423829.66</v>
      </c>
      <c r="AC29" s="1">
        <v>1585449.095</v>
      </c>
      <c r="AE29" s="1">
        <v>1726201.615</v>
      </c>
    </row>
    <row r="30" spans="1:31">
      <c r="A30" s="1" t="s">
        <v>46</v>
      </c>
      <c r="F30" s="41">
        <v>19738.387999999999</v>
      </c>
      <c r="I30" s="1">
        <v>24893.316999999999</v>
      </c>
      <c r="K30" s="1">
        <v>27451.246999999999</v>
      </c>
      <c r="L30" s="1">
        <v>30741.062999999998</v>
      </c>
      <c r="M30" s="1">
        <v>31653.727999999999</v>
      </c>
      <c r="N30" s="1">
        <v>33845.012999999999</v>
      </c>
      <c r="O30" s="1">
        <v>38147.243999999999</v>
      </c>
      <c r="P30" s="1">
        <v>38317.792000000001</v>
      </c>
      <c r="Q30" s="1">
        <v>37913.273999999998</v>
      </c>
      <c r="R30" s="1">
        <v>39465.182000000001</v>
      </c>
      <c r="S30" s="1">
        <v>41539.233</v>
      </c>
      <c r="T30" s="1">
        <v>47992.074000000001</v>
      </c>
      <c r="U30" s="1">
        <v>55830.089</v>
      </c>
      <c r="V30" s="1">
        <v>62670.159</v>
      </c>
      <c r="W30" s="1">
        <v>68631.657000000007</v>
      </c>
      <c r="X30" s="1">
        <v>75355.652000000002</v>
      </c>
      <c r="Y30" s="1">
        <v>41137.599999999999</v>
      </c>
      <c r="Z30" s="1">
        <v>42451.014999999999</v>
      </c>
      <c r="AA30" s="1">
        <v>44114.762999999999</v>
      </c>
      <c r="AB30" s="1">
        <v>86354.671000000002</v>
      </c>
      <c r="AC30" s="1">
        <v>88897.866999999998</v>
      </c>
      <c r="AE30" s="1">
        <v>92281.679000000004</v>
      </c>
    </row>
    <row r="31" spans="1:31">
      <c r="A31" s="1" t="s">
        <v>47</v>
      </c>
      <c r="F31" s="41">
        <v>8370.2970000000005</v>
      </c>
      <c r="I31" s="1">
        <v>10252.683999999999</v>
      </c>
      <c r="K31" s="1">
        <v>10977.51</v>
      </c>
      <c r="L31" s="1">
        <v>13545.425999999999</v>
      </c>
      <c r="M31" s="1">
        <v>12710.081</v>
      </c>
      <c r="N31" s="1">
        <v>14151.971</v>
      </c>
      <c r="O31" s="1">
        <v>16173.055</v>
      </c>
      <c r="P31" s="1">
        <v>14015.656999999999</v>
      </c>
      <c r="Q31" s="1">
        <v>13954.169</v>
      </c>
      <c r="R31" s="1">
        <v>14683.672</v>
      </c>
      <c r="S31" s="1">
        <v>16805.133999999998</v>
      </c>
      <c r="T31" s="1">
        <v>18488.732</v>
      </c>
      <c r="U31" s="1">
        <v>26010.996999999999</v>
      </c>
      <c r="V31" s="1">
        <v>29190.792000000001</v>
      </c>
      <c r="W31" s="1">
        <v>27774.543000000001</v>
      </c>
      <c r="X31" s="1">
        <v>27486.937999999998</v>
      </c>
      <c r="Y31" s="1">
        <v>26480.692999999999</v>
      </c>
      <c r="Z31" s="1">
        <v>28542.623</v>
      </c>
      <c r="AA31" s="1">
        <v>24172.304</v>
      </c>
      <c r="AB31" s="1">
        <v>24459.65</v>
      </c>
      <c r="AC31" s="1">
        <v>26378.207999999999</v>
      </c>
      <c r="AE31" s="1">
        <v>29391.137999999999</v>
      </c>
    </row>
    <row r="32" spans="1:31">
      <c r="A32" s="1" t="s">
        <v>48</v>
      </c>
      <c r="F32" s="41">
        <v>3069.4349999999999</v>
      </c>
      <c r="I32" s="1">
        <v>3696.6210000000001</v>
      </c>
      <c r="K32" s="1">
        <v>5285.6760000000004</v>
      </c>
      <c r="L32" s="1">
        <v>5736.5290000000005</v>
      </c>
      <c r="M32" s="1">
        <v>6161.7969999999996</v>
      </c>
      <c r="N32" s="1">
        <v>6430.0940000000001</v>
      </c>
      <c r="O32" s="1">
        <v>5925.6729999999998</v>
      </c>
      <c r="P32" s="1">
        <v>6770.4210000000003</v>
      </c>
      <c r="Q32" s="1">
        <v>7462.5330000000004</v>
      </c>
      <c r="R32" s="1">
        <v>7388.8919999999998</v>
      </c>
      <c r="S32" s="1">
        <v>8460.4590000000007</v>
      </c>
      <c r="T32" s="1">
        <v>12032.255999999999</v>
      </c>
      <c r="U32" s="1">
        <v>12486.103999999999</v>
      </c>
      <c r="V32" s="1">
        <v>15750.967000000001</v>
      </c>
      <c r="W32" s="1">
        <v>13252.619000000001</v>
      </c>
      <c r="X32" s="1">
        <v>18088.714</v>
      </c>
      <c r="Y32" s="1">
        <v>16090.924999999999</v>
      </c>
      <c r="Z32" s="1">
        <v>18055.397000000001</v>
      </c>
      <c r="AA32" s="1">
        <v>21110.202000000001</v>
      </c>
      <c r="AB32" s="1">
        <v>19384.665000000001</v>
      </c>
      <c r="AC32" s="1">
        <v>21260.906999999999</v>
      </c>
      <c r="AE32" s="1">
        <v>22676.433000000001</v>
      </c>
    </row>
    <row r="33" spans="1:31">
      <c r="A33" s="1" t="s">
        <v>49</v>
      </c>
      <c r="F33" s="41">
        <v>3824.7040000000002</v>
      </c>
      <c r="I33" s="1">
        <v>4229.8270000000002</v>
      </c>
      <c r="K33" s="1">
        <v>4901.6092000000026</v>
      </c>
      <c r="L33" s="1">
        <v>5847.8069999999998</v>
      </c>
      <c r="M33" s="1">
        <v>6270.6289999999999</v>
      </c>
      <c r="N33" s="1">
        <v>7882.9229999999998</v>
      </c>
      <c r="O33" s="1">
        <v>6855.7889999999998</v>
      </c>
      <c r="P33" s="1">
        <v>6665.5140000000001</v>
      </c>
      <c r="Q33" s="1">
        <v>7555.2889999999998</v>
      </c>
      <c r="R33" s="1">
        <v>7348.0159999999996</v>
      </c>
      <c r="S33" s="1">
        <v>8102.8670000000002</v>
      </c>
      <c r="T33" s="1">
        <v>8520.4130000000005</v>
      </c>
      <c r="U33" s="1">
        <v>10547.793</v>
      </c>
      <c r="V33" s="1">
        <v>13135.673000000001</v>
      </c>
      <c r="W33" s="1">
        <v>13358.870999999999</v>
      </c>
      <c r="X33" s="1">
        <v>17527.580999999998</v>
      </c>
      <c r="Y33" s="1">
        <v>14395.804</v>
      </c>
      <c r="Z33" s="1">
        <v>15048.034</v>
      </c>
      <c r="AA33" s="1">
        <v>14652.344999999999</v>
      </c>
      <c r="AB33" s="1">
        <v>15004.888000000001</v>
      </c>
      <c r="AC33" s="1">
        <v>14858.236000000001</v>
      </c>
      <c r="AE33" s="1">
        <v>15496.203</v>
      </c>
    </row>
    <row r="34" spans="1:31">
      <c r="A34" s="1" t="s">
        <v>50</v>
      </c>
      <c r="F34" s="41">
        <v>5446.7439999999997</v>
      </c>
      <c r="I34" s="1">
        <v>6674.6059999999998</v>
      </c>
      <c r="K34" s="1">
        <v>8832</v>
      </c>
      <c r="L34" s="1">
        <v>12585.904</v>
      </c>
      <c r="M34" s="1">
        <v>12877</v>
      </c>
      <c r="N34" s="1">
        <v>15006</v>
      </c>
      <c r="O34" s="1">
        <v>17147</v>
      </c>
      <c r="P34" s="1">
        <v>7207</v>
      </c>
      <c r="Q34" s="1">
        <v>8038</v>
      </c>
      <c r="R34" s="1">
        <v>9243.9</v>
      </c>
      <c r="S34" s="1">
        <v>6790</v>
      </c>
      <c r="T34" s="1">
        <v>7388</v>
      </c>
      <c r="U34" s="1">
        <v>30223.190999999999</v>
      </c>
      <c r="V34" s="1">
        <v>29970.942999999999</v>
      </c>
      <c r="W34" s="1">
        <v>31836.603999999999</v>
      </c>
      <c r="X34" s="1">
        <v>29831.29</v>
      </c>
      <c r="Y34" s="1">
        <v>30982.323</v>
      </c>
      <c r="Z34" s="1">
        <v>36461.794000000002</v>
      </c>
      <c r="AA34" s="1">
        <v>34621.949999999997</v>
      </c>
      <c r="AB34" s="1">
        <v>34276.347000000002</v>
      </c>
      <c r="AC34" s="1">
        <v>39545.635999999999</v>
      </c>
      <c r="AE34" s="1">
        <v>46815.858999999997</v>
      </c>
    </row>
    <row r="35" spans="1:31">
      <c r="A35" s="1" t="s">
        <v>51</v>
      </c>
      <c r="F35" s="41">
        <v>15813.121999999999</v>
      </c>
      <c r="I35" s="1">
        <v>21538.769</v>
      </c>
      <c r="K35" s="1">
        <v>27850.793189999997</v>
      </c>
      <c r="L35" s="1">
        <v>33651.506999999998</v>
      </c>
      <c r="M35" s="1">
        <v>30320.791000000001</v>
      </c>
      <c r="N35" s="1">
        <v>31529.346000000001</v>
      </c>
      <c r="O35" s="1">
        <v>33305.713000000003</v>
      </c>
      <c r="P35" s="1">
        <v>32814.464</v>
      </c>
      <c r="Q35" s="1">
        <v>34386.313999999998</v>
      </c>
      <c r="R35" s="1">
        <v>36555.894</v>
      </c>
      <c r="S35" s="1">
        <v>40345.245999999999</v>
      </c>
      <c r="T35" s="1">
        <v>41684.813999999998</v>
      </c>
      <c r="U35" s="1">
        <v>49248.186000000002</v>
      </c>
      <c r="V35" s="1">
        <v>54863.728999999999</v>
      </c>
      <c r="W35" s="1">
        <v>57218.309000000001</v>
      </c>
      <c r="X35" s="1">
        <v>61789.267999999996</v>
      </c>
      <c r="Y35" s="1">
        <v>37409.451000000001</v>
      </c>
      <c r="Z35" s="1">
        <v>41060.284</v>
      </c>
      <c r="AA35" s="1">
        <v>40358.311999999998</v>
      </c>
      <c r="AB35" s="1">
        <v>70307.062999999995</v>
      </c>
      <c r="AC35" s="1">
        <v>70217.175000000003</v>
      </c>
      <c r="AE35" s="1">
        <v>72381.566999999995</v>
      </c>
    </row>
    <row r="36" spans="1:31">
      <c r="A36" s="1" t="s">
        <v>52</v>
      </c>
      <c r="F36" s="41">
        <v>25206.048999999999</v>
      </c>
      <c r="I36" s="1">
        <v>36131.296000000002</v>
      </c>
      <c r="K36" s="1">
        <v>41055.811040000008</v>
      </c>
      <c r="L36" s="1">
        <v>50497.328000000001</v>
      </c>
      <c r="M36" s="1">
        <v>57298.169000000002</v>
      </c>
      <c r="N36" s="1">
        <v>66019.12</v>
      </c>
      <c r="O36" s="1">
        <v>85669.388999999996</v>
      </c>
      <c r="P36" s="1">
        <v>82739.663</v>
      </c>
      <c r="Q36" s="1">
        <v>91010.001000000004</v>
      </c>
      <c r="R36" s="1">
        <v>97934.476999999999</v>
      </c>
      <c r="S36" s="1">
        <v>103587.80100000001</v>
      </c>
      <c r="T36" s="1">
        <v>101806.67200000001</v>
      </c>
      <c r="U36" s="1">
        <v>111574.461</v>
      </c>
      <c r="V36" s="1">
        <v>104533.47</v>
      </c>
      <c r="W36" s="1">
        <v>102892.61500000001</v>
      </c>
      <c r="X36" s="1">
        <v>112252.95299999999</v>
      </c>
      <c r="Y36" s="1">
        <v>114031.658</v>
      </c>
      <c r="Z36" s="1">
        <v>111760.148</v>
      </c>
      <c r="AA36" s="1">
        <v>102277.44500000001</v>
      </c>
      <c r="AB36" s="1">
        <v>127893.178</v>
      </c>
      <c r="AC36" s="1">
        <v>123497.898</v>
      </c>
      <c r="AE36" s="1">
        <v>131551.46599999999</v>
      </c>
    </row>
    <row r="37" spans="1:31">
      <c r="A37" s="1" t="s">
        <v>53</v>
      </c>
      <c r="F37" s="41">
        <v>13875.374</v>
      </c>
      <c r="I37" s="1">
        <v>14357.521000000001</v>
      </c>
      <c r="K37" s="1">
        <v>16388.762999999999</v>
      </c>
      <c r="L37" s="1">
        <v>15433.373</v>
      </c>
      <c r="M37" s="1">
        <v>18316.184000000001</v>
      </c>
      <c r="N37" s="1">
        <v>17671.280999999999</v>
      </c>
      <c r="O37" s="1">
        <v>18968.391</v>
      </c>
      <c r="P37" s="1">
        <v>22331.036</v>
      </c>
      <c r="Q37" s="1">
        <v>24355.828000000001</v>
      </c>
      <c r="R37" s="1">
        <v>23075.472000000002</v>
      </c>
      <c r="S37" s="1">
        <v>27390.92</v>
      </c>
      <c r="T37" s="1">
        <v>27157.491000000002</v>
      </c>
      <c r="U37" s="1">
        <v>30293.212</v>
      </c>
      <c r="V37" s="1">
        <v>31953.811000000002</v>
      </c>
      <c r="W37" s="1">
        <v>33117.868000000002</v>
      </c>
      <c r="X37" s="1">
        <v>27904.101999999999</v>
      </c>
      <c r="Y37" s="1">
        <v>41317.273000000001</v>
      </c>
      <c r="Z37" s="1">
        <v>43094.02</v>
      </c>
      <c r="AA37" s="1">
        <v>44771.453999999998</v>
      </c>
      <c r="AB37" s="1">
        <v>32920.351999999999</v>
      </c>
      <c r="AC37" s="1">
        <v>33903.150999999998</v>
      </c>
      <c r="AE37" s="1">
        <v>36843.434999999998</v>
      </c>
    </row>
    <row r="38" spans="1:31">
      <c r="A38" s="1" t="s">
        <v>54</v>
      </c>
      <c r="F38" s="41">
        <v>53784.457999999999</v>
      </c>
      <c r="I38" s="1">
        <v>69211.657999999996</v>
      </c>
      <c r="K38" s="1">
        <v>84399.775150000001</v>
      </c>
      <c r="L38" s="1">
        <v>101419.399</v>
      </c>
      <c r="M38" s="1">
        <v>110386.374</v>
      </c>
      <c r="N38" s="1">
        <v>116021.836</v>
      </c>
      <c r="O38" s="1">
        <v>122536.383</v>
      </c>
      <c r="P38" s="1">
        <v>123421.30100000001</v>
      </c>
      <c r="Q38" s="1">
        <v>130548.201</v>
      </c>
      <c r="R38" s="1">
        <v>136507.79500000001</v>
      </c>
      <c r="S38" s="1">
        <v>126060.039</v>
      </c>
      <c r="T38" s="1">
        <v>143823.00899999999</v>
      </c>
      <c r="U38" s="1">
        <v>175841.62299999999</v>
      </c>
      <c r="V38" s="1">
        <v>205385.867</v>
      </c>
      <c r="W38" s="1">
        <v>214312.17199999999</v>
      </c>
      <c r="X38" s="1">
        <v>204086.32</v>
      </c>
      <c r="Y38" s="1">
        <v>165575.45800000001</v>
      </c>
      <c r="Z38" s="1">
        <v>186834.58199999999</v>
      </c>
      <c r="AA38" s="1">
        <v>195821.758</v>
      </c>
      <c r="AB38" s="1">
        <v>269761.359</v>
      </c>
      <c r="AC38" s="1">
        <v>288133.136</v>
      </c>
      <c r="AE38" s="1">
        <v>312523.63199999998</v>
      </c>
    </row>
    <row r="39" spans="1:31">
      <c r="A39" s="23" t="s">
        <v>55</v>
      </c>
      <c r="B39" s="23"/>
      <c r="C39" s="23"/>
      <c r="D39" s="23"/>
      <c r="E39" s="23"/>
      <c r="F39" s="44">
        <v>8549.2890000000007</v>
      </c>
      <c r="G39" s="23"/>
      <c r="H39" s="23"/>
      <c r="I39" s="23">
        <v>7655.6149999999998</v>
      </c>
      <c r="J39" s="23"/>
      <c r="K39" s="23">
        <v>7752.8490000000002</v>
      </c>
      <c r="L39" s="23">
        <v>8944.2970000000005</v>
      </c>
      <c r="M39" s="23">
        <v>9665.4279999999999</v>
      </c>
      <c r="N39" s="23">
        <v>11312.281000000001</v>
      </c>
      <c r="O39" s="23">
        <v>13078.527</v>
      </c>
      <c r="P39" s="23">
        <v>14405.091</v>
      </c>
      <c r="Q39" s="23">
        <v>13986.295</v>
      </c>
      <c r="R39" s="23">
        <v>15427.124</v>
      </c>
      <c r="S39" s="23">
        <v>17333.420999999998</v>
      </c>
      <c r="T39" s="23">
        <v>20321.173999999999</v>
      </c>
      <c r="U39" s="23">
        <v>21165.496999999999</v>
      </c>
      <c r="V39" s="23">
        <v>24535.473999999998</v>
      </c>
      <c r="W39" s="23">
        <v>23896.669000000002</v>
      </c>
      <c r="X39" s="23">
        <v>26705.955999999998</v>
      </c>
      <c r="Y39" s="23">
        <v>27317.415000000001</v>
      </c>
      <c r="Z39" s="23">
        <v>28687.787</v>
      </c>
      <c r="AA39" s="23">
        <v>31280.984</v>
      </c>
      <c r="AB39" s="23">
        <v>30908.292000000001</v>
      </c>
      <c r="AC39" s="23">
        <v>29102.062999999998</v>
      </c>
      <c r="AD39" s="23"/>
      <c r="AE39" s="23">
        <v>30847.867999999999</v>
      </c>
    </row>
    <row r="40" spans="1:31">
      <c r="A40" s="7" t="s">
        <v>56</v>
      </c>
      <c r="B40" s="47">
        <f>SUM(B42:B53)</f>
        <v>0</v>
      </c>
      <c r="C40" s="47">
        <f t="shared" ref="C40:AC40" si="13">SUM(C42:C53)</f>
        <v>0</v>
      </c>
      <c r="D40" s="47">
        <f t="shared" si="13"/>
        <v>0</v>
      </c>
      <c r="E40" s="47">
        <f t="shared" si="13"/>
        <v>0</v>
      </c>
      <c r="F40" s="47">
        <f t="shared" si="13"/>
        <v>391128.60399999993</v>
      </c>
      <c r="G40" s="47">
        <f t="shared" si="13"/>
        <v>0</v>
      </c>
      <c r="H40" s="47">
        <f t="shared" si="13"/>
        <v>0</v>
      </c>
      <c r="I40" s="47">
        <f t="shared" si="13"/>
        <v>443946.24199999997</v>
      </c>
      <c r="J40" s="47">
        <f t="shared" si="13"/>
        <v>0</v>
      </c>
      <c r="K40" s="47">
        <f t="shared" si="13"/>
        <v>520129.76316000003</v>
      </c>
      <c r="L40" s="47">
        <f t="shared" si="13"/>
        <v>619480.10099999991</v>
      </c>
      <c r="M40" s="47">
        <f t="shared" si="13"/>
        <v>640062.201</v>
      </c>
      <c r="N40" s="47">
        <f t="shared" si="13"/>
        <v>679195.21499999997</v>
      </c>
      <c r="O40" s="47">
        <f t="shared" si="13"/>
        <v>729723.19799999997</v>
      </c>
      <c r="P40" s="47">
        <f t="shared" si="13"/>
        <v>774823.20000000007</v>
      </c>
      <c r="Q40" s="47">
        <f t="shared" si="13"/>
        <v>783952.3069999998</v>
      </c>
      <c r="R40" s="47">
        <f t="shared" si="13"/>
        <v>830868.97599999991</v>
      </c>
      <c r="S40" s="47">
        <f t="shared" si="13"/>
        <v>865777.63899999997</v>
      </c>
      <c r="T40" s="47">
        <f t="shared" si="13"/>
        <v>880633.63100000005</v>
      </c>
      <c r="U40" s="47">
        <f t="shared" si="13"/>
        <v>997800.49500000011</v>
      </c>
      <c r="V40" s="47">
        <f t="shared" si="13"/>
        <v>1278185.4220000003</v>
      </c>
      <c r="W40" s="47">
        <f t="shared" si="13"/>
        <v>1309917.2870000002</v>
      </c>
      <c r="X40" s="47">
        <f t="shared" si="13"/>
        <v>1319296.54</v>
      </c>
      <c r="Y40" s="47">
        <f t="shared" si="13"/>
        <v>1027418.2660000001</v>
      </c>
      <c r="Z40" s="47">
        <f t="shared" si="13"/>
        <v>1060186.7589999998</v>
      </c>
      <c r="AA40" s="47">
        <f t="shared" si="13"/>
        <v>1079830.1300000001</v>
      </c>
      <c r="AB40" s="47">
        <f t="shared" si="13"/>
        <v>1403109.5790000001</v>
      </c>
      <c r="AC40" s="47">
        <f t="shared" si="13"/>
        <v>1437593.855</v>
      </c>
      <c r="AD40" s="47">
        <f t="shared" ref="AD40:AE40" si="14">SUM(AD42:AD53)</f>
        <v>0</v>
      </c>
      <c r="AE40" s="47">
        <f t="shared" si="14"/>
        <v>1500084.0330000001</v>
      </c>
    </row>
    <row r="41" spans="1:31">
      <c r="A41" s="7" t="s">
        <v>97</v>
      </c>
      <c r="X41" s="1">
        <v>0</v>
      </c>
      <c r="AB41" s="1">
        <v>0</v>
      </c>
      <c r="AC41" s="1">
        <v>0</v>
      </c>
    </row>
    <row r="42" spans="1:31">
      <c r="A42" s="1" t="s">
        <v>57</v>
      </c>
      <c r="F42" s="41">
        <v>79551.494999999995</v>
      </c>
      <c r="I42" s="1">
        <v>101264.914</v>
      </c>
      <c r="K42" s="1">
        <v>107553.40647999999</v>
      </c>
      <c r="L42" s="1">
        <v>124071.601</v>
      </c>
      <c r="M42" s="1">
        <v>124513.24400000001</v>
      </c>
      <c r="N42" s="1">
        <v>132141.932</v>
      </c>
      <c r="O42" s="1">
        <v>142579.38</v>
      </c>
      <c r="P42" s="1">
        <v>162056.557</v>
      </c>
      <c r="Q42" s="1">
        <v>153461.655</v>
      </c>
      <c r="R42" s="1">
        <v>164210.951</v>
      </c>
      <c r="S42" s="1">
        <v>171110.87</v>
      </c>
      <c r="T42" s="1">
        <v>189767.92499999999</v>
      </c>
      <c r="U42" s="1">
        <v>214004.133</v>
      </c>
      <c r="V42" s="1">
        <v>275013.92200000002</v>
      </c>
      <c r="W42" s="1">
        <v>273207.679</v>
      </c>
      <c r="X42" s="1">
        <v>277610.04800000001</v>
      </c>
      <c r="Y42" s="1">
        <v>172635.10800000001</v>
      </c>
      <c r="Z42" s="1">
        <v>182901.02</v>
      </c>
      <c r="AA42" s="1">
        <v>190729.76</v>
      </c>
      <c r="AB42" s="1">
        <v>309543.99800000002</v>
      </c>
      <c r="AC42" s="1">
        <v>318556.03100000002</v>
      </c>
      <c r="AE42" s="1">
        <v>340615.90899999999</v>
      </c>
    </row>
    <row r="43" spans="1:31">
      <c r="A43" s="1" t="s">
        <v>58</v>
      </c>
      <c r="F43" s="41">
        <v>9321.8739999999998</v>
      </c>
      <c r="I43" s="1">
        <v>10290.313</v>
      </c>
      <c r="K43" s="1">
        <v>11981.236999999999</v>
      </c>
      <c r="L43" s="1">
        <v>14931.348</v>
      </c>
      <c r="M43" s="1">
        <v>15259.652</v>
      </c>
      <c r="N43" s="1">
        <v>16231.367</v>
      </c>
      <c r="O43" s="1">
        <v>16936.763999999999</v>
      </c>
      <c r="P43" s="1">
        <v>15060.592000000001</v>
      </c>
      <c r="Q43" s="1">
        <v>16692.557000000001</v>
      </c>
      <c r="R43" s="1">
        <v>17831.616000000002</v>
      </c>
      <c r="S43" s="1">
        <v>20534.816999999999</v>
      </c>
      <c r="T43" s="1">
        <v>21850.940999999999</v>
      </c>
      <c r="U43" s="1">
        <v>26589.766</v>
      </c>
      <c r="V43" s="1">
        <v>37454.097999999998</v>
      </c>
      <c r="W43" s="1">
        <v>41832.031000000003</v>
      </c>
      <c r="X43" s="1">
        <v>47149.159</v>
      </c>
      <c r="Y43" s="1">
        <v>62673.62</v>
      </c>
      <c r="Z43" s="1">
        <v>63597.186000000002</v>
      </c>
      <c r="AA43" s="1">
        <v>62334.531999999999</v>
      </c>
      <c r="AB43" s="1">
        <v>44116.845000000001</v>
      </c>
      <c r="AC43" s="1">
        <v>52650.000999999997</v>
      </c>
      <c r="AE43" s="1">
        <v>67364</v>
      </c>
    </row>
    <row r="44" spans="1:31">
      <c r="A44" s="1" t="s">
        <v>59</v>
      </c>
      <c r="F44" s="41">
        <v>18089.184000000001</v>
      </c>
      <c r="I44" s="1">
        <v>21403.981</v>
      </c>
      <c r="K44" s="1">
        <v>23702.131000000001</v>
      </c>
      <c r="L44" s="1">
        <v>33328.720000000001</v>
      </c>
      <c r="M44" s="1">
        <v>34039.127999999997</v>
      </c>
      <c r="N44" s="1">
        <v>35385.008999999998</v>
      </c>
      <c r="O44" s="1">
        <v>34030.767</v>
      </c>
      <c r="P44" s="1">
        <v>35717.423999999999</v>
      </c>
      <c r="Q44" s="1">
        <v>37944.875999999997</v>
      </c>
      <c r="R44" s="1">
        <v>41807.160000000003</v>
      </c>
      <c r="S44" s="1">
        <v>43542.661999999997</v>
      </c>
      <c r="T44" s="1">
        <v>47533.118999999999</v>
      </c>
      <c r="U44" s="1">
        <v>50582.436000000002</v>
      </c>
      <c r="V44" s="1">
        <v>56459.535000000003</v>
      </c>
      <c r="W44" s="1">
        <v>60117.413999999997</v>
      </c>
      <c r="X44" s="1">
        <v>60516.692000000003</v>
      </c>
      <c r="Y44" s="1">
        <v>62346.841999999997</v>
      </c>
      <c r="Z44" s="1">
        <v>64987.218000000001</v>
      </c>
      <c r="AA44" s="1">
        <v>64347.972999999998</v>
      </c>
      <c r="AB44" s="1">
        <v>67528.945999999996</v>
      </c>
      <c r="AC44" s="1">
        <v>71015.175000000003</v>
      </c>
      <c r="AE44" s="1">
        <v>75910.660999999993</v>
      </c>
    </row>
    <row r="45" spans="1:31">
      <c r="A45" s="1" t="s">
        <v>60</v>
      </c>
      <c r="F45" s="41">
        <v>22567.973999999998</v>
      </c>
      <c r="I45" s="1">
        <v>24526.026999999998</v>
      </c>
      <c r="K45" s="1">
        <v>28516.978190000005</v>
      </c>
      <c r="L45" s="1">
        <v>36922.398999999998</v>
      </c>
      <c r="M45" s="1">
        <v>40701.417999999998</v>
      </c>
      <c r="N45" s="1">
        <v>43924.436000000002</v>
      </c>
      <c r="O45" s="1">
        <v>43168.201000000001</v>
      </c>
      <c r="P45" s="1">
        <v>42937.894</v>
      </c>
      <c r="Q45" s="1">
        <v>47333.942999999999</v>
      </c>
      <c r="R45" s="1">
        <v>51304.978000000003</v>
      </c>
      <c r="S45" s="1">
        <v>54890.813000000002</v>
      </c>
      <c r="T45" s="1">
        <v>58739.781999999999</v>
      </c>
      <c r="U45" s="1">
        <v>65849.796000000002</v>
      </c>
      <c r="V45" s="1">
        <v>76867.066000000006</v>
      </c>
      <c r="W45" s="1">
        <v>80382.861999999994</v>
      </c>
      <c r="X45" s="1">
        <v>80599.202000000005</v>
      </c>
      <c r="Y45" s="1">
        <v>69766.777000000002</v>
      </c>
      <c r="Z45" s="1">
        <v>70206.351999999999</v>
      </c>
      <c r="AA45" s="1">
        <v>74772.906000000003</v>
      </c>
      <c r="AB45" s="1">
        <v>92251.036999999997</v>
      </c>
      <c r="AC45" s="1">
        <v>92442.106</v>
      </c>
      <c r="AE45" s="1">
        <v>102919.85400000001</v>
      </c>
    </row>
    <row r="46" spans="1:31">
      <c r="A46" s="1" t="s">
        <v>61</v>
      </c>
      <c r="F46" s="41">
        <v>100045.36199999999</v>
      </c>
      <c r="I46" s="1">
        <v>100557.454</v>
      </c>
      <c r="K46" s="1">
        <v>107187.37669999999</v>
      </c>
      <c r="L46" s="1">
        <v>140465.04699999999</v>
      </c>
      <c r="M46" s="1">
        <v>135361.49900000001</v>
      </c>
      <c r="N46" s="1">
        <v>155581.704</v>
      </c>
      <c r="O46" s="1">
        <v>187480.95499999999</v>
      </c>
      <c r="P46" s="1">
        <v>201092.95800000001</v>
      </c>
      <c r="Q46" s="1">
        <v>195100.008</v>
      </c>
      <c r="R46" s="1">
        <v>207221.99799999999</v>
      </c>
      <c r="S46" s="1">
        <v>224817.72700000001</v>
      </c>
      <c r="T46" s="1">
        <v>188479.72399999999</v>
      </c>
      <c r="U46" s="1">
        <v>206801.55300000001</v>
      </c>
      <c r="V46" s="1">
        <v>308333.283</v>
      </c>
      <c r="W46" s="1">
        <v>288465.61499999999</v>
      </c>
      <c r="X46" s="1">
        <v>286700.12699999998</v>
      </c>
      <c r="Y46" s="1">
        <v>239923.73699999999</v>
      </c>
      <c r="Z46" s="1">
        <v>231172.951</v>
      </c>
      <c r="AA46" s="1">
        <v>240322.13200000001</v>
      </c>
      <c r="AB46" s="1">
        <v>247613.06700000001</v>
      </c>
      <c r="AC46" s="1">
        <v>241769.98499999999</v>
      </c>
      <c r="AE46" s="1">
        <v>247584.58600000001</v>
      </c>
    </row>
    <row r="47" spans="1:31">
      <c r="A47" s="1" t="s">
        <v>62</v>
      </c>
      <c r="F47" s="41">
        <v>39388.790999999997</v>
      </c>
      <c r="I47" s="1">
        <v>51365.764000000003</v>
      </c>
      <c r="K47" s="1">
        <v>72941.988039999997</v>
      </c>
      <c r="L47" s="1">
        <v>80430.887000000002</v>
      </c>
      <c r="M47" s="1">
        <v>88150.548999999999</v>
      </c>
      <c r="N47" s="1">
        <v>88903.259000000005</v>
      </c>
      <c r="O47" s="1">
        <v>83116.406000000003</v>
      </c>
      <c r="P47" s="1">
        <v>89802.205000000002</v>
      </c>
      <c r="Q47" s="1">
        <v>96961.335000000006</v>
      </c>
      <c r="R47" s="1">
        <v>101646.777</v>
      </c>
      <c r="S47" s="1">
        <v>108818.037</v>
      </c>
      <c r="T47" s="1">
        <v>116389.126</v>
      </c>
      <c r="U47" s="1">
        <v>119816.68399999999</v>
      </c>
      <c r="V47" s="1">
        <v>145603.63699999999</v>
      </c>
      <c r="W47" s="1">
        <v>150589</v>
      </c>
      <c r="X47" s="1">
        <v>148558.42000000001</v>
      </c>
      <c r="Y47" s="1">
        <v>116305.853</v>
      </c>
      <c r="Z47" s="1">
        <v>120674.946</v>
      </c>
      <c r="AA47" s="1">
        <v>117854.69500000001</v>
      </c>
      <c r="AB47" s="1">
        <v>158102.59299999999</v>
      </c>
      <c r="AC47" s="1">
        <v>161955.997</v>
      </c>
      <c r="AE47" s="1">
        <v>172825.82399999999</v>
      </c>
    </row>
    <row r="48" spans="1:31">
      <c r="A48" s="1" t="s">
        <v>63</v>
      </c>
      <c r="F48" s="41">
        <v>18670.748</v>
      </c>
      <c r="I48" s="1">
        <v>7602.6970000000001</v>
      </c>
      <c r="K48" s="1">
        <v>25611.71</v>
      </c>
      <c r="L48" s="1">
        <v>13860.915000000001</v>
      </c>
      <c r="M48" s="1">
        <v>17952.45</v>
      </c>
      <c r="N48" s="1">
        <v>14727.906999999999</v>
      </c>
      <c r="O48" s="1">
        <v>15411.726000000001</v>
      </c>
      <c r="P48" s="1">
        <v>17605.671999999999</v>
      </c>
      <c r="Q48" s="1">
        <v>18648.897000000001</v>
      </c>
      <c r="R48" s="1">
        <v>20510.939999999999</v>
      </c>
      <c r="S48" s="1">
        <v>21655.758000000002</v>
      </c>
      <c r="T48" s="1">
        <v>22958.901999999998</v>
      </c>
      <c r="U48" s="1">
        <v>25905.465</v>
      </c>
      <c r="V48" s="1">
        <v>29364.867999999999</v>
      </c>
      <c r="W48" s="1">
        <v>53583.934000000001</v>
      </c>
      <c r="X48" s="1">
        <v>53547.247000000003</v>
      </c>
      <c r="Y48" s="1">
        <v>52440.642</v>
      </c>
      <c r="Z48" s="1">
        <v>71732.081999999995</v>
      </c>
      <c r="AA48" s="1">
        <v>74979.131999999998</v>
      </c>
      <c r="AB48" s="1">
        <v>79836.035999999993</v>
      </c>
      <c r="AC48" s="1">
        <v>83527.428</v>
      </c>
      <c r="AE48" s="1">
        <v>85489.595000000001</v>
      </c>
    </row>
    <row r="49" spans="1:31">
      <c r="A49" s="1" t="s">
        <v>64</v>
      </c>
      <c r="F49" s="41">
        <v>6694.46</v>
      </c>
      <c r="I49" s="1">
        <v>7397.5010000000002</v>
      </c>
      <c r="K49" s="1">
        <v>10213.269</v>
      </c>
      <c r="L49" s="1">
        <v>12357.27</v>
      </c>
      <c r="M49" s="1">
        <v>13464.804</v>
      </c>
      <c r="N49" s="1">
        <v>14026.743</v>
      </c>
      <c r="O49" s="1">
        <v>14714.513999999999</v>
      </c>
      <c r="P49" s="1">
        <v>15933.822</v>
      </c>
      <c r="Q49" s="1">
        <v>15455.315000000001</v>
      </c>
      <c r="R49" s="1">
        <v>15946.212</v>
      </c>
      <c r="S49" s="1">
        <v>17481.875</v>
      </c>
      <c r="T49" s="1">
        <v>18540.753000000001</v>
      </c>
      <c r="U49" s="1">
        <v>20106.596000000001</v>
      </c>
      <c r="V49" s="1">
        <v>24741.973000000002</v>
      </c>
      <c r="W49" s="1">
        <v>24116.495999999999</v>
      </c>
      <c r="X49" s="1">
        <v>27611.135999999999</v>
      </c>
      <c r="Y49" s="1">
        <v>22710.768</v>
      </c>
      <c r="Z49" s="1">
        <v>24669.588</v>
      </c>
      <c r="AA49" s="1">
        <v>26201.31</v>
      </c>
      <c r="AB49" s="1">
        <v>36362.741000000002</v>
      </c>
      <c r="AC49" s="1">
        <v>37930.555</v>
      </c>
      <c r="AE49" s="1">
        <v>44595.228999999999</v>
      </c>
    </row>
    <row r="50" spans="1:31">
      <c r="A50" s="1" t="s">
        <v>65</v>
      </c>
      <c r="F50" s="41">
        <v>3172.2240000000002</v>
      </c>
      <c r="I50" s="1">
        <v>3035.2240000000002</v>
      </c>
      <c r="K50" s="1">
        <v>2896.3167600000015</v>
      </c>
      <c r="L50" s="1">
        <v>4545.6959999999999</v>
      </c>
      <c r="M50" s="1">
        <v>3639.826</v>
      </c>
      <c r="N50" s="1">
        <v>4123.4570000000003</v>
      </c>
      <c r="O50" s="1">
        <v>4562.6289999999999</v>
      </c>
      <c r="P50" s="1">
        <v>4488.1239999999998</v>
      </c>
      <c r="Q50" s="1">
        <v>4445.2569999999996</v>
      </c>
      <c r="R50" s="1">
        <v>4779.8360000000002</v>
      </c>
      <c r="S50" s="1">
        <v>5072.4530000000004</v>
      </c>
      <c r="T50" s="1">
        <v>4358.8490000000002</v>
      </c>
      <c r="U50" s="1">
        <v>6975.259</v>
      </c>
      <c r="V50" s="1">
        <v>7968.4489999999996</v>
      </c>
      <c r="W50" s="1">
        <v>8546.7469999999994</v>
      </c>
      <c r="X50" s="1">
        <v>9105.8880000000008</v>
      </c>
      <c r="Y50" s="1">
        <v>9786.125</v>
      </c>
      <c r="Z50" s="1">
        <v>13611.46</v>
      </c>
      <c r="AA50" s="1">
        <v>14349.262000000001</v>
      </c>
      <c r="AB50" s="1">
        <v>14937.89</v>
      </c>
      <c r="AC50" s="1">
        <v>17646.357</v>
      </c>
      <c r="AE50" s="1">
        <v>17030.11</v>
      </c>
    </row>
    <row r="51" spans="1:31">
      <c r="A51" s="1" t="s">
        <v>66</v>
      </c>
      <c r="F51" s="41">
        <v>48371.284</v>
      </c>
      <c r="I51" s="1">
        <v>58762.45</v>
      </c>
      <c r="K51" s="1">
        <v>64667.135000000002</v>
      </c>
      <c r="L51" s="1">
        <v>81688.099000000002</v>
      </c>
      <c r="M51" s="1">
        <v>87431.191999999995</v>
      </c>
      <c r="N51" s="1">
        <v>85830.216</v>
      </c>
      <c r="O51" s="1">
        <v>88942.482999999993</v>
      </c>
      <c r="P51" s="1">
        <v>92171.413</v>
      </c>
      <c r="Q51" s="1">
        <v>95553.862999999998</v>
      </c>
      <c r="R51" s="1">
        <v>99573.781000000003</v>
      </c>
      <c r="S51" s="1">
        <v>97781.54</v>
      </c>
      <c r="T51" s="1">
        <v>103840.389</v>
      </c>
      <c r="U51" s="1">
        <v>140347.21599999999</v>
      </c>
      <c r="V51" s="1">
        <v>166958.63800000001</v>
      </c>
      <c r="W51" s="1">
        <v>166376.63500000001</v>
      </c>
      <c r="X51" s="1">
        <v>171722.897</v>
      </c>
      <c r="Y51" s="1">
        <v>169924.09899999999</v>
      </c>
      <c r="Z51" s="1">
        <v>165815.82699999999</v>
      </c>
      <c r="AA51" s="1">
        <v>164822.64600000001</v>
      </c>
      <c r="AB51" s="1">
        <v>175491.28200000001</v>
      </c>
      <c r="AC51" s="1">
        <v>182371.927</v>
      </c>
      <c r="AE51" s="1">
        <v>184224.79</v>
      </c>
    </row>
    <row r="52" spans="1:31">
      <c r="A52" s="1" t="s">
        <v>67</v>
      </c>
      <c r="F52" s="41">
        <v>25.692</v>
      </c>
      <c r="I52" s="1">
        <v>79.364999999999995</v>
      </c>
      <c r="K52" s="1">
        <v>1947.3879899999984</v>
      </c>
      <c r="L52" s="1">
        <v>2451.7640000000001</v>
      </c>
      <c r="M52" s="1">
        <v>2028.769</v>
      </c>
      <c r="N52" s="1">
        <v>3720.4209999999998</v>
      </c>
      <c r="O52" s="1">
        <v>3822.3850000000002</v>
      </c>
      <c r="P52" s="1">
        <v>1697.6790000000001</v>
      </c>
      <c r="Q52" s="1">
        <v>1618.6289999999999</v>
      </c>
      <c r="R52" s="1">
        <v>1999.9280000000001</v>
      </c>
      <c r="S52" s="1">
        <v>5345.6959999999999</v>
      </c>
      <c r="T52" s="1">
        <v>5254.3280000000004</v>
      </c>
      <c r="U52" s="1">
        <v>6548.9480000000003</v>
      </c>
      <c r="V52" s="1">
        <v>6677.6909999999998</v>
      </c>
      <c r="W52" s="1">
        <v>6347.8339999999998</v>
      </c>
      <c r="X52" s="1">
        <v>6617.4350000000004</v>
      </c>
      <c r="Y52" s="1">
        <v>8154.8320000000003</v>
      </c>
      <c r="Z52" s="1">
        <v>8851.65</v>
      </c>
      <c r="AA52" s="1">
        <v>8357.2720000000008</v>
      </c>
      <c r="AB52" s="1">
        <v>8925.2489999999998</v>
      </c>
      <c r="AC52" s="1">
        <v>8956.1180000000004</v>
      </c>
      <c r="AE52" s="1">
        <v>10062.123</v>
      </c>
    </row>
    <row r="53" spans="1:31">
      <c r="A53" s="23" t="s">
        <v>68</v>
      </c>
      <c r="B53" s="23"/>
      <c r="C53" s="23"/>
      <c r="D53" s="23"/>
      <c r="E53" s="23"/>
      <c r="F53" s="44">
        <v>45229.516000000003</v>
      </c>
      <c r="G53" s="23"/>
      <c r="H53" s="23"/>
      <c r="I53" s="23">
        <v>57660.552000000003</v>
      </c>
      <c r="J53" s="23"/>
      <c r="K53" s="23">
        <v>62910.826999999997</v>
      </c>
      <c r="L53" s="23">
        <v>74426.354999999996</v>
      </c>
      <c r="M53" s="23">
        <v>77519.67</v>
      </c>
      <c r="N53" s="23">
        <v>84598.763999999996</v>
      </c>
      <c r="O53" s="23">
        <v>94956.987999999998</v>
      </c>
      <c r="P53" s="23">
        <v>96258.86</v>
      </c>
      <c r="Q53" s="23">
        <v>100735.97199999999</v>
      </c>
      <c r="R53" s="23">
        <v>104034.799</v>
      </c>
      <c r="S53" s="23">
        <v>94725.391000000003</v>
      </c>
      <c r="T53" s="23">
        <v>102919.79300000001</v>
      </c>
      <c r="U53" s="23">
        <v>114272.643</v>
      </c>
      <c r="V53" s="23">
        <v>142742.26199999999</v>
      </c>
      <c r="W53" s="23">
        <v>156351.04000000001</v>
      </c>
      <c r="X53" s="23">
        <v>149558.28899999999</v>
      </c>
      <c r="Y53" s="23">
        <v>40749.862999999998</v>
      </c>
      <c r="Z53" s="23">
        <v>41966.478999999999</v>
      </c>
      <c r="AA53" s="23">
        <v>40758.51</v>
      </c>
      <c r="AB53" s="23">
        <v>168399.89499999999</v>
      </c>
      <c r="AC53" s="23">
        <v>168772.17499999999</v>
      </c>
      <c r="AD53" s="23"/>
      <c r="AE53" s="23">
        <v>151461.35200000001</v>
      </c>
    </row>
    <row r="54" spans="1:31">
      <c r="A54" s="7" t="s">
        <v>69</v>
      </c>
      <c r="B54" s="47">
        <f t="shared" ref="B54:J54" si="15">SUM(B57:B65)</f>
        <v>0</v>
      </c>
      <c r="C54" s="47">
        <f t="shared" si="15"/>
        <v>0</v>
      </c>
      <c r="D54" s="47">
        <f t="shared" si="15"/>
        <v>0</v>
      </c>
      <c r="E54" s="47">
        <f t="shared" si="15"/>
        <v>0</v>
      </c>
      <c r="F54" s="47">
        <f>SUM(F56:F64)</f>
        <v>209790.41799999998</v>
      </c>
      <c r="G54" s="47">
        <f t="shared" si="15"/>
        <v>0</v>
      </c>
      <c r="H54" s="47">
        <f t="shared" si="15"/>
        <v>0</v>
      </c>
      <c r="I54" s="47">
        <f>SUM(I56:I64)</f>
        <v>269385.27400000003</v>
      </c>
      <c r="J54" s="47">
        <f t="shared" si="15"/>
        <v>0</v>
      </c>
      <c r="K54" s="47">
        <f t="shared" ref="K54:AC54" si="16">SUM(K56:K64)</f>
        <v>308957.10901000007</v>
      </c>
      <c r="L54" s="47">
        <f t="shared" si="16"/>
        <v>334729.02999999997</v>
      </c>
      <c r="M54" s="47">
        <f t="shared" si="16"/>
        <v>373230.58600000001</v>
      </c>
      <c r="N54" s="47">
        <f t="shared" si="16"/>
        <v>402052.50400000002</v>
      </c>
      <c r="O54" s="47">
        <f t="shared" si="16"/>
        <v>426824.78099999996</v>
      </c>
      <c r="P54" s="47">
        <f t="shared" si="16"/>
        <v>463241.57900000003</v>
      </c>
      <c r="Q54" s="47">
        <f t="shared" si="16"/>
        <v>493704.348</v>
      </c>
      <c r="R54" s="47">
        <f t="shared" si="16"/>
        <v>510351.951</v>
      </c>
      <c r="S54" s="47">
        <f t="shared" si="16"/>
        <v>538962.43999999994</v>
      </c>
      <c r="T54" s="47">
        <f t="shared" si="16"/>
        <v>586702.946</v>
      </c>
      <c r="U54" s="47">
        <f t="shared" si="16"/>
        <v>628641.36199999996</v>
      </c>
      <c r="V54" s="47">
        <f t="shared" si="16"/>
        <v>732367.88400000008</v>
      </c>
      <c r="W54" s="47">
        <f t="shared" si="16"/>
        <v>750462.55199999991</v>
      </c>
      <c r="X54" s="47">
        <f t="shared" si="16"/>
        <v>779089.58699999994</v>
      </c>
      <c r="Y54" s="47">
        <f t="shared" si="16"/>
        <v>800678.69000000006</v>
      </c>
      <c r="Z54" s="47">
        <f t="shared" si="16"/>
        <v>823587.02299999993</v>
      </c>
      <c r="AA54" s="47">
        <f t="shared" si="16"/>
        <v>857993.23199999984</v>
      </c>
      <c r="AB54" s="47">
        <f t="shared" si="16"/>
        <v>857398.84600000002</v>
      </c>
      <c r="AC54" s="47">
        <f t="shared" si="16"/>
        <v>877105.69099999999</v>
      </c>
      <c r="AD54" s="47">
        <f t="shared" ref="AD54:AE54" si="17">SUM(AD56:AD64)</f>
        <v>0</v>
      </c>
      <c r="AE54" s="47">
        <f t="shared" si="17"/>
        <v>867290.89300000004</v>
      </c>
    </row>
    <row r="55" spans="1:31">
      <c r="A55" s="7" t="s">
        <v>97</v>
      </c>
      <c r="U55" s="1">
        <v>0</v>
      </c>
      <c r="X55" s="1">
        <v>0</v>
      </c>
      <c r="AB55" s="1">
        <v>0</v>
      </c>
      <c r="AC55" s="1">
        <v>0</v>
      </c>
    </row>
    <row r="56" spans="1:31">
      <c r="A56" s="1" t="s">
        <v>70</v>
      </c>
      <c r="F56" s="41">
        <v>21662.799999999999</v>
      </c>
      <c r="I56" s="1">
        <v>20232.473999999998</v>
      </c>
      <c r="K56" s="1">
        <v>27649.671679999999</v>
      </c>
      <c r="L56" s="1">
        <v>32739.062999999998</v>
      </c>
      <c r="M56" s="1">
        <v>33267.436000000002</v>
      </c>
      <c r="N56" s="1">
        <v>36070.074999999997</v>
      </c>
      <c r="O56" s="1">
        <v>35378.845000000001</v>
      </c>
      <c r="P56" s="1">
        <v>42275</v>
      </c>
      <c r="Q56" s="1">
        <v>46089.894999999997</v>
      </c>
      <c r="R56" s="1">
        <v>48025.773000000001</v>
      </c>
      <c r="S56" s="1">
        <v>49790.896999999997</v>
      </c>
      <c r="T56" s="1">
        <v>53581.512999999999</v>
      </c>
      <c r="U56" s="1">
        <v>47745.781999999999</v>
      </c>
      <c r="V56" s="1">
        <v>52395.101000000002</v>
      </c>
      <c r="W56" s="1">
        <v>48456.209000000003</v>
      </c>
      <c r="X56" s="1">
        <v>46567.544999999998</v>
      </c>
      <c r="Y56" s="1">
        <v>48655.065999999999</v>
      </c>
      <c r="Z56" s="1">
        <v>50587.332000000002</v>
      </c>
      <c r="AA56" s="1">
        <v>53598.042000000001</v>
      </c>
      <c r="AB56" s="1">
        <v>46231.88</v>
      </c>
      <c r="AC56" s="1">
        <v>47168.832000000002</v>
      </c>
      <c r="AE56" s="1">
        <v>49029.201999999997</v>
      </c>
    </row>
    <row r="57" spans="1:31">
      <c r="A57" s="1" t="s">
        <v>71</v>
      </c>
      <c r="F57" s="41">
        <v>2861.1419999999998</v>
      </c>
      <c r="I57" s="1">
        <v>3841.433</v>
      </c>
      <c r="K57" s="1">
        <v>4403.5060000000003</v>
      </c>
      <c r="L57" s="1">
        <v>6061.0540000000001</v>
      </c>
      <c r="M57" s="1">
        <v>6566.9849999999997</v>
      </c>
      <c r="N57" s="1">
        <v>7347.3959999999997</v>
      </c>
      <c r="O57" s="1">
        <v>7906.5749999999998</v>
      </c>
      <c r="P57" s="1">
        <v>8228.8430000000008</v>
      </c>
      <c r="Q57" s="1">
        <v>8567.7639999999992</v>
      </c>
      <c r="R57" s="1">
        <v>9478.9959999999992</v>
      </c>
      <c r="S57" s="1">
        <v>9801.6020000000008</v>
      </c>
      <c r="T57" s="1">
        <v>10727.094999999999</v>
      </c>
      <c r="U57" s="1">
        <v>13539.382</v>
      </c>
      <c r="V57" s="1">
        <v>13640.875</v>
      </c>
      <c r="W57" s="1">
        <v>13896.187</v>
      </c>
      <c r="X57" s="1">
        <v>14655.362999999999</v>
      </c>
      <c r="Y57" s="1">
        <v>15872.736999999999</v>
      </c>
      <c r="Z57" s="1">
        <v>15785.491</v>
      </c>
      <c r="AA57" s="1">
        <v>16909.057000000001</v>
      </c>
      <c r="AB57" s="1">
        <v>16426.235000000001</v>
      </c>
      <c r="AC57" s="1">
        <v>17864.745999999999</v>
      </c>
      <c r="AE57" s="1">
        <v>19398.539000000001</v>
      </c>
    </row>
    <row r="58" spans="1:31" s="23" customFormat="1">
      <c r="A58" s="1" t="s">
        <v>72</v>
      </c>
      <c r="B58" s="1"/>
      <c r="C58" s="1"/>
      <c r="D58" s="1"/>
      <c r="E58" s="1"/>
      <c r="F58" s="41">
        <v>22315.573</v>
      </c>
      <c r="G58" s="1"/>
      <c r="H58" s="1"/>
      <c r="I58" s="1">
        <v>33338.159</v>
      </c>
      <c r="J58" s="1"/>
      <c r="K58" s="1">
        <v>47996.898000000001</v>
      </c>
      <c r="L58" s="1">
        <v>60047.303999999996</v>
      </c>
      <c r="M58" s="1">
        <v>66730.379000000001</v>
      </c>
      <c r="N58" s="1">
        <v>70029.365000000005</v>
      </c>
      <c r="O58" s="1">
        <v>70352.509999999995</v>
      </c>
      <c r="P58" s="1">
        <v>72614.532999999996</v>
      </c>
      <c r="Q58" s="1">
        <v>77528.058999999994</v>
      </c>
      <c r="R58" s="1">
        <v>83221.342999999993</v>
      </c>
      <c r="S58" s="1">
        <v>88489.134000000005</v>
      </c>
      <c r="T58" s="1">
        <v>95508.077999999994</v>
      </c>
      <c r="U58" s="1">
        <v>92539.774999999994</v>
      </c>
      <c r="V58" s="1">
        <v>106083.22900000001</v>
      </c>
      <c r="W58" s="1">
        <v>114029.545</v>
      </c>
      <c r="X58" s="1">
        <v>120817.698</v>
      </c>
      <c r="Y58" s="1">
        <v>127273.336</v>
      </c>
      <c r="Z58" s="1">
        <v>129417.067</v>
      </c>
      <c r="AA58" s="1">
        <v>139169.353</v>
      </c>
      <c r="AB58" s="1">
        <v>136708.69399999999</v>
      </c>
      <c r="AC58" s="1">
        <v>141604.348</v>
      </c>
      <c r="AD58" s="1"/>
      <c r="AE58" s="1">
        <v>143938.09099999999</v>
      </c>
    </row>
    <row r="59" spans="1:31">
      <c r="A59" s="1" t="s">
        <v>73</v>
      </c>
      <c r="F59" s="41">
        <v>2515.1179999999999</v>
      </c>
      <c r="I59" s="1">
        <v>2339.2310000000002</v>
      </c>
      <c r="K59" s="1">
        <v>2357.7835</v>
      </c>
      <c r="L59" s="1">
        <v>2846.3980000000001</v>
      </c>
      <c r="M59" s="1">
        <v>2115.4229999999998</v>
      </c>
      <c r="N59" s="1">
        <v>2039.183</v>
      </c>
      <c r="O59" s="1">
        <v>2599.6970000000001</v>
      </c>
      <c r="P59" s="1">
        <v>3398.125</v>
      </c>
      <c r="Q59" s="1">
        <v>3769.569</v>
      </c>
      <c r="R59" s="1">
        <v>3165.5549999999998</v>
      </c>
      <c r="S59" s="1">
        <v>5071.6530000000002</v>
      </c>
      <c r="T59" s="1">
        <v>4312.4949999999999</v>
      </c>
      <c r="U59" s="1">
        <v>4739.8159999999998</v>
      </c>
      <c r="V59" s="1">
        <v>4765.0709999999999</v>
      </c>
      <c r="W59" s="1">
        <v>5307.0640000000003</v>
      </c>
      <c r="X59" s="1">
        <v>6868.7160000000003</v>
      </c>
      <c r="Y59" s="1">
        <v>5576.0129999999999</v>
      </c>
      <c r="Z59" s="1">
        <v>5539.1289999999999</v>
      </c>
      <c r="AA59" s="1">
        <v>8273.2029999999995</v>
      </c>
      <c r="AB59" s="1">
        <v>6720.5630000000001</v>
      </c>
      <c r="AC59" s="1">
        <v>8605.0619999999999</v>
      </c>
      <c r="AE59" s="1">
        <v>9339.2129999999997</v>
      </c>
    </row>
    <row r="60" spans="1:31">
      <c r="A60" s="1" t="s">
        <v>74</v>
      </c>
      <c r="F60" s="41">
        <v>41327.982000000004</v>
      </c>
      <c r="I60" s="1">
        <v>49400.953999999998</v>
      </c>
      <c r="K60" s="1">
        <v>54114.798999999999</v>
      </c>
      <c r="L60" s="1">
        <v>57298.54</v>
      </c>
      <c r="M60" s="1">
        <v>60474.618000000002</v>
      </c>
      <c r="N60" s="1">
        <v>66297.361999999994</v>
      </c>
      <c r="O60" s="1">
        <v>72520.547999999995</v>
      </c>
      <c r="P60" s="1">
        <v>76992.418000000005</v>
      </c>
      <c r="Q60" s="1">
        <v>82037.410999999993</v>
      </c>
      <c r="R60" s="1">
        <v>82521.989000000001</v>
      </c>
      <c r="S60" s="1">
        <v>83687.653000000006</v>
      </c>
      <c r="T60" s="1">
        <v>90908.432000000001</v>
      </c>
      <c r="U60" s="1">
        <v>97818.649000000005</v>
      </c>
      <c r="V60" s="1">
        <v>120248.618</v>
      </c>
      <c r="W60" s="1">
        <v>125387.15399999999</v>
      </c>
      <c r="X60" s="1">
        <v>129254.037</v>
      </c>
      <c r="Y60" s="1">
        <v>131145.204</v>
      </c>
      <c r="Z60" s="1">
        <v>133150.59599999999</v>
      </c>
      <c r="AA60" s="1">
        <v>130362.535</v>
      </c>
      <c r="AB60" s="1">
        <v>124437.829</v>
      </c>
      <c r="AC60" s="1">
        <v>132556.361</v>
      </c>
      <c r="AE60" s="1">
        <v>136098.353</v>
      </c>
    </row>
    <row r="61" spans="1:31">
      <c r="A61" s="1" t="s">
        <v>75</v>
      </c>
      <c r="F61" s="41">
        <v>79374.805999999997</v>
      </c>
      <c r="I61" s="1">
        <v>111534.24400000001</v>
      </c>
      <c r="K61" s="1">
        <v>119540.156</v>
      </c>
      <c r="L61" s="1">
        <v>119335.302</v>
      </c>
      <c r="M61" s="1">
        <v>143048.17499999999</v>
      </c>
      <c r="N61" s="1">
        <v>153100.62899999999</v>
      </c>
      <c r="O61" s="1">
        <v>166934.28200000001</v>
      </c>
      <c r="P61" s="1">
        <v>184240.94200000001</v>
      </c>
      <c r="Q61" s="1">
        <v>195300.23800000001</v>
      </c>
      <c r="R61" s="1">
        <v>198264.022</v>
      </c>
      <c r="S61" s="1">
        <v>213292.59899999999</v>
      </c>
      <c r="T61" s="1">
        <v>229806.74299999999</v>
      </c>
      <c r="U61" s="1">
        <v>258118.36600000001</v>
      </c>
      <c r="V61" s="1">
        <v>308848.16700000002</v>
      </c>
      <c r="W61" s="1">
        <v>309613.87</v>
      </c>
      <c r="X61" s="1">
        <v>322778.91600000003</v>
      </c>
      <c r="Y61" s="1">
        <v>331666.51400000002</v>
      </c>
      <c r="Z61" s="1">
        <v>343371.18599999999</v>
      </c>
      <c r="AA61" s="1">
        <v>362174.70899999997</v>
      </c>
      <c r="AB61" s="1">
        <v>379398.46100000001</v>
      </c>
      <c r="AC61" s="1">
        <v>381948.99699999997</v>
      </c>
      <c r="AE61" s="1">
        <v>361663.04100000003</v>
      </c>
    </row>
    <row r="62" spans="1:31">
      <c r="A62" s="1" t="s">
        <v>76</v>
      </c>
      <c r="F62" s="41">
        <v>34645.392</v>
      </c>
      <c r="I62" s="1">
        <v>43915.74</v>
      </c>
      <c r="K62" s="1">
        <v>47668.126830000016</v>
      </c>
      <c r="L62" s="1">
        <v>50337.504999999997</v>
      </c>
      <c r="M62" s="1">
        <v>54298.749000000003</v>
      </c>
      <c r="N62" s="1">
        <v>59946.923000000003</v>
      </c>
      <c r="O62" s="1">
        <v>63162.25</v>
      </c>
      <c r="P62" s="1">
        <v>67450.039000000004</v>
      </c>
      <c r="Q62" s="1">
        <v>71831.887000000002</v>
      </c>
      <c r="R62" s="1">
        <v>76037.95</v>
      </c>
      <c r="S62" s="1">
        <v>78910.418999999994</v>
      </c>
      <c r="T62" s="1">
        <v>91058.513000000006</v>
      </c>
      <c r="U62" s="1">
        <v>101165.443</v>
      </c>
      <c r="V62" s="1">
        <v>115022.09299999999</v>
      </c>
      <c r="W62" s="1">
        <v>120865.73299999999</v>
      </c>
      <c r="X62" s="1">
        <v>124754.704</v>
      </c>
      <c r="Y62" s="1">
        <v>125375.36500000001</v>
      </c>
      <c r="Z62" s="1">
        <v>130225.36900000001</v>
      </c>
      <c r="AA62" s="1">
        <v>131503.842</v>
      </c>
      <c r="AB62" s="1">
        <v>131810.114</v>
      </c>
      <c r="AC62" s="1">
        <v>131100.37700000001</v>
      </c>
      <c r="AE62" s="1">
        <v>131750.09099999999</v>
      </c>
    </row>
    <row r="63" spans="1:31">
      <c r="A63" s="1" t="s">
        <v>77</v>
      </c>
      <c r="F63" s="41">
        <v>3751.0929999999998</v>
      </c>
      <c r="I63" s="1">
        <v>4367.1390000000001</v>
      </c>
      <c r="K63" s="1">
        <v>4811.433</v>
      </c>
      <c r="L63" s="1">
        <v>5516.1540000000005</v>
      </c>
      <c r="M63" s="1">
        <v>6132.5439999999999</v>
      </c>
      <c r="N63" s="1">
        <v>6390.201</v>
      </c>
      <c r="O63" s="1">
        <v>7021.3440000000001</v>
      </c>
      <c r="P63" s="1">
        <v>7074.1139999999996</v>
      </c>
      <c r="Q63" s="1">
        <v>7629.52</v>
      </c>
      <c r="R63" s="1">
        <v>8603.9339999999993</v>
      </c>
      <c r="S63" s="1">
        <v>8949.17</v>
      </c>
      <c r="T63" s="1">
        <v>9644.6299999999992</v>
      </c>
      <c r="U63" s="1">
        <v>10950.763999999999</v>
      </c>
      <c r="V63" s="1">
        <v>10283.501</v>
      </c>
      <c r="W63" s="1">
        <v>11717.254000000001</v>
      </c>
      <c r="X63" s="1">
        <v>12209.19</v>
      </c>
      <c r="Y63" s="1">
        <v>12559.239</v>
      </c>
      <c r="Z63" s="1">
        <v>13205.902</v>
      </c>
      <c r="AA63" s="1">
        <v>13326.852000000001</v>
      </c>
      <c r="AB63" s="1">
        <v>14302.73</v>
      </c>
      <c r="AC63" s="1">
        <v>14379.499</v>
      </c>
      <c r="AE63" s="1">
        <v>14217.251</v>
      </c>
    </row>
    <row r="64" spans="1:31">
      <c r="A64" s="23" t="s">
        <v>78</v>
      </c>
      <c r="B64" s="23"/>
      <c r="C64" s="23"/>
      <c r="D64" s="23"/>
      <c r="E64" s="23"/>
      <c r="F64" s="44">
        <v>1336.5119999999999</v>
      </c>
      <c r="G64" s="23"/>
      <c r="H64" s="23"/>
      <c r="I64" s="23">
        <v>415.9</v>
      </c>
      <c r="J64" s="23"/>
      <c r="K64" s="23">
        <v>414.73500000000001</v>
      </c>
      <c r="L64" s="23">
        <v>547.71</v>
      </c>
      <c r="M64" s="23">
        <v>596.27700000000004</v>
      </c>
      <c r="N64" s="23">
        <v>831.37</v>
      </c>
      <c r="O64" s="23">
        <v>948.73</v>
      </c>
      <c r="P64" s="23">
        <v>967.56500000000005</v>
      </c>
      <c r="Q64" s="23">
        <v>950.005</v>
      </c>
      <c r="R64" s="23">
        <v>1032.3889999999999</v>
      </c>
      <c r="S64" s="23">
        <v>969.31299999999999</v>
      </c>
      <c r="T64" s="23">
        <v>1155.4469999999999</v>
      </c>
      <c r="U64" s="23">
        <v>2023.385</v>
      </c>
      <c r="V64" s="23">
        <v>1081.229</v>
      </c>
      <c r="W64" s="23">
        <v>1189.5360000000001</v>
      </c>
      <c r="X64" s="23">
        <v>1183.4179999999999</v>
      </c>
      <c r="Y64" s="23">
        <v>2555.2159999999999</v>
      </c>
      <c r="Z64" s="23">
        <v>2304.951</v>
      </c>
      <c r="AA64" s="23">
        <v>2675.6390000000001</v>
      </c>
      <c r="AB64" s="23">
        <v>1362.34</v>
      </c>
      <c r="AC64" s="23">
        <v>1877.4690000000001</v>
      </c>
      <c r="AD64" s="23"/>
      <c r="AE64" s="23">
        <v>1857.1120000000001</v>
      </c>
    </row>
    <row r="65" spans="1:31">
      <c r="A65" s="45" t="s">
        <v>79</v>
      </c>
      <c r="B65" s="45"/>
      <c r="C65" s="45"/>
      <c r="D65" s="45"/>
      <c r="E65" s="45"/>
      <c r="F65" s="46">
        <v>0</v>
      </c>
      <c r="G65" s="45"/>
      <c r="H65" s="45"/>
      <c r="I65" s="45">
        <v>0</v>
      </c>
      <c r="J65" s="45"/>
      <c r="K65" s="45">
        <v>0</v>
      </c>
      <c r="L65" s="45">
        <v>0</v>
      </c>
      <c r="M65" s="45">
        <v>0</v>
      </c>
      <c r="N65" s="45">
        <v>0</v>
      </c>
      <c r="O65" s="45">
        <v>0</v>
      </c>
      <c r="P65" s="45">
        <v>0</v>
      </c>
      <c r="Q65" s="45">
        <v>0</v>
      </c>
      <c r="R65" s="45">
        <v>0</v>
      </c>
      <c r="S65" s="45">
        <v>0</v>
      </c>
      <c r="T65" s="45">
        <v>0</v>
      </c>
      <c r="U65" s="45"/>
      <c r="V65" s="45">
        <v>0</v>
      </c>
      <c r="W65" s="45">
        <v>0</v>
      </c>
      <c r="X65" s="23"/>
      <c r="Y65" s="23"/>
      <c r="Z65" s="23"/>
      <c r="AA65" s="23"/>
      <c r="AB65" s="23"/>
      <c r="AC65" s="23"/>
      <c r="AD65" s="23"/>
      <c r="AE65" s="23"/>
    </row>
    <row r="67" spans="1:31">
      <c r="I67" s="19" t="s">
        <v>99</v>
      </c>
      <c r="J67" s="19" t="s">
        <v>100</v>
      </c>
      <c r="K67" s="19"/>
      <c r="L67" s="19" t="s">
        <v>101</v>
      </c>
      <c r="M67" s="19"/>
      <c r="N67" s="19"/>
      <c r="O67" s="19" t="s">
        <v>99</v>
      </c>
      <c r="P67" s="19" t="s">
        <v>99</v>
      </c>
      <c r="Q67" s="19" t="s">
        <v>99</v>
      </c>
      <c r="R67" s="19" t="s">
        <v>99</v>
      </c>
      <c r="S67" s="19"/>
      <c r="T67" s="19"/>
      <c r="U67" s="19"/>
      <c r="V67" s="19"/>
      <c r="W67" s="19"/>
    </row>
    <row r="68" spans="1:31">
      <c r="I68" s="1" t="s">
        <v>102</v>
      </c>
      <c r="J68" s="1" t="s">
        <v>103</v>
      </c>
      <c r="L68" s="1" t="s">
        <v>104</v>
      </c>
      <c r="O68" s="1" t="s">
        <v>102</v>
      </c>
      <c r="P68" s="1" t="s">
        <v>102</v>
      </c>
      <c r="Q68" s="1" t="s">
        <v>102</v>
      </c>
      <c r="R68" s="1" t="s">
        <v>102</v>
      </c>
    </row>
    <row r="69" spans="1:31">
      <c r="I69" s="1" t="s">
        <v>105</v>
      </c>
      <c r="J69" s="1" t="s">
        <v>106</v>
      </c>
      <c r="O69" s="1" t="s">
        <v>105</v>
      </c>
      <c r="P69" s="1" t="s">
        <v>105</v>
      </c>
      <c r="Q69" s="1" t="s">
        <v>105</v>
      </c>
      <c r="R69" s="1" t="s">
        <v>105</v>
      </c>
    </row>
    <row r="70" spans="1:31">
      <c r="J70" s="1" t="s">
        <v>107</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tabColor theme="4" tint="0.39997558519241921"/>
  </sheetPr>
  <dimension ref="A1:AE70"/>
  <sheetViews>
    <sheetView showZeros="0" zoomScale="90" zoomScaleNormal="90" workbookViewId="0">
      <pane xSplit="1" ySplit="5" topLeftCell="R6" activePane="bottomRight" state="frozen"/>
      <selection pane="topRight" activeCell="AC65" sqref="AC65"/>
      <selection pane="bottomLeft" activeCell="AC65" sqref="AC65"/>
      <selection pane="bottomRight" activeCell="AE9" sqref="AE9:AE24"/>
    </sheetView>
  </sheetViews>
  <sheetFormatPr defaultColWidth="9.85546875" defaultRowHeight="12.75"/>
  <cols>
    <col min="1" max="1" width="23.42578125" style="43" customWidth="1"/>
    <col min="2" max="23" width="12.42578125" style="1" customWidth="1"/>
    <col min="24" max="29" width="10.85546875" style="1" customWidth="1"/>
    <col min="30" max="31" width="12.42578125" style="1" customWidth="1"/>
    <col min="32" max="43" width="10.85546875" style="1" customWidth="1"/>
    <col min="44" max="16384" width="9.85546875" style="1"/>
  </cols>
  <sheetData>
    <row r="1" spans="1:31">
      <c r="A1" s="7" t="s">
        <v>94</v>
      </c>
      <c r="B1"/>
      <c r="C1"/>
      <c r="D1"/>
      <c r="E1"/>
      <c r="F1"/>
      <c r="G1"/>
      <c r="H1"/>
      <c r="I1"/>
      <c r="J1"/>
      <c r="K1"/>
      <c r="L1"/>
      <c r="M1"/>
      <c r="N1"/>
      <c r="O1"/>
      <c r="P1"/>
      <c r="Q1"/>
      <c r="R1"/>
      <c r="S1"/>
    </row>
    <row r="2" spans="1:31">
      <c r="A2" s="9"/>
      <c r="B2"/>
      <c r="C2"/>
      <c r="D2"/>
      <c r="E2"/>
      <c r="F2"/>
      <c r="G2"/>
      <c r="H2"/>
      <c r="I2"/>
      <c r="J2"/>
      <c r="K2"/>
      <c r="L2"/>
      <c r="M2"/>
      <c r="N2"/>
      <c r="O2"/>
      <c r="P2"/>
      <c r="Q2"/>
      <c r="R2"/>
      <c r="S2"/>
      <c r="Z2" s="1">
        <v>1000</v>
      </c>
    </row>
    <row r="3" spans="1:31">
      <c r="A3" s="1" t="s">
        <v>136</v>
      </c>
      <c r="B3"/>
      <c r="C3"/>
      <c r="D3"/>
      <c r="E3"/>
      <c r="F3"/>
      <c r="G3"/>
      <c r="H3"/>
      <c r="I3"/>
      <c r="J3"/>
      <c r="K3"/>
      <c r="L3"/>
      <c r="M3"/>
      <c r="N3"/>
      <c r="O3"/>
      <c r="P3"/>
      <c r="Q3"/>
      <c r="R3"/>
      <c r="S3"/>
    </row>
    <row r="4" spans="1:31" s="32" customFormat="1">
      <c r="B4" s="32">
        <v>1984</v>
      </c>
      <c r="C4" s="32">
        <v>1985</v>
      </c>
      <c r="D4" s="32">
        <v>1986</v>
      </c>
      <c r="E4" s="32">
        <v>1991</v>
      </c>
      <c r="F4" s="32">
        <v>1992</v>
      </c>
      <c r="G4" s="32">
        <v>1993</v>
      </c>
      <c r="H4" s="32">
        <v>1994</v>
      </c>
      <c r="I4" s="32">
        <v>1995</v>
      </c>
      <c r="J4" s="32">
        <v>1996</v>
      </c>
      <c r="K4" s="32">
        <v>1997</v>
      </c>
      <c r="L4" s="32">
        <v>2000</v>
      </c>
      <c r="M4" s="39">
        <v>2001</v>
      </c>
      <c r="N4" s="39">
        <v>2002</v>
      </c>
      <c r="O4" s="39">
        <v>2003</v>
      </c>
      <c r="P4" s="39">
        <v>2004</v>
      </c>
      <c r="Q4" s="32">
        <v>2005</v>
      </c>
      <c r="R4" s="32">
        <v>2006</v>
      </c>
      <c r="S4" s="39">
        <v>2007</v>
      </c>
      <c r="T4" s="39">
        <v>2008</v>
      </c>
      <c r="U4" s="39">
        <v>2009</v>
      </c>
      <c r="V4" s="39">
        <v>2010</v>
      </c>
      <c r="W4" s="39">
        <v>2011</v>
      </c>
      <c r="X4" s="32" t="s">
        <v>111</v>
      </c>
      <c r="Y4" s="32" t="s">
        <v>112</v>
      </c>
      <c r="Z4" s="32" t="s">
        <v>113</v>
      </c>
      <c r="AA4" s="32" t="s">
        <v>114</v>
      </c>
      <c r="AB4" s="95" t="s">
        <v>115</v>
      </c>
      <c r="AC4" s="95" t="s">
        <v>116</v>
      </c>
      <c r="AD4" s="96">
        <v>2018</v>
      </c>
      <c r="AE4" s="96">
        <v>2019</v>
      </c>
    </row>
    <row r="5" spans="1:31" s="8" customFormat="1">
      <c r="B5" s="8" t="s">
        <v>96</v>
      </c>
      <c r="C5" s="8" t="s">
        <v>96</v>
      </c>
      <c r="D5" s="8" t="s">
        <v>96</v>
      </c>
      <c r="E5" s="8" t="s">
        <v>96</v>
      </c>
      <c r="F5" s="8" t="s">
        <v>96</v>
      </c>
      <c r="G5" s="8" t="s">
        <v>96</v>
      </c>
      <c r="H5" s="8" t="s">
        <v>96</v>
      </c>
      <c r="I5" s="8" t="s">
        <v>96</v>
      </c>
      <c r="J5" s="8" t="s">
        <v>96</v>
      </c>
      <c r="K5" s="8" t="s">
        <v>96</v>
      </c>
      <c r="L5" s="8" t="s">
        <v>96</v>
      </c>
      <c r="M5" s="8" t="s">
        <v>96</v>
      </c>
      <c r="N5" s="8" t="s">
        <v>96</v>
      </c>
      <c r="O5" s="8" t="s">
        <v>96</v>
      </c>
      <c r="P5" s="8" t="s">
        <v>96</v>
      </c>
      <c r="Q5" s="8" t="s">
        <v>96</v>
      </c>
      <c r="R5" s="8" t="s">
        <v>96</v>
      </c>
      <c r="S5" s="8" t="s">
        <v>96</v>
      </c>
      <c r="T5" s="8" t="s">
        <v>96</v>
      </c>
      <c r="U5" s="8" t="s">
        <v>96</v>
      </c>
      <c r="V5" s="8" t="s">
        <v>96</v>
      </c>
      <c r="W5" s="8" t="s">
        <v>96</v>
      </c>
      <c r="X5" s="8" t="s">
        <v>96</v>
      </c>
      <c r="Y5" s="8" t="s">
        <v>96</v>
      </c>
      <c r="Z5" s="8" t="s">
        <v>96</v>
      </c>
      <c r="AA5" s="8" t="s">
        <v>96</v>
      </c>
      <c r="AB5" s="8" t="s">
        <v>96</v>
      </c>
      <c r="AC5" s="8" t="s">
        <v>96</v>
      </c>
      <c r="AD5" s="8" t="s">
        <v>96</v>
      </c>
      <c r="AE5" s="8" t="s">
        <v>96</v>
      </c>
    </row>
    <row r="6" spans="1:31">
      <c r="A6" s="23" t="s">
        <v>24</v>
      </c>
      <c r="B6" s="1">
        <f>1055226+2335917</f>
        <v>3391143</v>
      </c>
      <c r="C6" s="1">
        <f>1187413+2601142</f>
        <v>3788555</v>
      </c>
      <c r="D6" s="1">
        <f>1326109+2800086</f>
        <v>4126195</v>
      </c>
      <c r="E6" s="1">
        <v>5504007.966</v>
      </c>
      <c r="F6" s="48">
        <f>+F7+F25+F40+F54+F65</f>
        <v>5368806.6920000007</v>
      </c>
      <c r="G6" s="1">
        <v>6273329.3030000003</v>
      </c>
      <c r="H6" s="1">
        <v>6368953.2889999999</v>
      </c>
      <c r="I6" s="48">
        <f>+I7+I25+I40+I54+I65</f>
        <v>6277513.0700000003</v>
      </c>
      <c r="J6" s="1">
        <v>7381535.9850000003</v>
      </c>
      <c r="K6" s="48">
        <f t="shared" ref="K6:U6" si="0">+K7+K25+K40+K54+K65</f>
        <v>7690411.7177300015</v>
      </c>
      <c r="L6" s="48">
        <f t="shared" si="0"/>
        <v>8558993.716</v>
      </c>
      <c r="M6" s="48">
        <f t="shared" si="0"/>
        <v>9189970.3809999991</v>
      </c>
      <c r="N6" s="48">
        <f t="shared" si="0"/>
        <v>9384476.7650000006</v>
      </c>
      <c r="O6" s="48">
        <f t="shared" si="0"/>
        <v>9669276.0330000017</v>
      </c>
      <c r="P6" s="48">
        <f t="shared" si="0"/>
        <v>10074840.783</v>
      </c>
      <c r="Q6" s="48">
        <f t="shared" si="0"/>
        <v>10774727.204</v>
      </c>
      <c r="R6" s="48">
        <f t="shared" si="0"/>
        <v>11032494.245999999</v>
      </c>
      <c r="S6" s="48">
        <f t="shared" si="0"/>
        <v>11995112.602</v>
      </c>
      <c r="T6" s="48">
        <f t="shared" si="0"/>
        <v>13763290.6395</v>
      </c>
      <c r="U6" s="48">
        <f t="shared" si="0"/>
        <v>12954947.931</v>
      </c>
      <c r="V6" s="48">
        <f t="shared" ref="V6:W6" si="1">+V7+V25+V40+V54+V65</f>
        <v>15684467.185000002</v>
      </c>
      <c r="W6" s="48">
        <f t="shared" si="1"/>
        <v>16531298.530000001</v>
      </c>
      <c r="X6" s="48">
        <f t="shared" ref="X6:Y6" si="2">+X7+X25+X40+X54+X65</f>
        <v>16828207.550000001</v>
      </c>
      <c r="Y6" s="48">
        <f t="shared" si="2"/>
        <v>16989343.049999997</v>
      </c>
      <c r="Z6" s="48">
        <f t="shared" ref="Z6:AA6" si="3">+Z7+Z25+Z40+Z54+Z65</f>
        <v>18135608.756999996</v>
      </c>
      <c r="AA6" s="48">
        <f t="shared" si="3"/>
        <v>18733975.444000002</v>
      </c>
      <c r="AB6" s="48">
        <f t="shared" ref="AB6:AE6" si="4">+AB7+AB25+AB40+AB54+AB65</f>
        <v>20313863.673000004</v>
      </c>
      <c r="AC6" s="48">
        <f t="shared" si="4"/>
        <v>20881647.837000001</v>
      </c>
      <c r="AD6" s="48">
        <f t="shared" si="4"/>
        <v>0</v>
      </c>
      <c r="AE6" s="48">
        <f t="shared" si="4"/>
        <v>22176084.906000007</v>
      </c>
    </row>
    <row r="7" spans="1:31">
      <c r="A7" s="1" t="s">
        <v>25</v>
      </c>
      <c r="B7" s="47">
        <f>SUM(B8:B24)</f>
        <v>1078160</v>
      </c>
      <c r="C7" s="47">
        <f t="shared" ref="C7:U7" si="5">SUM(C8:C24)</f>
        <v>1192716</v>
      </c>
      <c r="D7" s="47">
        <f t="shared" si="5"/>
        <v>1270697</v>
      </c>
      <c r="E7" s="47">
        <f t="shared" si="5"/>
        <v>1850694.6500000004</v>
      </c>
      <c r="F7" s="47">
        <f t="shared" si="5"/>
        <v>1778057.0549999997</v>
      </c>
      <c r="G7" s="47">
        <f t="shared" si="5"/>
        <v>1914952.7700000003</v>
      </c>
      <c r="H7" s="47">
        <f t="shared" si="5"/>
        <v>2072957.2949999999</v>
      </c>
      <c r="I7" s="47">
        <f t="shared" si="5"/>
        <v>2156035.3470000005</v>
      </c>
      <c r="J7" s="47">
        <f t="shared" si="5"/>
        <v>2423281.6910000006</v>
      </c>
      <c r="K7" s="47">
        <f t="shared" si="5"/>
        <v>2587288.0262000002</v>
      </c>
      <c r="L7" s="47">
        <f t="shared" si="5"/>
        <v>3074100.0960000004</v>
      </c>
      <c r="M7" s="47">
        <f t="shared" si="5"/>
        <v>3338736.054</v>
      </c>
      <c r="N7" s="47">
        <f t="shared" si="5"/>
        <v>3521504.7110000006</v>
      </c>
      <c r="O7" s="47">
        <f t="shared" si="5"/>
        <v>3856962.2990000001</v>
      </c>
      <c r="P7" s="47">
        <f t="shared" si="5"/>
        <v>3999130.0830000006</v>
      </c>
      <c r="Q7" s="47">
        <f t="shared" si="5"/>
        <v>4243248.085</v>
      </c>
      <c r="R7" s="47">
        <f t="shared" si="5"/>
        <v>4378229.0859999992</v>
      </c>
      <c r="S7" s="47">
        <f t="shared" si="5"/>
        <v>4657800.483</v>
      </c>
      <c r="T7" s="47">
        <f t="shared" si="5"/>
        <v>5179077.0039999997</v>
      </c>
      <c r="U7" s="47">
        <f t="shared" si="5"/>
        <v>4671628.2290000003</v>
      </c>
      <c r="V7" s="47">
        <f t="shared" ref="V7:W7" si="6">SUM(V8:V24)</f>
        <v>6077733.1580000008</v>
      </c>
      <c r="W7" s="47">
        <f t="shared" si="6"/>
        <v>6492697.9410000006</v>
      </c>
      <c r="X7" s="47">
        <f t="shared" ref="X7:Y7" si="7">SUM(X8:X24)</f>
        <v>6306887.6149999993</v>
      </c>
      <c r="Y7" s="47">
        <f t="shared" si="7"/>
        <v>6202515.7220000001</v>
      </c>
      <c r="Z7" s="47">
        <f t="shared" ref="Z7:AA7" si="8">SUM(Z8:Z24)</f>
        <v>6616237.4460000005</v>
      </c>
      <c r="AA7" s="47">
        <f t="shared" si="8"/>
        <v>6990617.4409999996</v>
      </c>
      <c r="AB7" s="47">
        <f t="shared" ref="AB7:AE7" si="9">SUM(AB8:AB24)</f>
        <v>7542646.2840000009</v>
      </c>
      <c r="AC7" s="47">
        <f t="shared" si="9"/>
        <v>7972647.051</v>
      </c>
      <c r="AD7" s="47">
        <f t="shared" si="9"/>
        <v>0</v>
      </c>
      <c r="AE7" s="47">
        <f t="shared" si="9"/>
        <v>8357005.3720000014</v>
      </c>
    </row>
    <row r="8" spans="1:31">
      <c r="A8" s="7" t="s">
        <v>97</v>
      </c>
    </row>
    <row r="9" spans="1:31">
      <c r="A9" s="1" t="s">
        <v>26</v>
      </c>
      <c r="B9" s="1">
        <f>16177+42175</f>
        <v>58352</v>
      </c>
      <c r="C9" s="1">
        <f>17141+47472</f>
        <v>64613</v>
      </c>
      <c r="D9" s="1">
        <f>18818+50530</f>
        <v>69348</v>
      </c>
      <c r="E9" s="1">
        <v>105839.224</v>
      </c>
      <c r="F9" s="41">
        <v>106416.753</v>
      </c>
      <c r="G9" s="1">
        <v>112638.735</v>
      </c>
      <c r="H9" s="1">
        <v>131048.189</v>
      </c>
      <c r="I9" s="1">
        <v>135989.50099999999</v>
      </c>
      <c r="J9" s="1">
        <v>151861.04199999999</v>
      </c>
      <c r="K9" s="1">
        <v>148042.80900000001</v>
      </c>
      <c r="L9" s="1">
        <v>184269.64799999999</v>
      </c>
      <c r="M9" s="1">
        <v>175727.90100000001</v>
      </c>
      <c r="N9" s="1">
        <v>194326.17800000001</v>
      </c>
      <c r="O9" s="1">
        <v>214676.72099999999</v>
      </c>
      <c r="P9" s="1">
        <v>242370.723</v>
      </c>
      <c r="Q9" s="1">
        <v>271576.42200000002</v>
      </c>
      <c r="R9" s="1">
        <v>300787.29399999999</v>
      </c>
      <c r="S9" s="1">
        <v>366885.859</v>
      </c>
      <c r="T9" s="1">
        <v>394020.61</v>
      </c>
      <c r="U9" s="1">
        <v>421801.88900000002</v>
      </c>
      <c r="V9" s="1">
        <v>467028.51699999999</v>
      </c>
      <c r="W9" s="1">
        <v>470404.29499999998</v>
      </c>
      <c r="X9" s="1">
        <v>470645.94</v>
      </c>
      <c r="Y9" s="1">
        <v>510165.03</v>
      </c>
      <c r="Z9" s="1">
        <v>539730.43799999997</v>
      </c>
      <c r="AA9" s="1">
        <v>568248.97499999998</v>
      </c>
      <c r="AB9" s="1">
        <v>544610.51500000001</v>
      </c>
      <c r="AC9" s="1">
        <v>596226.86499999999</v>
      </c>
      <c r="AE9" s="1">
        <v>607217.61</v>
      </c>
    </row>
    <row r="10" spans="1:31">
      <c r="A10" s="1" t="s">
        <v>27</v>
      </c>
      <c r="B10" s="1">
        <f>12127+26967</f>
        <v>39094</v>
      </c>
      <c r="C10" s="1">
        <f>7578+29356</f>
        <v>36934</v>
      </c>
      <c r="D10" s="1">
        <f>8252+32807</f>
        <v>41059</v>
      </c>
      <c r="E10" s="1">
        <v>61166.894</v>
      </c>
      <c r="F10" s="41">
        <v>63170.288</v>
      </c>
      <c r="G10" s="1">
        <v>65708.453999999998</v>
      </c>
      <c r="H10" s="1">
        <v>72250.673999999999</v>
      </c>
      <c r="I10" s="1">
        <v>70663.222999999998</v>
      </c>
      <c r="J10" s="1">
        <v>75238.937999999995</v>
      </c>
      <c r="K10" s="1">
        <v>86081.116999999998</v>
      </c>
      <c r="L10" s="1">
        <v>94994.539000000004</v>
      </c>
      <c r="M10" s="1">
        <v>112395.101</v>
      </c>
      <c r="N10" s="1">
        <v>119207.63499999999</v>
      </c>
      <c r="O10" s="1">
        <v>126371.40399999999</v>
      </c>
      <c r="P10" s="1">
        <v>131553.49100000001</v>
      </c>
      <c r="Q10" s="1">
        <v>136513.084</v>
      </c>
      <c r="R10" s="1">
        <v>149120.36600000001</v>
      </c>
      <c r="S10" s="1">
        <v>154908.30799999999</v>
      </c>
      <c r="T10" s="1">
        <v>206761.321</v>
      </c>
      <c r="U10" s="1">
        <v>112509.361</v>
      </c>
      <c r="V10" s="1">
        <v>264908.41600000003</v>
      </c>
      <c r="W10" s="1">
        <v>278399.16100000002</v>
      </c>
      <c r="X10" s="1">
        <v>284210.01500000001</v>
      </c>
      <c r="Y10" s="1">
        <v>271327.00900000002</v>
      </c>
      <c r="Z10" s="1">
        <v>284951.57900000003</v>
      </c>
      <c r="AA10" s="1">
        <v>313399.48</v>
      </c>
      <c r="AB10" s="1">
        <v>310806.55800000002</v>
      </c>
      <c r="AC10" s="1">
        <v>328782.61800000002</v>
      </c>
      <c r="AE10" s="1">
        <v>336298.484</v>
      </c>
    </row>
    <row r="11" spans="1:31">
      <c r="A11" s="1" t="s">
        <v>28</v>
      </c>
      <c r="D11" s="1">
        <f>14326+3685</f>
        <v>18011</v>
      </c>
      <c r="E11" s="1">
        <v>32558.920999999998</v>
      </c>
      <c r="F11" s="41">
        <v>32014.235000000001</v>
      </c>
      <c r="I11" s="1">
        <v>34135.535000000003</v>
      </c>
      <c r="J11" s="1">
        <v>36498.769</v>
      </c>
      <c r="K11" s="1">
        <v>38400.917999999998</v>
      </c>
      <c r="L11" s="1">
        <v>47011.919000000002</v>
      </c>
      <c r="M11" s="1">
        <v>49827.101999999999</v>
      </c>
      <c r="N11" s="1">
        <v>49903.553999999996</v>
      </c>
      <c r="O11" s="1">
        <v>54856.847000000002</v>
      </c>
      <c r="P11" s="1">
        <v>56567.218999999997</v>
      </c>
      <c r="Q11" s="1">
        <f>7926.239+57926.733</f>
        <v>65852.971999999994</v>
      </c>
      <c r="R11" s="1">
        <v>61754.654000000002</v>
      </c>
      <c r="S11" s="1">
        <v>68576.622000000003</v>
      </c>
      <c r="T11" s="1">
        <v>72824.740000000005</v>
      </c>
      <c r="U11" s="1">
        <v>76180.357000000004</v>
      </c>
      <c r="V11" s="1">
        <v>83083.320000000007</v>
      </c>
      <c r="W11" s="1">
        <v>89050.48</v>
      </c>
      <c r="X11" s="1">
        <v>102350.705</v>
      </c>
      <c r="Y11" s="1">
        <v>20690.146000000001</v>
      </c>
      <c r="Z11" s="1">
        <v>111840.781</v>
      </c>
      <c r="AA11" s="1">
        <v>116646.439</v>
      </c>
      <c r="AB11" s="1">
        <v>127277.069</v>
      </c>
      <c r="AC11" s="1">
        <v>18621.577000000001</v>
      </c>
      <c r="AE11" s="1">
        <v>138623.30600000001</v>
      </c>
    </row>
    <row r="12" spans="1:31">
      <c r="A12" s="1" t="s">
        <v>29</v>
      </c>
      <c r="B12" s="1">
        <f>55491+57742</f>
        <v>113233</v>
      </c>
      <c r="C12" s="1">
        <f>65042+62889</f>
        <v>127931</v>
      </c>
      <c r="D12" s="1">
        <f>71460+64495</f>
        <v>135955</v>
      </c>
      <c r="E12" s="1">
        <v>169524.47099999999</v>
      </c>
      <c r="F12" s="41">
        <v>166484.59099999999</v>
      </c>
      <c r="G12" s="1">
        <v>176003.67300000001</v>
      </c>
      <c r="H12" s="1">
        <v>190286.11600000001</v>
      </c>
      <c r="I12" s="1">
        <v>189995.38500000001</v>
      </c>
      <c r="J12" s="1">
        <v>214721.46100000001</v>
      </c>
      <c r="K12" s="1">
        <v>225066.43900000001</v>
      </c>
      <c r="L12" s="1">
        <v>305956.234</v>
      </c>
      <c r="M12" s="1">
        <v>324437.39500000002</v>
      </c>
      <c r="N12" s="1">
        <v>301109.53399999999</v>
      </c>
      <c r="O12" s="1">
        <v>419777.31900000002</v>
      </c>
      <c r="P12" s="1">
        <v>454216.36700000003</v>
      </c>
      <c r="Q12" s="1">
        <v>524529.91899999999</v>
      </c>
      <c r="R12" s="1">
        <v>533657.63199999998</v>
      </c>
      <c r="S12" s="1">
        <v>534206.64800000004</v>
      </c>
      <c r="T12" s="1">
        <v>555260.22199999995</v>
      </c>
      <c r="U12" s="1">
        <v>532883.31499999994</v>
      </c>
      <c r="V12" s="1">
        <v>577836.01500000001</v>
      </c>
      <c r="W12" s="1">
        <v>625502.58299999998</v>
      </c>
      <c r="X12" s="1">
        <v>581845.45499999996</v>
      </c>
      <c r="Y12" s="1">
        <v>618801.78500000003</v>
      </c>
      <c r="Z12" s="1">
        <v>704879.8</v>
      </c>
      <c r="AA12" s="1">
        <v>736070.56</v>
      </c>
      <c r="AB12" s="1">
        <v>746487.52399999998</v>
      </c>
      <c r="AC12" s="1">
        <v>783399.08600000001</v>
      </c>
      <c r="AE12" s="1">
        <v>898030.43900000001</v>
      </c>
    </row>
    <row r="13" spans="1:31">
      <c r="A13" s="1" t="s">
        <v>30</v>
      </c>
      <c r="B13" s="1">
        <f>13449+104815</f>
        <v>118264</v>
      </c>
      <c r="C13" s="1">
        <f>16685+112297</f>
        <v>128982</v>
      </c>
      <c r="D13" s="1">
        <f>20736+68014</f>
        <v>88750</v>
      </c>
      <c r="E13" s="1">
        <v>139259.875</v>
      </c>
      <c r="F13" s="41">
        <v>139206.14000000001</v>
      </c>
      <c r="G13" s="1">
        <v>154078.08600000001</v>
      </c>
      <c r="H13" s="1">
        <v>169550.39300000001</v>
      </c>
      <c r="I13" s="1">
        <v>191639.37299999999</v>
      </c>
      <c r="J13" s="1">
        <v>210887.818</v>
      </c>
      <c r="K13" s="1">
        <v>227789.29500000001</v>
      </c>
      <c r="L13" s="1">
        <v>278820.87800000003</v>
      </c>
      <c r="M13" s="1">
        <v>272592.59299999999</v>
      </c>
      <c r="N13" s="1">
        <v>292429.00900000002</v>
      </c>
      <c r="O13" s="1">
        <v>334764.125</v>
      </c>
      <c r="P13" s="1">
        <v>309177.04300000001</v>
      </c>
      <c r="Q13" s="1">
        <v>295834.53200000001</v>
      </c>
      <c r="R13" s="1">
        <v>346737.19099999999</v>
      </c>
      <c r="S13" s="1">
        <v>372569.31900000002</v>
      </c>
      <c r="T13" s="1">
        <v>388569.41100000002</v>
      </c>
      <c r="U13" s="1">
        <v>344332.08500000002</v>
      </c>
      <c r="V13" s="1">
        <v>432485.62300000002</v>
      </c>
      <c r="W13" s="1">
        <v>457877.07</v>
      </c>
      <c r="X13" s="1">
        <v>492101.81</v>
      </c>
      <c r="Y13" s="1">
        <v>528076.49300000002</v>
      </c>
      <c r="Z13" s="1">
        <v>554070.06700000004</v>
      </c>
      <c r="AA13" s="1">
        <v>585781.28099999996</v>
      </c>
      <c r="AB13" s="1">
        <v>607250.00800000003</v>
      </c>
      <c r="AC13" s="1">
        <v>682147.96600000001</v>
      </c>
      <c r="AE13" s="1">
        <v>723368.90800000005</v>
      </c>
    </row>
    <row r="14" spans="1:31">
      <c r="A14" s="1" t="s">
        <v>31</v>
      </c>
      <c r="B14" s="1">
        <f>23033+30035</f>
        <v>53068</v>
      </c>
      <c r="C14" s="1">
        <f>27302+30944</f>
        <v>58246</v>
      </c>
      <c r="D14" s="1">
        <f>30396+32803</f>
        <v>63199</v>
      </c>
      <c r="E14" s="1">
        <v>90972.850999999995</v>
      </c>
      <c r="F14" s="41">
        <v>90404.212</v>
      </c>
      <c r="G14" s="1">
        <v>88181.467999999993</v>
      </c>
      <c r="H14" s="1">
        <v>90759.994999999995</v>
      </c>
      <c r="I14" s="1">
        <v>98549.364000000001</v>
      </c>
      <c r="J14" s="1">
        <v>103582.552</v>
      </c>
      <c r="K14" s="1">
        <v>110951.44500000001</v>
      </c>
      <c r="L14" s="1">
        <v>139663.693</v>
      </c>
      <c r="M14" s="1">
        <v>149491.37899999999</v>
      </c>
      <c r="N14" s="1">
        <v>155462.16800000001</v>
      </c>
      <c r="O14" s="1">
        <v>164985.52600000001</v>
      </c>
      <c r="P14" s="1">
        <v>167709.31099999999</v>
      </c>
      <c r="Q14" s="1">
        <v>177780.391</v>
      </c>
      <c r="R14" s="1">
        <v>183207.43900000001</v>
      </c>
      <c r="S14" s="1">
        <v>198921.88200000001</v>
      </c>
      <c r="T14" s="1">
        <v>221477.28099999999</v>
      </c>
      <c r="U14" s="1">
        <v>241127.96299999999</v>
      </c>
      <c r="V14" s="1">
        <v>307146.62599999999</v>
      </c>
      <c r="W14" s="1">
        <v>283633.38799999998</v>
      </c>
      <c r="X14" s="1">
        <v>306257.45199999999</v>
      </c>
      <c r="Y14" s="1">
        <v>292868.85100000002</v>
      </c>
      <c r="Z14" s="1">
        <v>295572.45699999999</v>
      </c>
      <c r="AA14" s="1">
        <v>329279.34999999998</v>
      </c>
      <c r="AB14" s="1">
        <v>350688.30300000001</v>
      </c>
      <c r="AC14" s="1">
        <v>408750.45899999997</v>
      </c>
      <c r="AE14" s="1">
        <v>296376.74099999998</v>
      </c>
    </row>
    <row r="15" spans="1:31">
      <c r="A15" s="1" t="s">
        <v>32</v>
      </c>
      <c r="B15" s="1">
        <f>15396+49302</f>
        <v>64698</v>
      </c>
      <c r="C15" s="1">
        <f>16006+52175</f>
        <v>68181</v>
      </c>
      <c r="D15" s="1">
        <f>19002+52097</f>
        <v>71099</v>
      </c>
      <c r="E15" s="1">
        <v>116043.485</v>
      </c>
      <c r="F15" s="41">
        <v>106952.692</v>
      </c>
      <c r="G15" s="1">
        <v>112955.781</v>
      </c>
      <c r="H15" s="1">
        <v>124676.355</v>
      </c>
      <c r="I15" s="1">
        <v>133040.41699999999</v>
      </c>
      <c r="J15" s="1">
        <v>152435.13699999999</v>
      </c>
      <c r="K15" s="1">
        <v>155785.476</v>
      </c>
      <c r="L15" s="1">
        <v>166123.86199999999</v>
      </c>
      <c r="M15" s="1">
        <v>165922.51999999999</v>
      </c>
      <c r="N15" s="1">
        <v>184021.1</v>
      </c>
      <c r="O15" s="1">
        <v>199333.519</v>
      </c>
      <c r="P15" s="1">
        <v>221918.32699999999</v>
      </c>
      <c r="Q15" s="1">
        <v>228400.516</v>
      </c>
      <c r="R15" s="1">
        <v>231276.323</v>
      </c>
      <c r="S15" s="1">
        <v>235672.946</v>
      </c>
      <c r="T15" s="1">
        <v>294750.57900000003</v>
      </c>
      <c r="U15" s="1">
        <v>258175.505</v>
      </c>
      <c r="V15" s="1">
        <v>286863.88</v>
      </c>
      <c r="W15" s="1">
        <v>293473.85800000001</v>
      </c>
      <c r="X15" s="1">
        <v>298305.12099999998</v>
      </c>
      <c r="Y15" s="1">
        <v>291353.62099999998</v>
      </c>
      <c r="Z15" s="1">
        <v>301766.49800000002</v>
      </c>
      <c r="AA15" s="1">
        <v>306115.05200000003</v>
      </c>
      <c r="AB15" s="1">
        <v>286439.28700000001</v>
      </c>
      <c r="AC15" s="1">
        <v>332956.804</v>
      </c>
      <c r="AE15" s="1">
        <v>316078.47600000002</v>
      </c>
    </row>
    <row r="16" spans="1:31">
      <c r="A16" s="1" t="s">
        <v>33</v>
      </c>
      <c r="B16" s="1">
        <v>67345</v>
      </c>
      <c r="C16" s="1">
        <f>0+76020</f>
        <v>76020</v>
      </c>
      <c r="D16" s="1">
        <f>0+73993</f>
        <v>73993</v>
      </c>
      <c r="E16" s="1">
        <v>113962.914</v>
      </c>
      <c r="F16" s="41">
        <v>108831.735</v>
      </c>
      <c r="G16" s="1">
        <v>122001.535</v>
      </c>
      <c r="H16" s="1">
        <v>125317.353</v>
      </c>
      <c r="I16" s="1">
        <v>130326.145</v>
      </c>
      <c r="J16" s="1">
        <v>148056.69</v>
      </c>
      <c r="K16" s="1">
        <v>165759.21877000001</v>
      </c>
      <c r="L16" s="1">
        <v>197291.29800000001</v>
      </c>
      <c r="M16" s="1">
        <v>244953.93599999999</v>
      </c>
      <c r="N16" s="1">
        <v>272141.24800000002</v>
      </c>
      <c r="O16" s="1">
        <v>277132.94400000002</v>
      </c>
      <c r="P16" s="1">
        <v>296717.7</v>
      </c>
      <c r="Q16" s="1">
        <v>313417.96500000003</v>
      </c>
      <c r="R16" s="1">
        <v>325098.69099999999</v>
      </c>
      <c r="S16" s="1">
        <v>339911.152</v>
      </c>
      <c r="T16" s="1">
        <v>363086.09100000001</v>
      </c>
      <c r="U16" s="1">
        <v>314101.22200000001</v>
      </c>
      <c r="V16" s="1">
        <v>410017.24699999997</v>
      </c>
      <c r="W16" s="1">
        <v>421699.32500000001</v>
      </c>
      <c r="X16" s="1">
        <v>427935.12199999997</v>
      </c>
      <c r="Y16" s="1">
        <v>453320.49099999998</v>
      </c>
      <c r="Z16" s="1">
        <v>486853.83899999998</v>
      </c>
      <c r="AA16" s="1">
        <v>520192.06099999999</v>
      </c>
      <c r="AB16" s="1">
        <v>547270.50800000003</v>
      </c>
      <c r="AC16" s="1">
        <v>584018.821</v>
      </c>
      <c r="AE16" s="1">
        <v>591787.80099999998</v>
      </c>
    </row>
    <row r="17" spans="1:31">
      <c r="A17" s="1" t="s">
        <v>34</v>
      </c>
      <c r="B17" s="1">
        <f>5234+22107</f>
        <v>27341</v>
      </c>
      <c r="C17" s="1">
        <f>5460+25000</f>
        <v>30460</v>
      </c>
      <c r="D17" s="1">
        <f>5740+27233</f>
        <v>32973</v>
      </c>
      <c r="E17" s="1">
        <v>55987.637000000002</v>
      </c>
      <c r="F17" s="41">
        <v>56769.635000000002</v>
      </c>
      <c r="G17" s="1">
        <v>64886.044999999998</v>
      </c>
      <c r="H17" s="1">
        <v>71773.472999999998</v>
      </c>
      <c r="I17" s="1">
        <v>79401.415999999997</v>
      </c>
      <c r="J17" s="1">
        <v>92004.460999999996</v>
      </c>
      <c r="K17" s="1">
        <v>98269.452000000005</v>
      </c>
      <c r="L17" s="1">
        <v>126323.15300000001</v>
      </c>
      <c r="M17" s="1">
        <v>104034.88099999999</v>
      </c>
      <c r="N17" s="1">
        <v>126750.30100000001</v>
      </c>
      <c r="O17" s="1">
        <v>143342.20499999999</v>
      </c>
      <c r="P17" s="1">
        <v>160754.57800000001</v>
      </c>
      <c r="Q17" s="1">
        <v>175378.59099999999</v>
      </c>
      <c r="R17" s="1">
        <v>195293.266</v>
      </c>
      <c r="S17" s="1">
        <v>207304.41200000001</v>
      </c>
      <c r="T17" s="1">
        <v>205174.33600000001</v>
      </c>
      <c r="U17" s="1">
        <v>145095.16399999999</v>
      </c>
      <c r="V17" s="1">
        <v>232831.14600000001</v>
      </c>
      <c r="W17" s="1">
        <v>241446.72399999999</v>
      </c>
      <c r="X17" s="1">
        <v>281729.86099999998</v>
      </c>
      <c r="Y17" s="1">
        <v>274540.73</v>
      </c>
      <c r="Z17" s="1">
        <v>306166.908</v>
      </c>
      <c r="AA17" s="1">
        <v>312415.46100000001</v>
      </c>
      <c r="AB17" s="1">
        <v>334738.29200000002</v>
      </c>
      <c r="AC17" s="1">
        <v>313503.29499999998</v>
      </c>
      <c r="AE17" s="1">
        <v>316698.14799999999</v>
      </c>
    </row>
    <row r="18" spans="1:31">
      <c r="A18" s="1" t="s">
        <v>35</v>
      </c>
      <c r="B18" s="1">
        <f>15053+50711</f>
        <v>65764</v>
      </c>
      <c r="C18" s="1">
        <f>17441+60188</f>
        <v>77629</v>
      </c>
      <c r="D18" s="1">
        <f>20184+68047</f>
        <v>88231</v>
      </c>
      <c r="E18" s="1">
        <v>128482.97100000001</v>
      </c>
      <c r="F18" s="41">
        <v>138945.30300000001</v>
      </c>
      <c r="G18" s="1">
        <v>163099.08300000001</v>
      </c>
      <c r="H18" s="1">
        <v>178193.43100000001</v>
      </c>
      <c r="I18" s="1">
        <v>175851.84599999999</v>
      </c>
      <c r="J18" s="1">
        <v>201870.65100000001</v>
      </c>
      <c r="K18" s="1">
        <v>219610.041</v>
      </c>
      <c r="L18" s="1">
        <v>227568.61900000001</v>
      </c>
      <c r="M18" s="1">
        <v>248679.802</v>
      </c>
      <c r="N18" s="1">
        <v>248038.91399999999</v>
      </c>
      <c r="O18" s="1">
        <v>275284.57</v>
      </c>
      <c r="P18" s="1">
        <v>300345.58600000001</v>
      </c>
      <c r="Q18" s="1">
        <v>321648.30300000001</v>
      </c>
      <c r="R18" s="1">
        <v>338693.71500000003</v>
      </c>
      <c r="S18" s="1">
        <v>377353.147</v>
      </c>
      <c r="T18" s="1">
        <v>409036.43199999997</v>
      </c>
      <c r="U18" s="1">
        <v>409423.37599999999</v>
      </c>
      <c r="V18" s="1">
        <v>466044.56099999999</v>
      </c>
      <c r="W18" s="1">
        <v>503878.44900000002</v>
      </c>
      <c r="X18" s="1">
        <v>497130.21299999999</v>
      </c>
      <c r="Y18" s="1">
        <v>537077.39300000004</v>
      </c>
      <c r="Z18" s="1">
        <v>548500.83400000003</v>
      </c>
      <c r="AA18" s="1">
        <v>576961.48199999996</v>
      </c>
      <c r="AB18" s="1">
        <v>607348.17500000005</v>
      </c>
      <c r="AC18" s="1">
        <v>711019.22199999995</v>
      </c>
      <c r="AE18" s="1">
        <v>726041.39800000004</v>
      </c>
    </row>
    <row r="19" spans="1:31">
      <c r="A19" s="1" t="s">
        <v>36</v>
      </c>
      <c r="B19" s="1">
        <v>26553</v>
      </c>
      <c r="C19" s="1">
        <f>0+27445</f>
        <v>27445</v>
      </c>
      <c r="D19" s="1">
        <f>0+35249</f>
        <v>35249</v>
      </c>
      <c r="E19" s="1">
        <v>53655.665000000001</v>
      </c>
      <c r="F19" s="41">
        <v>61821.163</v>
      </c>
      <c r="G19" s="1">
        <v>60734.328000000001</v>
      </c>
      <c r="H19" s="1">
        <v>52824.32</v>
      </c>
      <c r="I19" s="1">
        <v>52111.146999999997</v>
      </c>
      <c r="J19" s="1">
        <v>52513.252</v>
      </c>
      <c r="K19" s="1">
        <v>54748.401420000002</v>
      </c>
      <c r="L19" s="1">
        <v>86198.748999999996</v>
      </c>
      <c r="M19" s="1">
        <v>91358.822</v>
      </c>
      <c r="N19" s="1">
        <v>95557.841</v>
      </c>
      <c r="O19" s="1">
        <v>94719.010999999999</v>
      </c>
      <c r="P19" s="1">
        <v>100958.848</v>
      </c>
      <c r="Q19" s="1">
        <v>96635.341</v>
      </c>
      <c r="R19" s="1">
        <v>105943.34600000001</v>
      </c>
      <c r="S19" s="1">
        <v>119682.59</v>
      </c>
      <c r="T19" s="1">
        <v>176066.94500000001</v>
      </c>
      <c r="U19" s="1">
        <v>135462.88099999999</v>
      </c>
      <c r="V19" s="1">
        <v>206141.03</v>
      </c>
      <c r="W19" s="1">
        <v>183282.739</v>
      </c>
      <c r="X19" s="1">
        <v>191257.397</v>
      </c>
      <c r="Y19" s="1">
        <v>187925.57</v>
      </c>
      <c r="Z19" s="1">
        <v>201345.28700000001</v>
      </c>
      <c r="AA19" s="1">
        <v>198149.03200000001</v>
      </c>
      <c r="AB19" s="1">
        <v>191369.49299999999</v>
      </c>
      <c r="AC19" s="1">
        <v>194343.70199999999</v>
      </c>
      <c r="AE19" s="1">
        <v>167791.1</v>
      </c>
    </row>
    <row r="20" spans="1:31">
      <c r="A20" s="1" t="s">
        <v>37</v>
      </c>
      <c r="B20" s="1">
        <f>22677+27968</f>
        <v>50645</v>
      </c>
      <c r="C20" s="1">
        <f>27197+31428</f>
        <v>58625</v>
      </c>
      <c r="D20" s="1">
        <f>30471+35297</f>
        <v>65768</v>
      </c>
      <c r="E20" s="1">
        <v>80272.808000000005</v>
      </c>
      <c r="F20" s="41">
        <v>75967.885999999999</v>
      </c>
      <c r="G20" s="1">
        <v>82416.588000000003</v>
      </c>
      <c r="H20" s="1">
        <v>89895.292000000001</v>
      </c>
      <c r="I20" s="1">
        <v>89379.650999999998</v>
      </c>
      <c r="J20" s="1">
        <v>101714.61</v>
      </c>
      <c r="K20" s="1">
        <v>96085.812999999995</v>
      </c>
      <c r="L20" s="1">
        <v>111780.204</v>
      </c>
      <c r="M20" s="1">
        <v>115191.90399999999</v>
      </c>
      <c r="N20" s="1">
        <v>114769.08500000001</v>
      </c>
      <c r="O20" s="1">
        <v>120626.341</v>
      </c>
      <c r="P20" s="1">
        <v>122884.804</v>
      </c>
      <c r="Q20" s="1">
        <v>141767.73300000001</v>
      </c>
      <c r="R20" s="1">
        <v>157955.394</v>
      </c>
      <c r="S20" s="1">
        <v>166655.03099999999</v>
      </c>
      <c r="T20" s="1">
        <v>194221.399</v>
      </c>
      <c r="U20" s="1">
        <v>148226.791</v>
      </c>
      <c r="V20" s="1">
        <v>211807.641</v>
      </c>
      <c r="W20" s="1">
        <v>228823.94699999999</v>
      </c>
      <c r="X20" s="1">
        <v>256361.111</v>
      </c>
      <c r="Y20" s="1">
        <v>267794.84899999999</v>
      </c>
      <c r="Z20" s="1">
        <v>270628.70299999998</v>
      </c>
      <c r="AA20" s="1">
        <v>300205.01</v>
      </c>
      <c r="AB20" s="1">
        <v>318027.62</v>
      </c>
      <c r="AC20" s="1">
        <v>346880.22700000001</v>
      </c>
      <c r="AE20" s="1">
        <v>375716.79</v>
      </c>
    </row>
    <row r="21" spans="1:31" s="11" customFormat="1">
      <c r="A21" s="1" t="s">
        <v>38</v>
      </c>
      <c r="B21" s="1">
        <f>8134+33670</f>
        <v>41804</v>
      </c>
      <c r="C21" s="1">
        <f>10084+37996</f>
        <v>48080</v>
      </c>
      <c r="D21" s="1">
        <f>14182+42869</f>
        <v>57051</v>
      </c>
      <c r="E21" s="1">
        <v>89051.832999999999</v>
      </c>
      <c r="F21" s="41">
        <v>68443.402000000002</v>
      </c>
      <c r="G21" s="1">
        <v>88367.207999999999</v>
      </c>
      <c r="H21" s="1">
        <v>100297.58</v>
      </c>
      <c r="I21" s="1">
        <v>88271.164000000004</v>
      </c>
      <c r="J21" s="1">
        <v>120464.531</v>
      </c>
      <c r="K21" s="1">
        <v>121487.71034000001</v>
      </c>
      <c r="L21" s="1">
        <v>104216.181</v>
      </c>
      <c r="M21" s="1">
        <v>130686.77800000001</v>
      </c>
      <c r="N21" s="1">
        <v>135146.50700000001</v>
      </c>
      <c r="O21" s="1">
        <v>152000.29199999999</v>
      </c>
      <c r="P21" s="1">
        <v>149812.07800000001</v>
      </c>
      <c r="Q21" s="1">
        <v>157953.10200000001</v>
      </c>
      <c r="R21" s="1">
        <v>166522.215</v>
      </c>
      <c r="S21" s="1">
        <v>180386.42800000001</v>
      </c>
      <c r="T21" s="1">
        <v>203474.8</v>
      </c>
      <c r="U21" s="1">
        <v>207036.304</v>
      </c>
      <c r="V21" s="1">
        <v>233510.35699999999</v>
      </c>
      <c r="W21" s="1">
        <v>241554.07399999999</v>
      </c>
      <c r="X21" s="1">
        <v>279101.27</v>
      </c>
      <c r="Y21" s="1">
        <v>275792.272</v>
      </c>
      <c r="Z21" s="1">
        <v>295653.04700000002</v>
      </c>
      <c r="AA21" s="1">
        <v>282530.46100000001</v>
      </c>
      <c r="AB21" s="1">
        <v>272377.43099999998</v>
      </c>
      <c r="AC21" s="1">
        <v>297433.43900000001</v>
      </c>
      <c r="AD21" s="1"/>
      <c r="AE21" s="1">
        <v>267913.326</v>
      </c>
    </row>
    <row r="22" spans="1:31">
      <c r="A22" s="1" t="s">
        <v>39</v>
      </c>
      <c r="B22" s="1">
        <f>75027+169449</f>
        <v>244476</v>
      </c>
      <c r="C22" s="1">
        <f>80316+177333</f>
        <v>257649</v>
      </c>
      <c r="D22" s="1">
        <f>97621+194460</f>
        <v>292081</v>
      </c>
      <c r="E22" s="1">
        <v>424172.65100000001</v>
      </c>
      <c r="F22" s="41">
        <v>375165.94099999999</v>
      </c>
      <c r="G22" s="1">
        <v>428691.201</v>
      </c>
      <c r="H22" s="1">
        <v>456602.20400000003</v>
      </c>
      <c r="I22" s="1">
        <v>462746.29700000002</v>
      </c>
      <c r="J22" s="1">
        <v>529101.10100000002</v>
      </c>
      <c r="K22" s="1">
        <v>582833.74600000004</v>
      </c>
      <c r="L22" s="1">
        <v>687913.23400000005</v>
      </c>
      <c r="M22" s="1">
        <v>824341.42299999995</v>
      </c>
      <c r="N22" s="1">
        <v>890965.27899999998</v>
      </c>
      <c r="O22" s="1">
        <v>943141.09299999999</v>
      </c>
      <c r="P22" s="1">
        <v>942469.14899999998</v>
      </c>
      <c r="Q22" s="1">
        <v>957269.31900000002</v>
      </c>
      <c r="R22" s="1">
        <v>856648.53599999996</v>
      </c>
      <c r="S22" s="1">
        <v>875765.9</v>
      </c>
      <c r="T22" s="1">
        <v>987176.76399999997</v>
      </c>
      <c r="U22" s="1">
        <v>792058.56299999997</v>
      </c>
      <c r="V22" s="1">
        <v>1283700.9580000001</v>
      </c>
      <c r="W22" s="1">
        <v>1545585.352</v>
      </c>
      <c r="X22" s="1">
        <v>1194286.6259999999</v>
      </c>
      <c r="Y22" s="1">
        <v>1026512.874</v>
      </c>
      <c r="Z22" s="1">
        <v>1041994.348</v>
      </c>
      <c r="AA22" s="1">
        <v>1102301.6839999999</v>
      </c>
      <c r="AB22" s="1">
        <v>1522223.65</v>
      </c>
      <c r="AC22" s="1">
        <v>1558713.007</v>
      </c>
      <c r="AE22" s="1">
        <v>1671018.298</v>
      </c>
    </row>
    <row r="23" spans="1:31">
      <c r="A23" s="1" t="s">
        <v>40</v>
      </c>
      <c r="B23" s="1">
        <f>25492+55966</f>
        <v>81458</v>
      </c>
      <c r="C23" s="1">
        <f>33867+69277</f>
        <v>103144</v>
      </c>
      <c r="D23" s="1">
        <f>34671+71639</f>
        <v>106310</v>
      </c>
      <c r="E23" s="1">
        <v>141770.12</v>
      </c>
      <c r="F23" s="41">
        <v>144325.4</v>
      </c>
      <c r="G23" s="1">
        <v>147108.34</v>
      </c>
      <c r="H23" s="1">
        <v>163831.98699999999</v>
      </c>
      <c r="I23" s="1">
        <v>171832.96400000001</v>
      </c>
      <c r="J23" s="1">
        <v>172275.524</v>
      </c>
      <c r="K23" s="1">
        <v>193235.39300000001</v>
      </c>
      <c r="L23" s="1">
        <v>236812.38699999999</v>
      </c>
      <c r="M23" s="1">
        <v>246122.97399999999</v>
      </c>
      <c r="N23" s="1">
        <v>250081.565</v>
      </c>
      <c r="O23" s="1">
        <v>233409.788</v>
      </c>
      <c r="P23" s="1">
        <v>243785.25</v>
      </c>
      <c r="Q23" s="1">
        <v>276407.91800000001</v>
      </c>
      <c r="R23" s="1">
        <v>305131.27399999998</v>
      </c>
      <c r="S23" s="1">
        <v>335300.04700000002</v>
      </c>
      <c r="T23" s="1">
        <v>372439.68900000001</v>
      </c>
      <c r="U23" s="1">
        <v>389152.03700000001</v>
      </c>
      <c r="V23" s="1">
        <v>443267.16</v>
      </c>
      <c r="W23" s="1">
        <v>439385.79700000002</v>
      </c>
      <c r="X23" s="1">
        <v>443832.88400000002</v>
      </c>
      <c r="Y23" s="1">
        <v>458683.283</v>
      </c>
      <c r="Z23" s="1">
        <v>485257.40500000003</v>
      </c>
      <c r="AA23" s="1">
        <v>529412.50100000005</v>
      </c>
      <c r="AB23" s="1">
        <v>576455.29200000002</v>
      </c>
      <c r="AC23" s="1">
        <v>606731.68799999997</v>
      </c>
      <c r="AE23" s="1">
        <v>709656.99399999995</v>
      </c>
    </row>
    <row r="24" spans="1:31">
      <c r="A24" s="23" t="s">
        <v>41</v>
      </c>
      <c r="B24" s="23">
        <f>14301+11764</f>
        <v>26065</v>
      </c>
      <c r="C24" s="23">
        <f>14891+13886</f>
        <v>28777</v>
      </c>
      <c r="D24" s="23">
        <f>16522+15098</f>
        <v>31620</v>
      </c>
      <c r="E24" s="23">
        <v>47972.33</v>
      </c>
      <c r="F24" s="44">
        <v>43137.678999999996</v>
      </c>
      <c r="G24" s="23">
        <v>48082.245000000003</v>
      </c>
      <c r="H24" s="23">
        <v>55649.932999999997</v>
      </c>
      <c r="I24" s="23">
        <v>52101.919000000002</v>
      </c>
      <c r="J24" s="23">
        <v>60055.154000000002</v>
      </c>
      <c r="K24" s="23">
        <v>63140.751670000005</v>
      </c>
      <c r="L24" s="23">
        <v>79155.498000000007</v>
      </c>
      <c r="M24" s="23">
        <v>82971.543000000005</v>
      </c>
      <c r="N24" s="23">
        <v>91594.793000000005</v>
      </c>
      <c r="O24" s="23">
        <v>102540.594</v>
      </c>
      <c r="P24" s="23">
        <v>97889.608999999997</v>
      </c>
      <c r="Q24" s="23">
        <v>102281.977</v>
      </c>
      <c r="R24" s="23">
        <v>120401.75</v>
      </c>
      <c r="S24" s="23">
        <v>123700.192</v>
      </c>
      <c r="T24" s="23">
        <v>134736.38399999999</v>
      </c>
      <c r="U24" s="23">
        <v>144061.416</v>
      </c>
      <c r="V24" s="23">
        <v>171060.66099999999</v>
      </c>
      <c r="W24" s="23">
        <v>188700.69899999999</v>
      </c>
      <c r="X24" s="23">
        <v>199536.633</v>
      </c>
      <c r="Y24" s="23">
        <v>187585.32500000001</v>
      </c>
      <c r="Z24" s="23">
        <v>187025.45499999999</v>
      </c>
      <c r="AA24" s="23">
        <v>212908.61199999999</v>
      </c>
      <c r="AB24" s="23">
        <v>199276.55900000001</v>
      </c>
      <c r="AC24" s="23">
        <v>209118.27499999999</v>
      </c>
      <c r="AD24" s="23"/>
      <c r="AE24" s="23">
        <v>214387.55300000001</v>
      </c>
    </row>
    <row r="25" spans="1:31">
      <c r="A25" s="7" t="s">
        <v>42</v>
      </c>
      <c r="B25" s="47">
        <f>SUM(B27:B39)</f>
        <v>0</v>
      </c>
      <c r="C25" s="47">
        <f t="shared" ref="C25:AC25" si="10">SUM(C27:C39)</f>
        <v>0</v>
      </c>
      <c r="D25" s="47">
        <f t="shared" si="10"/>
        <v>0</v>
      </c>
      <c r="E25" s="47">
        <f t="shared" si="10"/>
        <v>0</v>
      </c>
      <c r="F25" s="47">
        <f t="shared" si="10"/>
        <v>1177103.8929999999</v>
      </c>
      <c r="G25" s="47">
        <f t="shared" si="10"/>
        <v>0</v>
      </c>
      <c r="H25" s="47">
        <f t="shared" si="10"/>
        <v>0</v>
      </c>
      <c r="I25" s="47">
        <f t="shared" si="10"/>
        <v>1382224.1259999999</v>
      </c>
      <c r="J25" s="47">
        <f t="shared" si="10"/>
        <v>0</v>
      </c>
      <c r="K25" s="47">
        <f t="shared" si="10"/>
        <v>1800117.4312600004</v>
      </c>
      <c r="L25" s="47">
        <f t="shared" si="10"/>
        <v>1836469.7189999998</v>
      </c>
      <c r="M25" s="47">
        <f t="shared" si="10"/>
        <v>2006372.0859999997</v>
      </c>
      <c r="N25" s="47">
        <f t="shared" si="10"/>
        <v>2058778.3099999998</v>
      </c>
      <c r="O25" s="47">
        <f t="shared" si="10"/>
        <v>2074614.8379999998</v>
      </c>
      <c r="P25" s="47">
        <f t="shared" si="10"/>
        <v>2105225.622</v>
      </c>
      <c r="Q25" s="47">
        <f t="shared" si="10"/>
        <v>2164316.87</v>
      </c>
      <c r="R25" s="47">
        <f t="shared" si="10"/>
        <v>2318052.7599999998</v>
      </c>
      <c r="S25" s="47">
        <f t="shared" si="10"/>
        <v>2568989.6239999998</v>
      </c>
      <c r="T25" s="47">
        <f t="shared" si="10"/>
        <v>3033957.2140000006</v>
      </c>
      <c r="U25" s="47">
        <f t="shared" si="10"/>
        <v>2781640.6179999998</v>
      </c>
      <c r="V25" s="47">
        <f t="shared" si="10"/>
        <v>3229009.969</v>
      </c>
      <c r="W25" s="47">
        <f t="shared" si="10"/>
        <v>3379568.3000000003</v>
      </c>
      <c r="X25" s="47">
        <f t="shared" si="10"/>
        <v>3679573.6310000001</v>
      </c>
      <c r="Y25" s="47">
        <f t="shared" si="10"/>
        <v>3906490.4109999994</v>
      </c>
      <c r="Z25" s="47">
        <f t="shared" si="10"/>
        <v>4247028.9909999985</v>
      </c>
      <c r="AA25" s="47">
        <f t="shared" si="10"/>
        <v>4552914.7260000007</v>
      </c>
      <c r="AB25" s="47">
        <f t="shared" si="10"/>
        <v>5134106.2079999996</v>
      </c>
      <c r="AC25" s="47">
        <f t="shared" si="10"/>
        <v>5191138.1349999998</v>
      </c>
      <c r="AD25" s="47">
        <f t="shared" ref="AD25:AE25" si="11">SUM(AD27:AD39)</f>
        <v>0</v>
      </c>
      <c r="AE25" s="47">
        <f t="shared" si="11"/>
        <v>5547600.5630000001</v>
      </c>
    </row>
    <row r="26" spans="1:31">
      <c r="A26" s="7" t="s">
        <v>97</v>
      </c>
      <c r="X26" s="1">
        <v>0</v>
      </c>
      <c r="Y26" s="1" t="e">
        <f>#REF!/1000</f>
        <v>#REF!</v>
      </c>
      <c r="AB26" s="1">
        <v>0</v>
      </c>
      <c r="AC26" s="1">
        <v>0</v>
      </c>
    </row>
    <row r="27" spans="1:31">
      <c r="A27" s="1" t="s">
        <v>43</v>
      </c>
      <c r="F27" s="41">
        <v>21184.012999999999</v>
      </c>
      <c r="I27" s="1">
        <v>24999.924999999999</v>
      </c>
      <c r="K27" s="1">
        <v>46367.457000000002</v>
      </c>
      <c r="L27" s="1">
        <v>26420.436000000002</v>
      </c>
      <c r="M27" s="1">
        <v>28116.322</v>
      </c>
      <c r="N27" s="1">
        <v>28917.031999999999</v>
      </c>
      <c r="O27" s="1">
        <v>29825.54</v>
      </c>
      <c r="P27" s="1">
        <v>31948.316999999999</v>
      </c>
      <c r="Q27" s="1">
        <v>34735.072</v>
      </c>
      <c r="R27" s="1">
        <v>37984.385000000002</v>
      </c>
      <c r="S27" s="1">
        <v>43637.982000000004</v>
      </c>
      <c r="T27" s="1">
        <v>46683.527000000002</v>
      </c>
      <c r="U27" s="1">
        <v>63905.370999999999</v>
      </c>
      <c r="V27" s="1">
        <v>62377.675999999999</v>
      </c>
      <c r="W27" s="1">
        <v>61267.63</v>
      </c>
      <c r="X27" s="1">
        <v>67064.434999999998</v>
      </c>
      <c r="Y27" s="1">
        <v>70832.012000000002</v>
      </c>
      <c r="Z27" s="1">
        <v>74079.691000000006</v>
      </c>
      <c r="AA27" s="1">
        <v>76078.44</v>
      </c>
      <c r="AB27" s="1">
        <v>82745.043999999994</v>
      </c>
      <c r="AC27" s="1">
        <v>79279.817999999999</v>
      </c>
      <c r="AE27" s="1">
        <v>77695.925000000003</v>
      </c>
    </row>
    <row r="28" spans="1:31">
      <c r="A28" s="1" t="s">
        <v>44</v>
      </c>
      <c r="F28" s="41">
        <v>89243.255000000005</v>
      </c>
      <c r="I28" s="1">
        <v>107028.689</v>
      </c>
      <c r="K28" s="1">
        <v>119143.05</v>
      </c>
      <c r="L28" s="1">
        <v>136656.92000000001</v>
      </c>
      <c r="M28" s="1">
        <v>140264.86499999999</v>
      </c>
      <c r="N28" s="1">
        <v>151338.32</v>
      </c>
      <c r="O28" s="1">
        <v>151516.30499999999</v>
      </c>
      <c r="P28" s="1">
        <v>161034.42300000001</v>
      </c>
      <c r="Q28" s="1">
        <v>181100.682</v>
      </c>
      <c r="R28" s="1">
        <v>210406.239</v>
      </c>
      <c r="S28" s="1">
        <v>223749.76000000001</v>
      </c>
      <c r="T28" s="1">
        <v>251436.79999999999</v>
      </c>
      <c r="U28" s="1">
        <v>247973.01699999999</v>
      </c>
      <c r="V28" s="1">
        <v>281105.22499999998</v>
      </c>
      <c r="W28" s="1">
        <v>296038.93199999997</v>
      </c>
      <c r="X28" s="1">
        <v>305383.24900000001</v>
      </c>
      <c r="Y28" s="1">
        <v>309325.462</v>
      </c>
      <c r="Z28" s="1">
        <v>347508.33600000001</v>
      </c>
      <c r="AA28" s="1">
        <v>389112.038</v>
      </c>
      <c r="AB28" s="1">
        <v>367913.32299999997</v>
      </c>
      <c r="AC28" s="1">
        <v>391066.21600000001</v>
      </c>
      <c r="AE28" s="1">
        <v>452382.467</v>
      </c>
    </row>
    <row r="29" spans="1:31">
      <c r="A29" s="1" t="s">
        <v>45</v>
      </c>
      <c r="F29" s="41">
        <v>619485.11699999997</v>
      </c>
      <c r="I29" s="1">
        <v>737394.41299999994</v>
      </c>
      <c r="K29" s="1">
        <v>969125.00800000003</v>
      </c>
      <c r="L29" s="1">
        <v>972659.63199999998</v>
      </c>
      <c r="M29" s="1">
        <v>1087833.1499999999</v>
      </c>
      <c r="N29" s="1">
        <v>1056051.6229999999</v>
      </c>
      <c r="O29" s="1">
        <v>1112657.0009999999</v>
      </c>
      <c r="P29" s="1">
        <v>1113166.7220000001</v>
      </c>
      <c r="Q29" s="1">
        <v>1014513.4790000001</v>
      </c>
      <c r="R29" s="1">
        <v>1108538.727</v>
      </c>
      <c r="S29" s="1">
        <v>1214508.8929999999</v>
      </c>
      <c r="T29" s="1">
        <v>1457506.9750000001</v>
      </c>
      <c r="U29" s="1">
        <v>1377310.5360000001</v>
      </c>
      <c r="V29" s="1">
        <v>1491846.6850000001</v>
      </c>
      <c r="W29" s="1">
        <v>1592308.192</v>
      </c>
      <c r="X29" s="1">
        <v>1806338.1769999999</v>
      </c>
      <c r="Y29" s="1">
        <v>1861687.004</v>
      </c>
      <c r="Z29" s="1">
        <v>2056957.4029999999</v>
      </c>
      <c r="AA29" s="1">
        <v>2160610.199</v>
      </c>
      <c r="AB29" s="1">
        <v>2471755.1529999999</v>
      </c>
      <c r="AC29" s="1">
        <v>2461829.8309999998</v>
      </c>
      <c r="AE29" s="1">
        <v>2510827.38</v>
      </c>
    </row>
    <row r="30" spans="1:31">
      <c r="A30" s="1" t="s">
        <v>46</v>
      </c>
      <c r="F30" s="41">
        <v>97766.271999999997</v>
      </c>
      <c r="I30" s="1">
        <v>113842.72199999999</v>
      </c>
      <c r="K30" s="1">
        <v>127402.30018000001</v>
      </c>
      <c r="L30" s="1">
        <v>115902.33199999999</v>
      </c>
      <c r="M30" s="1">
        <v>126189.30499999999</v>
      </c>
      <c r="N30" s="1">
        <v>119815.499</v>
      </c>
      <c r="O30" s="1">
        <v>111970.21400000001</v>
      </c>
      <c r="P30" s="1">
        <v>84669.774000000005</v>
      </c>
      <c r="Q30" s="1">
        <v>164069.027</v>
      </c>
      <c r="R30" s="1">
        <v>131769.21900000001</v>
      </c>
      <c r="S30" s="1">
        <v>142710.86199999999</v>
      </c>
      <c r="T30" s="1">
        <v>162772.16099999999</v>
      </c>
      <c r="U30" s="1">
        <v>168016.83100000001</v>
      </c>
      <c r="V30" s="1">
        <v>192445.1</v>
      </c>
      <c r="W30" s="1">
        <v>192090.34400000001</v>
      </c>
      <c r="X30" s="1">
        <v>220260.533</v>
      </c>
      <c r="Y30" s="1">
        <v>234637.894</v>
      </c>
      <c r="Z30" s="1">
        <v>275453.64399999997</v>
      </c>
      <c r="AA30" s="1">
        <v>315572.84100000001</v>
      </c>
      <c r="AB30" s="1">
        <v>371857.27399999998</v>
      </c>
      <c r="AC30" s="1">
        <v>413099.05200000003</v>
      </c>
      <c r="AE30" s="1">
        <v>471907.69199999998</v>
      </c>
    </row>
    <row r="31" spans="1:31">
      <c r="A31" s="1" t="s">
        <v>47</v>
      </c>
      <c r="F31" s="41">
        <v>10036.58</v>
      </c>
      <c r="I31" s="1">
        <v>9884.34</v>
      </c>
      <c r="K31" s="1">
        <v>46378.853999999999</v>
      </c>
      <c r="L31" s="1">
        <v>11236.846</v>
      </c>
      <c r="M31" s="1">
        <v>14520.579</v>
      </c>
      <c r="N31" s="1">
        <v>13583.927</v>
      </c>
      <c r="O31" s="1">
        <v>12858.205</v>
      </c>
      <c r="P31" s="1">
        <v>16844.882000000001</v>
      </c>
      <c r="Q31" s="1">
        <v>19182.044999999998</v>
      </c>
      <c r="R31" s="1">
        <v>19661.452000000001</v>
      </c>
      <c r="S31" s="1">
        <v>22357.263999999999</v>
      </c>
      <c r="T31" s="1">
        <v>28439.9</v>
      </c>
      <c r="U31" s="1">
        <v>27897.812000000002</v>
      </c>
      <c r="V31" s="1">
        <v>24617.558000000001</v>
      </c>
      <c r="W31" s="1">
        <v>30102.136999999999</v>
      </c>
      <c r="X31" s="1">
        <v>33413.974999999999</v>
      </c>
      <c r="Y31" s="1">
        <v>54299.695</v>
      </c>
      <c r="Z31" s="1">
        <v>40691.792000000001</v>
      </c>
      <c r="AA31" s="1">
        <v>40018.118999999999</v>
      </c>
      <c r="AB31" s="1">
        <v>47814.43</v>
      </c>
      <c r="AC31" s="1">
        <v>44731.764999999999</v>
      </c>
      <c r="AE31" s="1">
        <v>45330.534</v>
      </c>
    </row>
    <row r="32" spans="1:31">
      <c r="A32" s="1" t="s">
        <v>48</v>
      </c>
      <c r="F32" s="41">
        <v>28653.394</v>
      </c>
      <c r="I32" s="1">
        <v>29604.134999999998</v>
      </c>
      <c r="K32" s="1">
        <v>31786.98</v>
      </c>
      <c r="L32" s="1">
        <v>41767.275999999998</v>
      </c>
      <c r="M32" s="1">
        <v>47443.445</v>
      </c>
      <c r="N32" s="1">
        <v>58309.182000000001</v>
      </c>
      <c r="O32" s="1">
        <v>60072.002</v>
      </c>
      <c r="P32" s="1">
        <v>48601.595999999998</v>
      </c>
      <c r="Q32" s="1">
        <v>54058.99</v>
      </c>
      <c r="R32" s="1">
        <v>51147.224000000002</v>
      </c>
      <c r="S32" s="1">
        <v>55406.588000000003</v>
      </c>
      <c r="T32" s="1">
        <v>70066.771999999997</v>
      </c>
      <c r="U32" s="1">
        <v>74279.422000000006</v>
      </c>
      <c r="V32" s="1">
        <v>78218.180999999997</v>
      </c>
      <c r="W32" s="1">
        <v>75434.592999999993</v>
      </c>
      <c r="X32" s="1">
        <v>77455.945999999996</v>
      </c>
      <c r="Y32" s="1">
        <v>80311.675000000003</v>
      </c>
      <c r="Z32" s="1">
        <v>88579.404999999999</v>
      </c>
      <c r="AA32" s="1">
        <v>96461.274000000005</v>
      </c>
      <c r="AB32" s="1">
        <v>102675.023</v>
      </c>
      <c r="AC32" s="1">
        <v>110018.943</v>
      </c>
      <c r="AE32" s="1">
        <v>120427.44</v>
      </c>
    </row>
    <row r="33" spans="1:31">
      <c r="A33" s="1" t="s">
        <v>49</v>
      </c>
      <c r="F33" s="41">
        <v>16525.89</v>
      </c>
      <c r="I33" s="1">
        <v>18228.496999999999</v>
      </c>
      <c r="K33" s="1">
        <v>26667.207999999999</v>
      </c>
      <c r="L33" s="1">
        <v>26668.683000000001</v>
      </c>
      <c r="M33" s="1">
        <v>28493.735000000001</v>
      </c>
      <c r="N33" s="1">
        <v>23344.511999999999</v>
      </c>
      <c r="O33" s="1">
        <v>32280.9</v>
      </c>
      <c r="P33" s="1">
        <v>32322.718000000001</v>
      </c>
      <c r="Q33" s="1">
        <v>38352.165999999997</v>
      </c>
      <c r="R33" s="1">
        <v>40453.896999999997</v>
      </c>
      <c r="S33" s="1">
        <v>43827.591</v>
      </c>
      <c r="T33" s="1">
        <v>47433.27</v>
      </c>
      <c r="U33" s="1">
        <v>52085.656000000003</v>
      </c>
      <c r="V33" s="1">
        <v>57804.561999999998</v>
      </c>
      <c r="W33" s="1">
        <v>58563.292999999998</v>
      </c>
      <c r="X33" s="1">
        <v>59911.792999999998</v>
      </c>
      <c r="Y33" s="1">
        <v>60085.139000000003</v>
      </c>
      <c r="Z33" s="1">
        <v>62681.196000000004</v>
      </c>
      <c r="AA33" s="1">
        <v>64750.724999999999</v>
      </c>
      <c r="AB33" s="1">
        <v>62272.623</v>
      </c>
      <c r="AC33" s="1">
        <v>68138.491999999998</v>
      </c>
      <c r="AE33" s="1">
        <v>65356.65</v>
      </c>
    </row>
    <row r="34" spans="1:31">
      <c r="A34" s="1" t="s">
        <v>50</v>
      </c>
      <c r="F34" s="41">
        <v>25968.707999999999</v>
      </c>
      <c r="I34" s="1">
        <v>30009.348000000002</v>
      </c>
      <c r="K34" s="1">
        <v>37393.512000000002</v>
      </c>
      <c r="L34" s="1">
        <v>43070.171999999999</v>
      </c>
      <c r="M34" s="1">
        <v>46199.095000000001</v>
      </c>
      <c r="N34" s="1">
        <v>47937.750999999997</v>
      </c>
      <c r="O34" s="1">
        <v>49668.913</v>
      </c>
      <c r="P34" s="1">
        <v>67673.001000000004</v>
      </c>
      <c r="Q34" s="1">
        <v>73011.498999999996</v>
      </c>
      <c r="R34" s="1">
        <v>80678.748000000007</v>
      </c>
      <c r="S34" s="1">
        <v>86514.591</v>
      </c>
      <c r="T34" s="1">
        <v>92330.505999999994</v>
      </c>
      <c r="U34" s="1">
        <v>64970.506000000001</v>
      </c>
      <c r="V34" s="1">
        <v>79325.072</v>
      </c>
      <c r="W34" s="1">
        <v>75991.076000000001</v>
      </c>
      <c r="X34" s="1">
        <v>77862.997000000003</v>
      </c>
      <c r="Y34" s="1">
        <v>79211.879000000001</v>
      </c>
      <c r="Z34" s="1">
        <v>78156.558999999994</v>
      </c>
      <c r="AA34" s="1">
        <v>94717.224000000002</v>
      </c>
      <c r="AB34" s="1">
        <v>100935.879</v>
      </c>
      <c r="AC34" s="1">
        <v>109241.89200000001</v>
      </c>
      <c r="AE34" s="1">
        <v>142883.58199999999</v>
      </c>
    </row>
    <row r="35" spans="1:31">
      <c r="A35" s="1" t="s">
        <v>51</v>
      </c>
      <c r="F35" s="41">
        <v>34581.24</v>
      </c>
      <c r="I35" s="1">
        <v>45678.733999999997</v>
      </c>
      <c r="K35" s="1">
        <v>50645.013079999997</v>
      </c>
      <c r="L35" s="1">
        <v>49375.057000000001</v>
      </c>
      <c r="M35" s="1">
        <v>57663.692000000003</v>
      </c>
      <c r="N35" s="1">
        <v>60616.807000000001</v>
      </c>
      <c r="O35" s="1">
        <v>65850.767999999996</v>
      </c>
      <c r="P35" s="1">
        <v>64350.726000000002</v>
      </c>
      <c r="Q35" s="1">
        <v>81838.308000000005</v>
      </c>
      <c r="R35" s="1">
        <v>86764.994999999995</v>
      </c>
      <c r="S35" s="1">
        <v>92892.346000000005</v>
      </c>
      <c r="T35" s="1">
        <v>102555.32799999999</v>
      </c>
      <c r="U35" s="1">
        <v>104478.79</v>
      </c>
      <c r="V35" s="1">
        <v>108053.738</v>
      </c>
      <c r="W35" s="1">
        <v>109958.694</v>
      </c>
      <c r="X35" s="1">
        <v>112664.90399999999</v>
      </c>
      <c r="Y35" s="1">
        <v>110612.495</v>
      </c>
      <c r="Z35" s="1">
        <v>116549.447</v>
      </c>
      <c r="AA35" s="1">
        <v>128543.504</v>
      </c>
      <c r="AB35" s="1">
        <v>135173.136</v>
      </c>
      <c r="AC35" s="1">
        <v>132414.66699999999</v>
      </c>
      <c r="AE35" s="1">
        <v>127730.527</v>
      </c>
    </row>
    <row r="36" spans="1:31">
      <c r="A36" s="1" t="s">
        <v>52</v>
      </c>
      <c r="F36" s="41">
        <v>60869.080999999998</v>
      </c>
      <c r="I36" s="1">
        <v>65758.278999999995</v>
      </c>
      <c r="K36" s="1">
        <v>110040.745</v>
      </c>
      <c r="L36" s="1">
        <v>114549.197</v>
      </c>
      <c r="M36" s="1">
        <v>115936.292</v>
      </c>
      <c r="N36" s="1">
        <v>140017.51699999999</v>
      </c>
      <c r="O36" s="1">
        <v>136483.83799999999</v>
      </c>
      <c r="P36" s="1">
        <v>143057.323</v>
      </c>
      <c r="Q36" s="1">
        <v>151502.19500000001</v>
      </c>
      <c r="R36" s="1">
        <v>169608.73499999999</v>
      </c>
      <c r="S36" s="1">
        <v>197754.552</v>
      </c>
      <c r="T36" s="1">
        <v>273403.783</v>
      </c>
      <c r="U36" s="1">
        <v>149405.47899999999</v>
      </c>
      <c r="V36" s="1">
        <v>285122.13099999999</v>
      </c>
      <c r="W36" s="1">
        <v>305189.00699999998</v>
      </c>
      <c r="X36" s="1">
        <v>324652.495</v>
      </c>
      <c r="Y36" s="1">
        <v>341305.98800000001</v>
      </c>
      <c r="Z36" s="1">
        <v>388478.26299999998</v>
      </c>
      <c r="AA36" s="1">
        <v>406980.04200000002</v>
      </c>
      <c r="AB36" s="1">
        <v>526121.42200000002</v>
      </c>
      <c r="AC36" s="1">
        <v>526432.72</v>
      </c>
      <c r="AE36" s="1">
        <v>547133.65599999996</v>
      </c>
    </row>
    <row r="37" spans="1:31">
      <c r="A37" s="1" t="s">
        <v>53</v>
      </c>
      <c r="F37" s="41">
        <v>48882.218999999997</v>
      </c>
      <c r="I37" s="1">
        <v>60943.17</v>
      </c>
      <c r="K37" s="1">
        <v>84180.159</v>
      </c>
      <c r="L37" s="1">
        <v>124054.63800000001</v>
      </c>
      <c r="M37" s="1">
        <v>113985.27800000001</v>
      </c>
      <c r="N37" s="1">
        <v>115330.95600000001</v>
      </c>
      <c r="O37" s="1">
        <v>111058.08</v>
      </c>
      <c r="P37" s="1">
        <v>129977.999</v>
      </c>
      <c r="Q37" s="1">
        <v>125985.239</v>
      </c>
      <c r="R37" s="1">
        <v>151017.761</v>
      </c>
      <c r="S37" s="1">
        <v>159607.834</v>
      </c>
      <c r="T37" s="1">
        <v>166849.111</v>
      </c>
      <c r="U37" s="1">
        <v>164169.59</v>
      </c>
      <c r="V37" s="1">
        <v>221918.14199999999</v>
      </c>
      <c r="W37" s="1">
        <v>238728.88500000001</v>
      </c>
      <c r="X37" s="1">
        <v>232475.37700000001</v>
      </c>
      <c r="Y37" s="1">
        <v>265404.022</v>
      </c>
      <c r="Z37" s="1">
        <v>234522.209</v>
      </c>
      <c r="AA37" s="1">
        <v>278814</v>
      </c>
      <c r="AB37" s="1">
        <v>312258.60200000001</v>
      </c>
      <c r="AC37" s="1">
        <v>326765.674</v>
      </c>
      <c r="AE37" s="1">
        <v>445243.66600000003</v>
      </c>
    </row>
    <row r="38" spans="1:31">
      <c r="A38" s="1" t="s">
        <v>54</v>
      </c>
      <c r="F38" s="41">
        <v>111209.514</v>
      </c>
      <c r="I38" s="1">
        <v>123574.162</v>
      </c>
      <c r="K38" s="1">
        <v>137538.47200000001</v>
      </c>
      <c r="L38" s="1">
        <v>156358.285</v>
      </c>
      <c r="M38" s="1">
        <v>178367.51800000001</v>
      </c>
      <c r="N38" s="1">
        <v>223192.04199999999</v>
      </c>
      <c r="O38" s="1">
        <v>177894.79</v>
      </c>
      <c r="P38" s="1">
        <v>187101.76699999999</v>
      </c>
      <c r="Q38" s="1">
        <v>198099.93400000001</v>
      </c>
      <c r="R38" s="1">
        <v>200663.663</v>
      </c>
      <c r="S38" s="1">
        <v>257769.315</v>
      </c>
      <c r="T38" s="1">
        <v>300609.36200000002</v>
      </c>
      <c r="U38" s="1">
        <v>257142.58499999999</v>
      </c>
      <c r="V38" s="1">
        <v>302716.30900000001</v>
      </c>
      <c r="W38" s="1">
        <v>302455.28000000003</v>
      </c>
      <c r="X38" s="1">
        <v>318626.84600000002</v>
      </c>
      <c r="Y38" s="1">
        <v>391701.76000000001</v>
      </c>
      <c r="Z38" s="1">
        <v>432278.80699999997</v>
      </c>
      <c r="AA38" s="1">
        <v>446684.62199999997</v>
      </c>
      <c r="AB38" s="1">
        <v>506280.50599999999</v>
      </c>
      <c r="AC38" s="1">
        <v>474124.75599999999</v>
      </c>
      <c r="AE38" s="1">
        <v>467428.66499999998</v>
      </c>
    </row>
    <row r="39" spans="1:31">
      <c r="A39" s="23" t="s">
        <v>55</v>
      </c>
      <c r="B39" s="23"/>
      <c r="C39" s="23"/>
      <c r="D39" s="23"/>
      <c r="E39" s="23"/>
      <c r="F39" s="44">
        <v>12698.61</v>
      </c>
      <c r="G39" s="23"/>
      <c r="H39" s="23"/>
      <c r="I39" s="23">
        <v>15277.712</v>
      </c>
      <c r="J39" s="23"/>
      <c r="K39" s="23">
        <v>13448.673000000001</v>
      </c>
      <c r="L39" s="23">
        <v>17750.244999999999</v>
      </c>
      <c r="M39" s="23">
        <v>21358.81</v>
      </c>
      <c r="N39" s="23">
        <v>20323.142</v>
      </c>
      <c r="O39" s="23">
        <v>22478.281999999999</v>
      </c>
      <c r="P39" s="23">
        <v>24476.374</v>
      </c>
      <c r="Q39" s="23">
        <v>27868.234</v>
      </c>
      <c r="R39" s="23">
        <v>29357.715</v>
      </c>
      <c r="S39" s="23">
        <v>28252.045999999998</v>
      </c>
      <c r="T39" s="23">
        <v>33869.718999999997</v>
      </c>
      <c r="U39" s="23">
        <v>30005.023000000001</v>
      </c>
      <c r="V39" s="23">
        <v>43459.59</v>
      </c>
      <c r="W39" s="23">
        <v>41440.237000000001</v>
      </c>
      <c r="X39" s="23">
        <v>43462.904000000002</v>
      </c>
      <c r="Y39" s="23">
        <v>47075.385999999999</v>
      </c>
      <c r="Z39" s="23">
        <v>51092.239000000001</v>
      </c>
      <c r="AA39" s="23">
        <v>54571.697999999997</v>
      </c>
      <c r="AB39" s="23">
        <v>46303.792999999998</v>
      </c>
      <c r="AC39" s="23">
        <v>53994.309000000001</v>
      </c>
      <c r="AD39" s="23"/>
      <c r="AE39" s="23">
        <v>73252.379000000001</v>
      </c>
    </row>
    <row r="40" spans="1:31">
      <c r="A40" s="7" t="s">
        <v>56</v>
      </c>
      <c r="B40" s="47">
        <f>SUM(B42:B53)</f>
        <v>0</v>
      </c>
      <c r="C40" s="47">
        <f t="shared" ref="C40:AC40" si="12">SUM(C42:C53)</f>
        <v>0</v>
      </c>
      <c r="D40" s="47">
        <f t="shared" si="12"/>
        <v>0</v>
      </c>
      <c r="E40" s="47">
        <f t="shared" si="12"/>
        <v>0</v>
      </c>
      <c r="F40" s="47">
        <f t="shared" si="12"/>
        <v>1293265.986</v>
      </c>
      <c r="G40" s="47">
        <f t="shared" si="12"/>
        <v>0</v>
      </c>
      <c r="H40" s="47">
        <f t="shared" si="12"/>
        <v>0</v>
      </c>
      <c r="I40" s="47">
        <f t="shared" si="12"/>
        <v>1433162.65</v>
      </c>
      <c r="J40" s="47">
        <f t="shared" si="12"/>
        <v>0</v>
      </c>
      <c r="K40" s="47">
        <f t="shared" si="12"/>
        <v>1706058.86622</v>
      </c>
      <c r="L40" s="47">
        <f t="shared" si="12"/>
        <v>1975026.352</v>
      </c>
      <c r="M40" s="47">
        <f t="shared" si="12"/>
        <v>2204165.0269999998</v>
      </c>
      <c r="N40" s="47">
        <f t="shared" si="12"/>
        <v>2187156.855</v>
      </c>
      <c r="O40" s="47">
        <f t="shared" si="12"/>
        <v>2226656.227</v>
      </c>
      <c r="P40" s="47">
        <f t="shared" si="12"/>
        <v>2370004.6680000001</v>
      </c>
      <c r="Q40" s="47">
        <f t="shared" si="12"/>
        <v>2347347.7309999997</v>
      </c>
      <c r="R40" s="47">
        <f t="shared" si="12"/>
        <v>2393164.6990000005</v>
      </c>
      <c r="S40" s="47">
        <f t="shared" si="12"/>
        <v>2613305.31</v>
      </c>
      <c r="T40" s="47">
        <f t="shared" si="12"/>
        <v>3010458.6680000005</v>
      </c>
      <c r="U40" s="47">
        <f t="shared" si="12"/>
        <v>3132593.5720000002</v>
      </c>
      <c r="V40" s="47">
        <f t="shared" si="12"/>
        <v>3385869.7470000004</v>
      </c>
      <c r="W40" s="47">
        <f t="shared" si="12"/>
        <v>3553641.0019999999</v>
      </c>
      <c r="X40" s="47">
        <f t="shared" si="12"/>
        <v>3629719.585</v>
      </c>
      <c r="Y40" s="47">
        <f t="shared" si="12"/>
        <v>3752676.8420000006</v>
      </c>
      <c r="Z40" s="47">
        <f t="shared" si="12"/>
        <v>3934581.2749999994</v>
      </c>
      <c r="AA40" s="47">
        <f t="shared" si="12"/>
        <v>3967875.463</v>
      </c>
      <c r="AB40" s="47">
        <f t="shared" si="12"/>
        <v>4080357.0070000002</v>
      </c>
      <c r="AC40" s="47">
        <f t="shared" si="12"/>
        <v>4228012.9559999993</v>
      </c>
      <c r="AD40" s="47">
        <f t="shared" ref="AD40:AE40" si="13">SUM(AD42:AD53)</f>
        <v>0</v>
      </c>
      <c r="AE40" s="47">
        <f t="shared" si="13"/>
        <v>4638778.1780000012</v>
      </c>
    </row>
    <row r="41" spans="1:31">
      <c r="A41" s="7" t="s">
        <v>97</v>
      </c>
      <c r="X41" s="1">
        <v>0</v>
      </c>
      <c r="Y41" s="1" t="e">
        <f>#REF!/1000</f>
        <v>#REF!</v>
      </c>
      <c r="AB41" s="1">
        <v>0</v>
      </c>
      <c r="AC41" s="1">
        <v>0</v>
      </c>
    </row>
    <row r="42" spans="1:31">
      <c r="A42" s="1" t="s">
        <v>57</v>
      </c>
      <c r="F42" s="41">
        <v>168430.386</v>
      </c>
      <c r="I42" s="1">
        <v>195191.49400000001</v>
      </c>
      <c r="K42" s="1">
        <v>331093.973</v>
      </c>
      <c r="L42" s="1">
        <v>303114.36599999998</v>
      </c>
      <c r="M42" s="1">
        <v>313238.95699999999</v>
      </c>
      <c r="N42" s="1">
        <v>279475.67200000002</v>
      </c>
      <c r="O42" s="1">
        <v>268473.94500000001</v>
      </c>
      <c r="P42" s="1">
        <v>390929.84399999998</v>
      </c>
      <c r="Q42" s="1">
        <v>312781.19</v>
      </c>
      <c r="R42" s="1">
        <v>237766.18799999999</v>
      </c>
      <c r="S42" s="1">
        <v>266252.86099999998</v>
      </c>
      <c r="T42" s="1">
        <v>304098.48</v>
      </c>
      <c r="U42" s="1">
        <v>329381.58</v>
      </c>
      <c r="V42" s="1">
        <v>375926.80099999998</v>
      </c>
      <c r="W42" s="1">
        <v>364109.19300000003</v>
      </c>
      <c r="X42" s="1">
        <v>384242.36200000002</v>
      </c>
      <c r="Y42" s="1">
        <v>449877.10600000003</v>
      </c>
      <c r="Z42" s="1">
        <v>480676.41499999998</v>
      </c>
      <c r="AA42" s="1">
        <v>462463.478</v>
      </c>
      <c r="AB42" s="1">
        <v>454247.51500000001</v>
      </c>
      <c r="AC42" s="1">
        <v>483619.88</v>
      </c>
      <c r="AE42" s="1">
        <v>446703.41100000002</v>
      </c>
    </row>
    <row r="43" spans="1:31">
      <c r="A43" s="1" t="s">
        <v>58</v>
      </c>
      <c r="F43" s="41">
        <v>153920.41899999999</v>
      </c>
      <c r="I43" s="1">
        <v>155895.272</v>
      </c>
      <c r="K43" s="1">
        <v>188410.67600000001</v>
      </c>
      <c r="L43" s="1">
        <v>218040.51699999999</v>
      </c>
      <c r="M43" s="1">
        <v>233802.905</v>
      </c>
      <c r="N43" s="1">
        <v>346161.37800000003</v>
      </c>
      <c r="O43" s="1">
        <v>303845.36800000002</v>
      </c>
      <c r="P43" s="1">
        <v>307481.56099999999</v>
      </c>
      <c r="Q43" s="1">
        <v>334229.80599999998</v>
      </c>
      <c r="R43" s="1">
        <v>346246.60600000003</v>
      </c>
      <c r="S43" s="1">
        <v>410441.90100000001</v>
      </c>
      <c r="T43" s="1">
        <v>446986.08</v>
      </c>
      <c r="U43" s="1">
        <v>408484.50900000002</v>
      </c>
      <c r="V43" s="1">
        <v>427473.76899999997</v>
      </c>
      <c r="W43" s="1">
        <v>450521.30800000002</v>
      </c>
      <c r="X43" s="1">
        <v>500888.609</v>
      </c>
      <c r="Y43" s="1">
        <v>432908.57400000002</v>
      </c>
      <c r="Z43" s="1">
        <v>460129.81699999998</v>
      </c>
      <c r="AA43" s="1">
        <v>459393.04100000003</v>
      </c>
      <c r="AB43" s="1">
        <v>485367.79399999999</v>
      </c>
      <c r="AC43" s="1">
        <v>464346.95299999998</v>
      </c>
      <c r="AE43" s="1">
        <v>796796.21400000004</v>
      </c>
    </row>
    <row r="44" spans="1:31">
      <c r="A44" s="1" t="s">
        <v>59</v>
      </c>
      <c r="F44" s="41">
        <v>52173.438999999998</v>
      </c>
      <c r="I44" s="1">
        <v>72975.168999999994</v>
      </c>
      <c r="K44" s="1">
        <v>71055.09</v>
      </c>
      <c r="L44" s="1">
        <v>83444.138000000006</v>
      </c>
      <c r="M44" s="1">
        <v>108760.44100000001</v>
      </c>
      <c r="N44" s="1">
        <v>99831.213000000003</v>
      </c>
      <c r="O44" s="1">
        <v>123724.558</v>
      </c>
      <c r="P44" s="1">
        <v>110700.367</v>
      </c>
      <c r="Q44" s="1">
        <v>111410.522</v>
      </c>
      <c r="R44" s="1">
        <v>109681.17</v>
      </c>
      <c r="S44" s="1">
        <v>108574.399</v>
      </c>
      <c r="T44" s="1">
        <v>122585.781</v>
      </c>
      <c r="U44" s="1">
        <v>148341.04</v>
      </c>
      <c r="V44" s="1">
        <v>171326.07399999999</v>
      </c>
      <c r="W44" s="1">
        <v>167387.815</v>
      </c>
      <c r="X44" s="1">
        <v>151711.894</v>
      </c>
      <c r="Y44" s="1">
        <v>166025.13200000001</v>
      </c>
      <c r="Z44" s="1">
        <v>151874.26699999999</v>
      </c>
      <c r="AA44" s="1">
        <v>174417.88099999999</v>
      </c>
      <c r="AB44" s="1">
        <v>163000.80300000001</v>
      </c>
      <c r="AC44" s="1">
        <v>165808.51699999999</v>
      </c>
      <c r="AE44" s="1">
        <v>181536.97899999999</v>
      </c>
    </row>
    <row r="45" spans="1:31">
      <c r="A45" s="1" t="s">
        <v>60</v>
      </c>
      <c r="F45" s="41">
        <v>59369.548000000003</v>
      </c>
      <c r="I45" s="1">
        <v>71673.273000000001</v>
      </c>
      <c r="K45" s="1">
        <v>77351.970799999996</v>
      </c>
      <c r="L45" s="1">
        <v>101257.156</v>
      </c>
      <c r="M45" s="1">
        <v>86529.766000000003</v>
      </c>
      <c r="N45" s="1">
        <v>95146.123999999996</v>
      </c>
      <c r="O45" s="1">
        <v>91478.373000000007</v>
      </c>
      <c r="P45" s="1">
        <v>91179.267000000007</v>
      </c>
      <c r="Q45" s="1">
        <v>98906.123000000007</v>
      </c>
      <c r="R45" s="1">
        <v>103919.38499999999</v>
      </c>
      <c r="S45" s="1">
        <v>109479.72199999999</v>
      </c>
      <c r="T45" s="1">
        <v>120840.626</v>
      </c>
      <c r="U45" s="1">
        <v>121579.29300000001</v>
      </c>
      <c r="V45" s="1">
        <v>140498.85500000001</v>
      </c>
      <c r="W45" s="1">
        <v>152933.73800000001</v>
      </c>
      <c r="X45" s="1">
        <v>160596.36300000001</v>
      </c>
      <c r="Y45" s="1">
        <v>167059.73800000001</v>
      </c>
      <c r="Z45" s="1">
        <v>172676.18700000001</v>
      </c>
      <c r="AA45" s="1">
        <v>173894.39</v>
      </c>
      <c r="AB45" s="1">
        <v>166484.89300000001</v>
      </c>
      <c r="AC45" s="1">
        <v>177453.81</v>
      </c>
      <c r="AE45" s="1">
        <v>194667.67800000001</v>
      </c>
    </row>
    <row r="46" spans="1:31">
      <c r="A46" s="1" t="s">
        <v>61</v>
      </c>
      <c r="F46" s="41">
        <v>248103.96100000001</v>
      </c>
      <c r="I46" s="1">
        <v>270270.17300000001</v>
      </c>
      <c r="K46" s="1">
        <v>287084.88</v>
      </c>
      <c r="L46" s="1">
        <v>361673.88699999999</v>
      </c>
      <c r="M46" s="1">
        <v>396260.86800000002</v>
      </c>
      <c r="N46" s="1">
        <v>401830.288</v>
      </c>
      <c r="O46" s="1">
        <v>413500.44199999998</v>
      </c>
      <c r="P46" s="1">
        <v>394263.85600000003</v>
      </c>
      <c r="Q46" s="1">
        <v>409435.51799999998</v>
      </c>
      <c r="R46" s="1">
        <v>449112.61700000003</v>
      </c>
      <c r="S46" s="1">
        <v>470277.77899999998</v>
      </c>
      <c r="T46" s="1">
        <v>572869.35600000003</v>
      </c>
      <c r="U46" s="1">
        <v>625179.04500000004</v>
      </c>
      <c r="V46" s="1">
        <v>638129.49199999997</v>
      </c>
      <c r="W46" s="1">
        <v>638372.52599999995</v>
      </c>
      <c r="X46" s="1">
        <v>668046.74800000002</v>
      </c>
      <c r="Y46" s="1">
        <v>679842.84299999999</v>
      </c>
      <c r="Z46" s="1">
        <v>693514.07700000005</v>
      </c>
      <c r="AA46" s="1">
        <v>737740.64199999999</v>
      </c>
      <c r="AB46" s="1">
        <v>762664.978</v>
      </c>
      <c r="AC46" s="1">
        <v>785219.50399999996</v>
      </c>
      <c r="AE46" s="1">
        <v>888163.23300000001</v>
      </c>
    </row>
    <row r="47" spans="1:31">
      <c r="A47" s="1" t="s">
        <v>62</v>
      </c>
      <c r="F47" s="41">
        <v>116836.08900000001</v>
      </c>
      <c r="I47" s="1">
        <v>141086.65900000001</v>
      </c>
      <c r="K47" s="1">
        <v>127940.58100000001</v>
      </c>
      <c r="L47" s="1">
        <v>200218.29</v>
      </c>
      <c r="M47" s="1">
        <v>159623.17199999999</v>
      </c>
      <c r="N47" s="1">
        <v>162956.80100000001</v>
      </c>
      <c r="O47" s="1">
        <v>172666.2</v>
      </c>
      <c r="P47" s="1">
        <v>171314.693</v>
      </c>
      <c r="Q47" s="1">
        <v>168318.48699999999</v>
      </c>
      <c r="R47" s="1">
        <v>189957.03599999999</v>
      </c>
      <c r="S47" s="1">
        <v>217033.17300000001</v>
      </c>
      <c r="T47" s="1">
        <v>277033.15000000002</v>
      </c>
      <c r="U47" s="1">
        <v>351273.56199999998</v>
      </c>
      <c r="V47" s="1">
        <v>359815.78499999997</v>
      </c>
      <c r="W47" s="1">
        <v>318565.266</v>
      </c>
      <c r="X47" s="1">
        <v>312376.29499999998</v>
      </c>
      <c r="Y47" s="1">
        <v>325330.74</v>
      </c>
      <c r="Z47" s="1">
        <v>397940.00300000003</v>
      </c>
      <c r="AA47" s="1">
        <v>392987.02799999999</v>
      </c>
      <c r="AB47" s="1">
        <v>411708.39</v>
      </c>
      <c r="AC47" s="1">
        <v>415887.82699999999</v>
      </c>
      <c r="AE47" s="1">
        <v>436139.07199999999</v>
      </c>
    </row>
    <row r="48" spans="1:31">
      <c r="A48" s="1" t="s">
        <v>63</v>
      </c>
      <c r="F48" s="41">
        <v>67815.960999999996</v>
      </c>
      <c r="I48" s="1">
        <v>80321.210000000006</v>
      </c>
      <c r="K48" s="1">
        <v>100719.378</v>
      </c>
      <c r="L48" s="1">
        <v>109922.58</v>
      </c>
      <c r="M48" s="1">
        <v>246340.30600000001</v>
      </c>
      <c r="N48" s="1">
        <v>134133.37400000001</v>
      </c>
      <c r="O48" s="1">
        <v>131919.41500000001</v>
      </c>
      <c r="P48" s="1">
        <v>147805.902</v>
      </c>
      <c r="Q48" s="1">
        <v>160708.41200000001</v>
      </c>
      <c r="R48" s="1">
        <v>153004.98499999999</v>
      </c>
      <c r="S48" s="1">
        <v>150868.21599999999</v>
      </c>
      <c r="T48" s="1">
        <v>166427.29699999999</v>
      </c>
      <c r="U48" s="1">
        <v>167590.111</v>
      </c>
      <c r="V48" s="1">
        <v>167919.56099999999</v>
      </c>
      <c r="W48" s="1">
        <v>211099.32</v>
      </c>
      <c r="X48" s="1">
        <v>223669.87400000001</v>
      </c>
      <c r="Y48" s="1">
        <v>203411.353</v>
      </c>
      <c r="Z48" s="1">
        <v>211951.454</v>
      </c>
      <c r="AA48" s="1">
        <v>236897.58600000001</v>
      </c>
      <c r="AB48" s="1">
        <v>251315.57399999999</v>
      </c>
      <c r="AC48" s="1">
        <v>248341.47899999999</v>
      </c>
      <c r="AE48" s="1">
        <v>239328.46</v>
      </c>
    </row>
    <row r="49" spans="1:31">
      <c r="A49" s="1" t="s">
        <v>64</v>
      </c>
      <c r="F49" s="41">
        <v>44734.182000000001</v>
      </c>
      <c r="I49" s="1">
        <v>48277.436000000002</v>
      </c>
      <c r="K49" s="1">
        <v>60602.178999999996</v>
      </c>
      <c r="L49" s="1">
        <v>60802.915999999997</v>
      </c>
      <c r="M49" s="1">
        <v>61463.337</v>
      </c>
      <c r="N49" s="1">
        <v>67362.501999999993</v>
      </c>
      <c r="O49" s="1">
        <v>73463.452000000005</v>
      </c>
      <c r="P49" s="1">
        <v>74873.501000000004</v>
      </c>
      <c r="Q49" s="1">
        <v>79510.543000000005</v>
      </c>
      <c r="R49" s="1">
        <v>80983.406000000003</v>
      </c>
      <c r="S49" s="1">
        <v>82150.767000000007</v>
      </c>
      <c r="T49" s="1">
        <v>88682.123000000007</v>
      </c>
      <c r="U49" s="1">
        <v>71089.731</v>
      </c>
      <c r="V49" s="1">
        <v>101263.81299999999</v>
      </c>
      <c r="W49" s="1">
        <v>107930.753</v>
      </c>
      <c r="X49" s="1">
        <v>114446.09699999999</v>
      </c>
      <c r="Y49" s="1">
        <v>119358.86900000001</v>
      </c>
      <c r="Z49" s="1">
        <v>127132.508</v>
      </c>
      <c r="AA49" s="1">
        <v>129092.891</v>
      </c>
      <c r="AB49" s="1">
        <v>134293.96400000001</v>
      </c>
      <c r="AC49" s="1">
        <v>134103.201</v>
      </c>
      <c r="AE49" s="1">
        <v>134390.24</v>
      </c>
    </row>
    <row r="50" spans="1:31">
      <c r="A50" s="1" t="s">
        <v>65</v>
      </c>
      <c r="F50" s="41">
        <v>25390.288</v>
      </c>
      <c r="I50" s="1">
        <v>25405.058000000001</v>
      </c>
      <c r="K50" s="1">
        <v>25975.210999999999</v>
      </c>
      <c r="L50" s="1">
        <v>25068.651999999998</v>
      </c>
      <c r="M50" s="1">
        <v>28728.516</v>
      </c>
      <c r="N50" s="1">
        <v>31658.213</v>
      </c>
      <c r="O50" s="1">
        <v>34564.502</v>
      </c>
      <c r="P50" s="1">
        <v>37255.252</v>
      </c>
      <c r="Q50" s="1">
        <v>47471.021000000001</v>
      </c>
      <c r="R50" s="1">
        <v>46755.9</v>
      </c>
      <c r="S50" s="1">
        <v>49852.124000000003</v>
      </c>
      <c r="T50" s="1">
        <v>60283.953000000001</v>
      </c>
      <c r="U50" s="1">
        <v>60645.667999999998</v>
      </c>
      <c r="V50" s="1">
        <v>75938.118000000002</v>
      </c>
      <c r="W50" s="1">
        <v>74994.008000000002</v>
      </c>
      <c r="X50" s="1">
        <v>57673.495000000003</v>
      </c>
      <c r="Y50" s="1">
        <v>61532.714999999997</v>
      </c>
      <c r="Z50" s="1">
        <v>61665.292000000001</v>
      </c>
      <c r="AA50" s="1">
        <v>62535.406000000003</v>
      </c>
      <c r="AB50" s="1">
        <v>62666.803</v>
      </c>
      <c r="AC50" s="1">
        <v>61245.122000000003</v>
      </c>
      <c r="AE50" s="1">
        <v>66099.350000000006</v>
      </c>
    </row>
    <row r="51" spans="1:31">
      <c r="A51" s="1" t="s">
        <v>66</v>
      </c>
      <c r="F51" s="41">
        <v>236592.264</v>
      </c>
      <c r="I51" s="1">
        <v>252137.64199999999</v>
      </c>
      <c r="K51" s="1">
        <v>303071.70199999999</v>
      </c>
      <c r="L51" s="1">
        <v>374946.93099999998</v>
      </c>
      <c r="M51" s="1">
        <v>415992.42300000001</v>
      </c>
      <c r="N51" s="1">
        <v>419120.054</v>
      </c>
      <c r="O51" s="1">
        <v>448951.80699999997</v>
      </c>
      <c r="P51" s="1">
        <v>476744.07400000002</v>
      </c>
      <c r="Q51" s="1">
        <v>456599.83299999998</v>
      </c>
      <c r="R51" s="1">
        <v>498957.61099999998</v>
      </c>
      <c r="S51" s="1">
        <v>538315.76500000001</v>
      </c>
      <c r="T51" s="1">
        <v>638259.07900000003</v>
      </c>
      <c r="U51" s="1">
        <v>619636.73300000001</v>
      </c>
      <c r="V51" s="1">
        <v>676568.08</v>
      </c>
      <c r="W51" s="1">
        <v>806990.25399999996</v>
      </c>
      <c r="X51" s="1">
        <v>778227.76399999997</v>
      </c>
      <c r="Y51" s="1">
        <v>854781.25699999998</v>
      </c>
      <c r="Z51" s="1">
        <v>868716.36600000004</v>
      </c>
      <c r="AA51" s="1">
        <v>818194.62600000005</v>
      </c>
      <c r="AB51" s="1">
        <v>874241.23600000003</v>
      </c>
      <c r="AC51" s="1">
        <v>964743.51899999997</v>
      </c>
      <c r="AE51" s="1">
        <v>894933.37699999998</v>
      </c>
    </row>
    <row r="52" spans="1:31">
      <c r="A52" s="1" t="s">
        <v>67</v>
      </c>
      <c r="F52" s="41">
        <v>13615.624</v>
      </c>
      <c r="I52" s="1">
        <v>18859.725999999999</v>
      </c>
      <c r="K52" s="1">
        <v>20420.103420000003</v>
      </c>
      <c r="L52" s="1">
        <v>22727.690999999999</v>
      </c>
      <c r="M52" s="1">
        <v>25151.005000000001</v>
      </c>
      <c r="N52" s="1">
        <v>27437.257000000001</v>
      </c>
      <c r="O52" s="1">
        <v>30261.46</v>
      </c>
      <c r="P52" s="1">
        <v>27394.257000000001</v>
      </c>
      <c r="Q52" s="1">
        <v>33594.084000000003</v>
      </c>
      <c r="R52" s="1">
        <v>33272.699999999997</v>
      </c>
      <c r="S52" s="1">
        <v>42088.485999999997</v>
      </c>
      <c r="T52" s="1">
        <v>48641.894999999997</v>
      </c>
      <c r="U52" s="1">
        <v>46917.533000000003</v>
      </c>
      <c r="V52" s="1">
        <v>60322.428999999996</v>
      </c>
      <c r="W52" s="1">
        <v>60948.055999999997</v>
      </c>
      <c r="X52" s="1">
        <v>69985.638000000006</v>
      </c>
      <c r="Y52" s="1">
        <v>62697.758999999998</v>
      </c>
      <c r="Z52" s="1">
        <v>66475.955000000002</v>
      </c>
      <c r="AA52" s="1">
        <v>65306.485000000001</v>
      </c>
      <c r="AB52" s="1">
        <v>68255.710000000006</v>
      </c>
      <c r="AC52" s="1">
        <v>72169.64</v>
      </c>
      <c r="AE52" s="1">
        <v>72748.258000000002</v>
      </c>
    </row>
    <row r="53" spans="1:31">
      <c r="A53" s="23" t="s">
        <v>68</v>
      </c>
      <c r="B53" s="23"/>
      <c r="C53" s="23"/>
      <c r="D53" s="23"/>
      <c r="E53" s="23"/>
      <c r="F53" s="44">
        <v>106283.825</v>
      </c>
      <c r="G53" s="23"/>
      <c r="H53" s="23"/>
      <c r="I53" s="23">
        <v>101069.538</v>
      </c>
      <c r="J53" s="23"/>
      <c r="K53" s="23">
        <v>112333.122</v>
      </c>
      <c r="L53" s="23">
        <v>113809.228</v>
      </c>
      <c r="M53" s="23">
        <v>128273.33100000001</v>
      </c>
      <c r="N53" s="23">
        <v>122043.97900000001</v>
      </c>
      <c r="O53" s="23">
        <v>133806.70499999999</v>
      </c>
      <c r="P53" s="23">
        <v>140062.09400000001</v>
      </c>
      <c r="Q53" s="23">
        <v>134382.19200000001</v>
      </c>
      <c r="R53" s="23">
        <v>143507.095</v>
      </c>
      <c r="S53" s="23">
        <v>167970.117</v>
      </c>
      <c r="T53" s="23">
        <v>163750.848</v>
      </c>
      <c r="U53" s="23">
        <v>182474.76699999999</v>
      </c>
      <c r="V53" s="23">
        <v>190686.97</v>
      </c>
      <c r="W53" s="23">
        <v>199788.76500000001</v>
      </c>
      <c r="X53" s="23">
        <v>207854.446</v>
      </c>
      <c r="Y53" s="23">
        <v>229850.75599999999</v>
      </c>
      <c r="Z53" s="23">
        <v>241828.93400000001</v>
      </c>
      <c r="AA53" s="23">
        <v>254952.00899999999</v>
      </c>
      <c r="AB53" s="23">
        <v>246109.34700000001</v>
      </c>
      <c r="AC53" s="23">
        <v>255073.50399999999</v>
      </c>
      <c r="AD53" s="23"/>
      <c r="AE53" s="23">
        <v>287271.90600000002</v>
      </c>
    </row>
    <row r="54" spans="1:31">
      <c r="A54" s="7" t="s">
        <v>69</v>
      </c>
      <c r="B54" s="47">
        <f>SUM(B56:B64)</f>
        <v>0</v>
      </c>
      <c r="C54" s="47">
        <f t="shared" ref="C54:AC54" si="14">SUM(C56:C64)</f>
        <v>0</v>
      </c>
      <c r="D54" s="47">
        <f t="shared" si="14"/>
        <v>0</v>
      </c>
      <c r="E54" s="47">
        <f t="shared" si="14"/>
        <v>0</v>
      </c>
      <c r="F54" s="47">
        <f t="shared" si="14"/>
        <v>1102943.8960000004</v>
      </c>
      <c r="G54" s="47">
        <f t="shared" si="14"/>
        <v>0</v>
      </c>
      <c r="H54" s="47">
        <f t="shared" si="14"/>
        <v>0</v>
      </c>
      <c r="I54" s="47">
        <f t="shared" si="14"/>
        <v>1294849.8760000002</v>
      </c>
      <c r="J54" s="47">
        <f t="shared" si="14"/>
        <v>0</v>
      </c>
      <c r="K54" s="47">
        <f t="shared" si="14"/>
        <v>1583916.284</v>
      </c>
      <c r="L54" s="47">
        <f t="shared" si="14"/>
        <v>1657159.889</v>
      </c>
      <c r="M54" s="47">
        <f t="shared" si="14"/>
        <v>1624774.787</v>
      </c>
      <c r="N54" s="47">
        <f t="shared" si="14"/>
        <v>1597941.1629999999</v>
      </c>
      <c r="O54" s="47">
        <f t="shared" si="14"/>
        <v>1488406.574</v>
      </c>
      <c r="P54" s="47">
        <f t="shared" si="14"/>
        <v>1581756.3749999998</v>
      </c>
      <c r="Q54" s="47">
        <f t="shared" si="14"/>
        <v>2008678.44</v>
      </c>
      <c r="R54" s="47">
        <f t="shared" si="14"/>
        <v>1924494.3020000001</v>
      </c>
      <c r="S54" s="47">
        <f t="shared" si="14"/>
        <v>2132259.2280000001</v>
      </c>
      <c r="T54" s="47">
        <f t="shared" si="14"/>
        <v>2518596.0430000001</v>
      </c>
      <c r="U54" s="47">
        <f t="shared" si="14"/>
        <v>2349440.0480000004</v>
      </c>
      <c r="V54" s="47">
        <f t="shared" si="14"/>
        <v>2973020.3109999998</v>
      </c>
      <c r="W54" s="47">
        <f t="shared" si="14"/>
        <v>3085104.1689999998</v>
      </c>
      <c r="X54" s="47">
        <f t="shared" si="14"/>
        <v>3198161.7169999997</v>
      </c>
      <c r="Y54" s="47">
        <f t="shared" si="14"/>
        <v>3106214.219</v>
      </c>
      <c r="Z54" s="47">
        <f t="shared" si="14"/>
        <v>3316819.4279999998</v>
      </c>
      <c r="AA54" s="47">
        <f t="shared" si="14"/>
        <v>3202289.429</v>
      </c>
      <c r="AB54" s="47">
        <f t="shared" si="14"/>
        <v>3533186.5429999996</v>
      </c>
      <c r="AC54" s="47">
        <f t="shared" si="14"/>
        <v>3469647.6059999997</v>
      </c>
      <c r="AD54" s="47">
        <f t="shared" ref="AD54:AE54" si="15">SUM(AD56:AD64)</f>
        <v>0</v>
      </c>
      <c r="AE54" s="47">
        <f t="shared" si="15"/>
        <v>3599114.5090000001</v>
      </c>
    </row>
    <row r="55" spans="1:31">
      <c r="A55" s="7" t="s">
        <v>97</v>
      </c>
      <c r="X55" s="1">
        <v>0</v>
      </c>
      <c r="Y55" s="1" t="e">
        <f>#REF!/1000</f>
        <v>#REF!</v>
      </c>
      <c r="AB55" s="1">
        <v>0</v>
      </c>
      <c r="AC55" s="1">
        <v>0</v>
      </c>
    </row>
    <row r="56" spans="1:31">
      <c r="A56" s="1" t="s">
        <v>70</v>
      </c>
      <c r="F56" s="41">
        <v>95436.576000000001</v>
      </c>
      <c r="I56" s="1">
        <v>93338.407999999996</v>
      </c>
      <c r="K56" s="1">
        <v>112516.25199999999</v>
      </c>
      <c r="L56" s="1">
        <v>125309.216</v>
      </c>
      <c r="M56" s="1">
        <v>133564.57999999999</v>
      </c>
      <c r="N56" s="1">
        <v>147266.73499999999</v>
      </c>
      <c r="O56" s="1">
        <v>154017.416</v>
      </c>
      <c r="P56" s="1">
        <v>157380.386</v>
      </c>
      <c r="Q56" s="1">
        <v>191650.08499999999</v>
      </c>
      <c r="R56" s="1">
        <v>188233.35699999999</v>
      </c>
      <c r="S56" s="1">
        <v>207198.03</v>
      </c>
      <c r="T56" s="1">
        <v>229936.45800000001</v>
      </c>
      <c r="U56" s="1">
        <v>268815.429</v>
      </c>
      <c r="V56" s="1">
        <v>290835.14199999999</v>
      </c>
      <c r="W56" s="1">
        <v>305866.96399999998</v>
      </c>
      <c r="X56" s="1">
        <v>293052.337</v>
      </c>
      <c r="Y56" s="1">
        <v>267163.80800000002</v>
      </c>
      <c r="Z56" s="1">
        <v>268498.826</v>
      </c>
      <c r="AA56" s="1">
        <v>320478.49200000003</v>
      </c>
      <c r="AB56" s="1">
        <v>323800.46399999998</v>
      </c>
      <c r="AC56" s="1">
        <v>255788.024</v>
      </c>
      <c r="AE56" s="1">
        <v>276181.424</v>
      </c>
    </row>
    <row r="57" spans="1:31">
      <c r="A57" s="1" t="s">
        <v>71</v>
      </c>
      <c r="F57" s="41">
        <v>20040.894</v>
      </c>
      <c r="I57" s="1">
        <v>23871.131000000001</v>
      </c>
      <c r="K57" s="1">
        <v>32386.621999999999</v>
      </c>
      <c r="L57" s="1">
        <v>27277.319</v>
      </c>
      <c r="M57" s="1">
        <v>30427.578000000001</v>
      </c>
      <c r="N57" s="1">
        <v>33777.966</v>
      </c>
      <c r="O57" s="1">
        <v>35940.133000000002</v>
      </c>
      <c r="P57" s="1">
        <v>40334.303</v>
      </c>
      <c r="Q57" s="1">
        <v>39464.644999999997</v>
      </c>
      <c r="R57" s="1">
        <v>41977.061999999998</v>
      </c>
      <c r="S57" s="1">
        <v>44464.773999999998</v>
      </c>
      <c r="T57" s="1">
        <v>50926.792000000001</v>
      </c>
      <c r="U57" s="1">
        <v>51752.968999999997</v>
      </c>
      <c r="V57" s="1">
        <v>60563.589</v>
      </c>
      <c r="W57" s="1">
        <v>61936.24</v>
      </c>
      <c r="X57" s="1">
        <v>63418.811000000002</v>
      </c>
      <c r="Y57" s="1">
        <v>66691.921000000002</v>
      </c>
      <c r="Z57" s="1">
        <v>67193.065000000002</v>
      </c>
      <c r="AA57" s="1">
        <v>68440.789999999994</v>
      </c>
      <c r="AB57" s="1">
        <v>74574.634000000005</v>
      </c>
      <c r="AC57" s="1">
        <v>83526.933999999994</v>
      </c>
      <c r="AE57" s="1">
        <v>82788.433000000005</v>
      </c>
    </row>
    <row r="58" spans="1:31" s="11" customFormat="1">
      <c r="A58" s="1" t="s">
        <v>72</v>
      </c>
      <c r="B58" s="1"/>
      <c r="C58" s="1"/>
      <c r="D58" s="1"/>
      <c r="E58" s="1"/>
      <c r="F58" s="41">
        <v>78793.179999999993</v>
      </c>
      <c r="G58" s="1"/>
      <c r="H58" s="1"/>
      <c r="I58" s="1">
        <v>121372.607</v>
      </c>
      <c r="J58" s="1"/>
      <c r="K58" s="1">
        <v>150457.052</v>
      </c>
      <c r="L58" s="1">
        <v>169009.78599999999</v>
      </c>
      <c r="M58" s="1">
        <v>165994.31200000001</v>
      </c>
      <c r="N58" s="1">
        <v>163640.59700000001</v>
      </c>
      <c r="O58" s="1">
        <v>165342.804</v>
      </c>
      <c r="P58" s="1">
        <v>167995.894</v>
      </c>
      <c r="Q58" s="1">
        <v>202884.11499999999</v>
      </c>
      <c r="R58" s="1">
        <v>217362.85</v>
      </c>
      <c r="S58" s="1">
        <v>232428.807</v>
      </c>
      <c r="T58" s="1">
        <v>256732.255</v>
      </c>
      <c r="U58" s="1">
        <v>192347.995</v>
      </c>
      <c r="V58" s="1">
        <v>302330.93300000002</v>
      </c>
      <c r="W58" s="1">
        <v>326538.489</v>
      </c>
      <c r="X58" s="1">
        <v>346844.36499999999</v>
      </c>
      <c r="Y58" s="1">
        <v>355989.93699999998</v>
      </c>
      <c r="Z58" s="1">
        <v>389648.38099999999</v>
      </c>
      <c r="AA58" s="1">
        <v>410264.08399999997</v>
      </c>
      <c r="AB58" s="1">
        <v>426390.00199999998</v>
      </c>
      <c r="AC58" s="1">
        <v>432949.81699999998</v>
      </c>
      <c r="AD58" s="1"/>
      <c r="AE58" s="1">
        <v>458255.50900000002</v>
      </c>
    </row>
    <row r="59" spans="1:31">
      <c r="A59" s="1" t="s">
        <v>73</v>
      </c>
      <c r="F59" s="41">
        <v>21080.297999999999</v>
      </c>
      <c r="I59" s="1">
        <v>25006.331999999999</v>
      </c>
      <c r="K59" s="1">
        <v>29064.917000000001</v>
      </c>
      <c r="L59" s="1">
        <v>26506.496999999999</v>
      </c>
      <c r="M59" s="1">
        <v>25015.978999999999</v>
      </c>
      <c r="N59" s="1">
        <v>29918.312000000002</v>
      </c>
      <c r="O59" s="1">
        <v>29372.969000000001</v>
      </c>
      <c r="P59" s="1">
        <v>32289.416000000001</v>
      </c>
      <c r="Q59" s="1">
        <v>33477.834999999999</v>
      </c>
      <c r="R59" s="1">
        <v>33578.427000000003</v>
      </c>
      <c r="S59" s="1">
        <v>34790.446000000004</v>
      </c>
      <c r="T59" s="1">
        <v>48054.305999999997</v>
      </c>
      <c r="U59" s="1">
        <v>49785.396999999997</v>
      </c>
      <c r="V59" s="1">
        <v>53943.248</v>
      </c>
      <c r="W59" s="1">
        <v>50242.428</v>
      </c>
      <c r="X59" s="1">
        <v>51039.27</v>
      </c>
      <c r="Y59" s="1">
        <v>59622.082999999999</v>
      </c>
      <c r="Z59" s="1">
        <v>55499.078999999998</v>
      </c>
      <c r="AA59" s="1">
        <v>55019.351999999999</v>
      </c>
      <c r="AB59" s="1">
        <v>63641.37</v>
      </c>
      <c r="AC59" s="1">
        <v>65987.856</v>
      </c>
      <c r="AE59" s="1">
        <v>74073.827999999994</v>
      </c>
    </row>
    <row r="60" spans="1:31">
      <c r="A60" s="1" t="s">
        <v>74</v>
      </c>
      <c r="F60" s="41">
        <v>132093.00700000001</v>
      </c>
      <c r="I60" s="1">
        <v>159089.389</v>
      </c>
      <c r="K60" s="1">
        <v>259347.277</v>
      </c>
      <c r="L60" s="1">
        <v>237331.511</v>
      </c>
      <c r="M60" s="1">
        <v>235339.72399999999</v>
      </c>
      <c r="N60" s="1">
        <v>241852.44500000001</v>
      </c>
      <c r="O60" s="1">
        <v>238185.321</v>
      </c>
      <c r="P60" s="1">
        <v>261423.42300000001</v>
      </c>
      <c r="Q60" s="1">
        <v>403301.67499999999</v>
      </c>
      <c r="R60" s="1">
        <v>378215.26699999999</v>
      </c>
      <c r="S60" s="1">
        <v>425117.125</v>
      </c>
      <c r="T60" s="72">
        <v>609433.74800000002</v>
      </c>
      <c r="U60" s="1">
        <v>395495.17300000001</v>
      </c>
      <c r="V60" s="1">
        <v>552170.35800000001</v>
      </c>
      <c r="W60" s="1">
        <v>559173.07400000002</v>
      </c>
      <c r="X60" s="1">
        <v>606418.57499999995</v>
      </c>
      <c r="Y60" s="1">
        <v>516490.886</v>
      </c>
      <c r="Z60" s="1">
        <v>721516.07799999998</v>
      </c>
      <c r="AA60" s="1">
        <v>733329.81400000001</v>
      </c>
      <c r="AB60" s="1">
        <v>777647.81299999997</v>
      </c>
      <c r="AC60" s="1">
        <v>730031.03899999999</v>
      </c>
      <c r="AE60" s="1">
        <v>826889.946</v>
      </c>
    </row>
    <row r="61" spans="1:31">
      <c r="A61" s="1" t="s">
        <v>75</v>
      </c>
      <c r="F61" s="41">
        <v>426701.70299999998</v>
      </c>
      <c r="I61" s="1">
        <v>485624.315</v>
      </c>
      <c r="K61" s="1">
        <v>569284.16700000002</v>
      </c>
      <c r="L61" s="1">
        <v>547676.97</v>
      </c>
      <c r="M61" s="1">
        <v>599628.66299999994</v>
      </c>
      <c r="N61" s="1">
        <v>655546.58299999998</v>
      </c>
      <c r="O61" s="1">
        <v>622158.054</v>
      </c>
      <c r="P61" s="1">
        <v>638200.20600000001</v>
      </c>
      <c r="Q61" s="1">
        <v>845214.21900000004</v>
      </c>
      <c r="R61" s="1">
        <v>757768.32200000004</v>
      </c>
      <c r="S61" s="1">
        <v>857824.70700000005</v>
      </c>
      <c r="T61" s="1">
        <v>943028.44299999997</v>
      </c>
      <c r="U61" s="1">
        <v>1027982.671</v>
      </c>
      <c r="V61" s="1">
        <v>1267287.1089999999</v>
      </c>
      <c r="W61" s="1">
        <v>1340245.8019999999</v>
      </c>
      <c r="X61" s="1">
        <v>1380904.193</v>
      </c>
      <c r="Y61" s="1">
        <v>1395044.7790000001</v>
      </c>
      <c r="Z61" s="1">
        <v>1353324.892</v>
      </c>
      <c r="AA61" s="1">
        <v>1184619.2320000001</v>
      </c>
      <c r="AB61" s="1">
        <v>1417381.5490000001</v>
      </c>
      <c r="AC61" s="1">
        <v>1456280.1880000001</v>
      </c>
      <c r="AE61" s="1">
        <v>1439341.814</v>
      </c>
    </row>
    <row r="62" spans="1:31">
      <c r="A62" s="1" t="s">
        <v>76</v>
      </c>
      <c r="F62" s="41">
        <v>276976.95400000003</v>
      </c>
      <c r="I62" s="1">
        <v>329431.53200000001</v>
      </c>
      <c r="K62" s="1">
        <v>361457.36</v>
      </c>
      <c r="L62" s="1">
        <v>433988.38199999998</v>
      </c>
      <c r="M62" s="1">
        <v>361863.58100000001</v>
      </c>
      <c r="N62" s="1">
        <v>246138.87400000001</v>
      </c>
      <c r="O62" s="1">
        <v>174944.921</v>
      </c>
      <c r="P62" s="1">
        <v>192377.859</v>
      </c>
      <c r="Q62" s="1">
        <v>189055.30499999999</v>
      </c>
      <c r="R62" s="1">
        <v>197423.05900000001</v>
      </c>
      <c r="S62" s="1">
        <v>210338.046</v>
      </c>
      <c r="T62" s="1">
        <v>230246.698</v>
      </c>
      <c r="U62" s="1">
        <v>231379.40900000001</v>
      </c>
      <c r="V62" s="1">
        <v>281412.83299999998</v>
      </c>
      <c r="W62" s="1">
        <v>282023.35499999998</v>
      </c>
      <c r="X62" s="1">
        <v>292277.41700000002</v>
      </c>
      <c r="Y62" s="1">
        <v>299428.93</v>
      </c>
      <c r="Z62" s="1">
        <v>307267.625</v>
      </c>
      <c r="AA62" s="1">
        <v>292160.315</v>
      </c>
      <c r="AB62" s="1">
        <v>302807.85200000001</v>
      </c>
      <c r="AC62" s="1">
        <v>300275.42</v>
      </c>
      <c r="AE62" s="1">
        <v>294074.71500000003</v>
      </c>
    </row>
    <row r="63" spans="1:31">
      <c r="A63" s="1" t="s">
        <v>77</v>
      </c>
      <c r="F63" s="41">
        <v>23206.673999999999</v>
      </c>
      <c r="I63" s="1">
        <v>24234.710999999999</v>
      </c>
      <c r="K63" s="1">
        <v>26659.173999999999</v>
      </c>
      <c r="L63" s="1">
        <v>34940.881000000001</v>
      </c>
      <c r="M63" s="1">
        <v>34652.036</v>
      </c>
      <c r="N63" s="1">
        <v>36907.972000000002</v>
      </c>
      <c r="O63" s="1">
        <v>36124.51</v>
      </c>
      <c r="P63" s="1">
        <v>42019.112999999998</v>
      </c>
      <c r="Q63" s="1">
        <v>48965.97</v>
      </c>
      <c r="R63" s="1">
        <v>49420.273000000001</v>
      </c>
      <c r="S63" s="1">
        <v>54302.646999999997</v>
      </c>
      <c r="T63" s="1">
        <v>63578.086000000003</v>
      </c>
      <c r="U63" s="1">
        <v>59506.964</v>
      </c>
      <c r="V63" s="1">
        <v>72016.429999999993</v>
      </c>
      <c r="W63" s="1">
        <v>68119.491999999998</v>
      </c>
      <c r="X63" s="1">
        <v>72810.123999999996</v>
      </c>
      <c r="Y63" s="1">
        <v>67065.440000000002</v>
      </c>
      <c r="Z63" s="1">
        <v>67534.09</v>
      </c>
      <c r="AA63" s="1">
        <v>61132.612000000001</v>
      </c>
      <c r="AB63" s="1">
        <v>74789.933999999994</v>
      </c>
      <c r="AC63" s="1">
        <v>70747.534</v>
      </c>
      <c r="AE63" s="1">
        <v>68177.62</v>
      </c>
    </row>
    <row r="64" spans="1:31">
      <c r="A64" s="23" t="s">
        <v>78</v>
      </c>
      <c r="B64" s="23"/>
      <c r="C64" s="23"/>
      <c r="D64" s="23"/>
      <c r="E64" s="23"/>
      <c r="F64" s="44">
        <v>28614.61</v>
      </c>
      <c r="G64" s="23"/>
      <c r="H64" s="23"/>
      <c r="I64" s="23">
        <v>32881.451000000001</v>
      </c>
      <c r="J64" s="23"/>
      <c r="K64" s="23">
        <v>42743.463000000003</v>
      </c>
      <c r="L64" s="23">
        <v>55119.326999999997</v>
      </c>
      <c r="M64" s="23">
        <v>38288.334000000003</v>
      </c>
      <c r="N64" s="23">
        <v>42891.678999999996</v>
      </c>
      <c r="O64" s="23">
        <v>32320.446</v>
      </c>
      <c r="P64" s="23">
        <v>49735.775000000001</v>
      </c>
      <c r="Q64" s="23">
        <v>54664.591</v>
      </c>
      <c r="R64" s="23">
        <v>60515.684999999998</v>
      </c>
      <c r="S64" s="23">
        <v>65794.645999999993</v>
      </c>
      <c r="T64" s="23">
        <v>86659.256999999998</v>
      </c>
      <c r="U64" s="23">
        <v>72374.040999999997</v>
      </c>
      <c r="V64" s="23">
        <v>92460.668999999994</v>
      </c>
      <c r="W64" s="23">
        <v>90958.324999999997</v>
      </c>
      <c r="X64" s="23">
        <v>91396.625</v>
      </c>
      <c r="Y64" s="23">
        <v>78716.434999999998</v>
      </c>
      <c r="Z64" s="23">
        <v>86337.392000000007</v>
      </c>
      <c r="AA64" s="23">
        <v>76844.737999999998</v>
      </c>
      <c r="AB64" s="23">
        <v>72152.925000000003</v>
      </c>
      <c r="AC64" s="23">
        <v>74060.793999999994</v>
      </c>
      <c r="AD64" s="23"/>
      <c r="AE64" s="23">
        <v>79331.22</v>
      </c>
    </row>
    <row r="65" spans="1:31">
      <c r="A65" s="45" t="s">
        <v>79</v>
      </c>
      <c r="B65" s="45"/>
      <c r="C65" s="45"/>
      <c r="D65" s="45"/>
      <c r="E65" s="45"/>
      <c r="F65" s="46">
        <v>17435.862000000001</v>
      </c>
      <c r="G65" s="45"/>
      <c r="H65" s="45"/>
      <c r="I65" s="45">
        <v>11241.071</v>
      </c>
      <c r="J65" s="45"/>
      <c r="K65" s="45">
        <v>13031.110050000001</v>
      </c>
      <c r="L65" s="45">
        <v>16237.66</v>
      </c>
      <c r="M65" s="45">
        <v>15922.427</v>
      </c>
      <c r="N65" s="45">
        <v>19095.725999999999</v>
      </c>
      <c r="O65" s="45">
        <v>22636.095000000001</v>
      </c>
      <c r="P65" s="45">
        <v>18724.035</v>
      </c>
      <c r="Q65" s="45">
        <v>11136.078</v>
      </c>
      <c r="R65" s="45">
        <v>18553.399000000001</v>
      </c>
      <c r="S65" s="45">
        <v>22757.956999999999</v>
      </c>
      <c r="T65" s="50">
        <f>((U65-S65)/2)+S65</f>
        <v>21201.710500000001</v>
      </c>
      <c r="U65" s="45">
        <v>19645.464</v>
      </c>
      <c r="V65" s="45">
        <v>18834</v>
      </c>
      <c r="W65" s="45">
        <v>20287.117999999999</v>
      </c>
      <c r="X65" s="23">
        <v>13865.002</v>
      </c>
      <c r="Y65" s="23">
        <v>21445.856</v>
      </c>
      <c r="Z65" s="23">
        <v>20941.616999999998</v>
      </c>
      <c r="AA65" s="23">
        <v>20278.384999999998</v>
      </c>
      <c r="AB65" s="23">
        <v>23567.631000000001</v>
      </c>
      <c r="AC65" s="23">
        <v>20202.089</v>
      </c>
      <c r="AD65" s="23"/>
      <c r="AE65" s="23">
        <v>33586.284</v>
      </c>
    </row>
    <row r="66" spans="1:31">
      <c r="F66" s="41"/>
    </row>
    <row r="67" spans="1:31">
      <c r="I67" s="19" t="s">
        <v>99</v>
      </c>
      <c r="J67" s="19" t="s">
        <v>100</v>
      </c>
      <c r="K67" s="19"/>
      <c r="L67" s="19" t="s">
        <v>101</v>
      </c>
      <c r="M67" s="19"/>
      <c r="N67" s="19"/>
      <c r="O67" s="19" t="s">
        <v>99</v>
      </c>
      <c r="P67" s="19" t="s">
        <v>99</v>
      </c>
      <c r="Q67" s="19" t="s">
        <v>99</v>
      </c>
      <c r="R67" s="19" t="s">
        <v>99</v>
      </c>
      <c r="S67" s="19"/>
    </row>
    <row r="68" spans="1:31">
      <c r="I68" s="1" t="s">
        <v>102</v>
      </c>
      <c r="J68" s="1" t="s">
        <v>103</v>
      </c>
      <c r="L68" s="1" t="s">
        <v>104</v>
      </c>
      <c r="O68" s="1" t="s">
        <v>102</v>
      </c>
      <c r="P68" s="1" t="s">
        <v>102</v>
      </c>
      <c r="Q68" s="1" t="s">
        <v>102</v>
      </c>
      <c r="R68" s="1" t="s">
        <v>102</v>
      </c>
    </row>
    <row r="69" spans="1:31">
      <c r="I69" s="1" t="s">
        <v>105</v>
      </c>
      <c r="J69" s="1" t="s">
        <v>106</v>
      </c>
      <c r="O69" s="1" t="s">
        <v>105</v>
      </c>
      <c r="P69" s="1" t="s">
        <v>105</v>
      </c>
      <c r="Q69" s="1" t="s">
        <v>105</v>
      </c>
      <c r="R69" s="1" t="s">
        <v>105</v>
      </c>
    </row>
    <row r="70" spans="1:31">
      <c r="J70" s="1" t="s">
        <v>107</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codeName="Sheet9">
    <tabColor theme="4" tint="0.39997558519241921"/>
  </sheetPr>
  <dimension ref="A1:AE70"/>
  <sheetViews>
    <sheetView showZeros="0" zoomScale="80" zoomScaleNormal="80" workbookViewId="0">
      <pane xSplit="1" ySplit="5" topLeftCell="S6" activePane="bottomRight" state="frozen"/>
      <selection pane="topRight" activeCell="AC65" sqref="AC65"/>
      <selection pane="bottomLeft" activeCell="AC65" sqref="AC65"/>
      <selection pane="bottomRight" activeCell="AE9" sqref="AE9:AE24"/>
    </sheetView>
  </sheetViews>
  <sheetFormatPr defaultColWidth="9.85546875" defaultRowHeight="12.75"/>
  <cols>
    <col min="1" max="1" width="23.42578125" style="43" customWidth="1"/>
    <col min="2" max="6" width="12.42578125" style="1" customWidth="1"/>
    <col min="7" max="7" width="10.42578125" style="1" customWidth="1"/>
    <col min="8" max="8" width="10.5703125" style="1" customWidth="1"/>
    <col min="9" max="23" width="12.42578125" style="1" customWidth="1"/>
    <col min="24" max="29" width="10.85546875" style="1" customWidth="1"/>
    <col min="30" max="31" width="12.42578125" style="1" customWidth="1"/>
    <col min="32" max="44" width="10.85546875" style="1" customWidth="1"/>
    <col min="45" max="16384" width="9.85546875" style="1"/>
  </cols>
  <sheetData>
    <row r="1" spans="1:31">
      <c r="A1" s="7" t="s">
        <v>94</v>
      </c>
      <c r="B1"/>
      <c r="C1"/>
      <c r="D1"/>
      <c r="E1"/>
      <c r="F1"/>
      <c r="G1"/>
      <c r="H1"/>
      <c r="I1"/>
      <c r="J1"/>
      <c r="K1"/>
      <c r="L1"/>
      <c r="M1"/>
      <c r="N1"/>
      <c r="O1"/>
      <c r="P1"/>
      <c r="Q1"/>
      <c r="R1"/>
      <c r="S1"/>
      <c r="T1"/>
      <c r="U1"/>
      <c r="V1"/>
      <c r="W1"/>
    </row>
    <row r="2" spans="1:31">
      <c r="A2" s="9"/>
      <c r="B2"/>
      <c r="C2"/>
      <c r="D2"/>
      <c r="E2"/>
      <c r="F2"/>
      <c r="G2"/>
      <c r="H2"/>
      <c r="I2"/>
      <c r="J2"/>
      <c r="K2"/>
      <c r="L2"/>
      <c r="M2"/>
      <c r="N2"/>
      <c r="O2"/>
      <c r="P2"/>
      <c r="Q2"/>
      <c r="R2"/>
      <c r="S2"/>
      <c r="T2"/>
      <c r="U2"/>
      <c r="V2"/>
      <c r="W2"/>
      <c r="Z2" s="1">
        <v>1000</v>
      </c>
    </row>
    <row r="3" spans="1:31">
      <c r="A3" s="1" t="s">
        <v>136</v>
      </c>
      <c r="B3"/>
      <c r="C3"/>
      <c r="D3"/>
      <c r="E3"/>
      <c r="F3"/>
      <c r="G3"/>
      <c r="H3"/>
      <c r="I3"/>
      <c r="J3"/>
      <c r="K3"/>
      <c r="L3"/>
      <c r="M3"/>
      <c r="N3"/>
      <c r="O3"/>
      <c r="P3"/>
      <c r="Q3"/>
      <c r="R3"/>
      <c r="S3"/>
      <c r="T3"/>
      <c r="U3"/>
      <c r="V3"/>
      <c r="W3"/>
    </row>
    <row r="4" spans="1:31" s="32" customFormat="1">
      <c r="B4" s="32">
        <v>1984</v>
      </c>
      <c r="C4" s="32">
        <v>1985</v>
      </c>
      <c r="D4" s="32">
        <v>1986</v>
      </c>
      <c r="E4" s="32">
        <v>1991</v>
      </c>
      <c r="F4" s="32">
        <v>1992</v>
      </c>
      <c r="G4" s="32">
        <v>1993</v>
      </c>
      <c r="H4" s="32">
        <v>1994</v>
      </c>
      <c r="I4" s="32">
        <v>1995</v>
      </c>
      <c r="J4" s="32">
        <v>1996</v>
      </c>
      <c r="K4" s="32">
        <v>1997</v>
      </c>
      <c r="L4" s="32">
        <v>2000</v>
      </c>
      <c r="M4" s="39">
        <v>2001</v>
      </c>
      <c r="N4" s="39">
        <v>2002</v>
      </c>
      <c r="O4" s="39">
        <v>2003</v>
      </c>
      <c r="P4" s="39">
        <v>2004</v>
      </c>
      <c r="Q4" s="32">
        <v>2005</v>
      </c>
      <c r="R4" s="32">
        <v>2006</v>
      </c>
      <c r="S4" s="39">
        <v>2007</v>
      </c>
      <c r="T4" s="39">
        <v>2008</v>
      </c>
      <c r="U4" s="39">
        <v>2009</v>
      </c>
      <c r="V4" s="39">
        <v>2010</v>
      </c>
      <c r="W4" s="39">
        <v>2011</v>
      </c>
      <c r="X4" s="32" t="s">
        <v>111</v>
      </c>
      <c r="Y4" s="32" t="s">
        <v>112</v>
      </c>
      <c r="Z4" s="32" t="s">
        <v>113</v>
      </c>
      <c r="AA4" s="32" t="s">
        <v>114</v>
      </c>
      <c r="AB4" s="95" t="s">
        <v>115</v>
      </c>
      <c r="AC4" s="95" t="s">
        <v>116</v>
      </c>
      <c r="AD4" s="96">
        <v>2018</v>
      </c>
      <c r="AE4" s="96">
        <v>2019</v>
      </c>
    </row>
    <row r="5" spans="1:31" s="8" customFormat="1">
      <c r="B5" s="8" t="s">
        <v>109</v>
      </c>
      <c r="C5" s="8" t="s">
        <v>109</v>
      </c>
      <c r="D5" s="8" t="s">
        <v>109</v>
      </c>
      <c r="E5" s="8" t="s">
        <v>109</v>
      </c>
      <c r="F5" s="8" t="s">
        <v>109</v>
      </c>
      <c r="G5" s="8" t="s">
        <v>109</v>
      </c>
      <c r="H5" s="8" t="s">
        <v>109</v>
      </c>
      <c r="I5" s="8" t="s">
        <v>109</v>
      </c>
      <c r="J5" s="8" t="s">
        <v>109</v>
      </c>
      <c r="K5" s="8" t="s">
        <v>109</v>
      </c>
      <c r="L5" s="8" t="s">
        <v>109</v>
      </c>
      <c r="M5" s="8" t="s">
        <v>109</v>
      </c>
      <c r="N5" s="8" t="s">
        <v>109</v>
      </c>
      <c r="O5" s="8" t="s">
        <v>109</v>
      </c>
      <c r="P5" s="8" t="s">
        <v>109</v>
      </c>
      <c r="Q5" s="8" t="s">
        <v>109</v>
      </c>
      <c r="R5" s="8" t="s">
        <v>109</v>
      </c>
      <c r="S5" s="8" t="s">
        <v>109</v>
      </c>
      <c r="T5" s="8" t="s">
        <v>109</v>
      </c>
      <c r="U5" s="8" t="s">
        <v>109</v>
      </c>
      <c r="V5" s="8" t="s">
        <v>109</v>
      </c>
      <c r="W5" s="8" t="s">
        <v>109</v>
      </c>
      <c r="X5" s="8" t="s">
        <v>109</v>
      </c>
      <c r="Y5" s="8" t="s">
        <v>109</v>
      </c>
      <c r="Z5" s="8" t="s">
        <v>109</v>
      </c>
      <c r="AA5" s="8" t="s">
        <v>109</v>
      </c>
      <c r="AB5" s="8" t="s">
        <v>109</v>
      </c>
      <c r="AC5" s="8" t="s">
        <v>109</v>
      </c>
      <c r="AD5" s="8" t="s">
        <v>109</v>
      </c>
      <c r="AE5" s="8" t="s">
        <v>109</v>
      </c>
    </row>
    <row r="6" spans="1:31">
      <c r="A6" s="23" t="s">
        <v>24</v>
      </c>
      <c r="B6" s="1">
        <v>1288681</v>
      </c>
      <c r="C6" s="1">
        <v>1403138</v>
      </c>
      <c r="D6" s="1">
        <v>1540950</v>
      </c>
      <c r="E6" s="1">
        <v>2354850.8489999999</v>
      </c>
      <c r="F6" s="48">
        <f>+F7+F25+F40+F54+F65</f>
        <v>2356175.5350000006</v>
      </c>
      <c r="G6" s="1">
        <v>2584439.1519999998</v>
      </c>
      <c r="H6" s="1">
        <v>2770815.3289999999</v>
      </c>
      <c r="I6" s="48">
        <f>+I7+I25+I40+I54+I65</f>
        <v>2730954.2419999996</v>
      </c>
      <c r="J6" s="1">
        <v>3124900.01</v>
      </c>
      <c r="K6" s="48">
        <f t="shared" ref="K6:U6" si="0">+K7+K25+K40+K54+K65</f>
        <v>3372010.5179500002</v>
      </c>
      <c r="L6" s="48">
        <f t="shared" si="0"/>
        <v>3736095.1340000001</v>
      </c>
      <c r="M6" s="48">
        <f t="shared" si="0"/>
        <v>4116381.6489999997</v>
      </c>
      <c r="N6" s="48">
        <f t="shared" si="0"/>
        <v>4190321.6450000005</v>
      </c>
      <c r="O6" s="48">
        <f t="shared" si="0"/>
        <v>4166984.9519999996</v>
      </c>
      <c r="P6" s="48">
        <f t="shared" si="0"/>
        <v>4446942.9589999998</v>
      </c>
      <c r="Q6" s="48">
        <f t="shared" si="0"/>
        <v>4805626.2170000002</v>
      </c>
      <c r="R6" s="48">
        <f t="shared" si="0"/>
        <v>5105077.828999999</v>
      </c>
      <c r="S6" s="48">
        <f t="shared" si="0"/>
        <v>5471477.0410000002</v>
      </c>
      <c r="T6" s="48">
        <f t="shared" si="0"/>
        <v>6130253.2519999994</v>
      </c>
      <c r="U6" s="48">
        <f t="shared" si="0"/>
        <v>6632363.9169999994</v>
      </c>
      <c r="V6" s="48">
        <f t="shared" ref="V6:W6" si="1">+V7+V25+V40+V54+V65</f>
        <v>7576632.1959999986</v>
      </c>
      <c r="W6" s="48">
        <f t="shared" si="1"/>
        <v>8075092.6969999997</v>
      </c>
      <c r="X6" s="48">
        <f t="shared" ref="X6:Y6" si="2">+X7+X25+X40+X54+X65</f>
        <v>8276766.7189999986</v>
      </c>
      <c r="Y6" s="48">
        <f t="shared" si="2"/>
        <v>7224369.6530000009</v>
      </c>
      <c r="Z6" s="48">
        <f t="shared" ref="Z6:AA6" si="3">+Z7+Z25+Z40+Z54+Z65</f>
        <v>7530973.0470000012</v>
      </c>
      <c r="AA6" s="48">
        <f t="shared" si="3"/>
        <v>7572530.578999999</v>
      </c>
      <c r="AB6" s="48">
        <f t="shared" ref="AB6:AE6" si="4">+AB7+AB25+AB40+AB54+AB65</f>
        <v>9069681.819000002</v>
      </c>
      <c r="AC6" s="48">
        <f t="shared" si="4"/>
        <v>9268168.0659999996</v>
      </c>
      <c r="AD6" s="48">
        <f t="shared" si="4"/>
        <v>0</v>
      </c>
      <c r="AE6" s="48">
        <f t="shared" si="4"/>
        <v>9580964.9270000011</v>
      </c>
    </row>
    <row r="7" spans="1:31">
      <c r="A7" s="1" t="s">
        <v>25</v>
      </c>
      <c r="B7" s="47">
        <f>SUM(B8:B24)</f>
        <v>394830</v>
      </c>
      <c r="C7" s="47">
        <f t="shared" ref="C7:U7" si="5">SUM(C8:C24)</f>
        <v>434487</v>
      </c>
      <c r="D7" s="47">
        <f t="shared" si="5"/>
        <v>464995</v>
      </c>
      <c r="E7" s="47">
        <f t="shared" si="5"/>
        <v>718735.95400000003</v>
      </c>
      <c r="F7" s="47">
        <f t="shared" si="5"/>
        <v>726172.15600000019</v>
      </c>
      <c r="G7" s="47">
        <f t="shared" si="5"/>
        <v>763528.17599999998</v>
      </c>
      <c r="H7" s="47">
        <f t="shared" si="5"/>
        <v>835975.2350000001</v>
      </c>
      <c r="I7" s="47">
        <f t="shared" si="5"/>
        <v>867856.62800000003</v>
      </c>
      <c r="J7" s="47">
        <f t="shared" si="5"/>
        <v>937840.52799999993</v>
      </c>
      <c r="K7" s="47">
        <f t="shared" si="5"/>
        <v>999843.80946000002</v>
      </c>
      <c r="L7" s="47">
        <f t="shared" si="5"/>
        <v>1222779.1669999999</v>
      </c>
      <c r="M7" s="47">
        <f t="shared" si="5"/>
        <v>1377164.0949999997</v>
      </c>
      <c r="N7" s="47">
        <f t="shared" si="5"/>
        <v>1318578.2609999999</v>
      </c>
      <c r="O7" s="47">
        <f t="shared" si="5"/>
        <v>1340875.5020000001</v>
      </c>
      <c r="P7" s="47">
        <f t="shared" si="5"/>
        <v>1423723.0459999999</v>
      </c>
      <c r="Q7" s="47">
        <f t="shared" si="5"/>
        <v>1563331.841</v>
      </c>
      <c r="R7" s="47">
        <f t="shared" si="5"/>
        <v>1659628.6249999998</v>
      </c>
      <c r="S7" s="47">
        <f t="shared" si="5"/>
        <v>1819069.162</v>
      </c>
      <c r="T7" s="47">
        <f t="shared" si="5"/>
        <v>2018994.727</v>
      </c>
      <c r="U7" s="47">
        <f t="shared" si="5"/>
        <v>2168298.173</v>
      </c>
      <c r="V7" s="47">
        <f t="shared" ref="V7:W7" si="6">SUM(V8:V24)</f>
        <v>2570546.9539999994</v>
      </c>
      <c r="W7" s="47">
        <f t="shared" si="6"/>
        <v>2742832.1189999999</v>
      </c>
      <c r="X7" s="47">
        <f t="shared" ref="X7:Y7" si="7">SUM(X8:X24)</f>
        <v>2808464.1019999995</v>
      </c>
      <c r="Y7" s="47">
        <f t="shared" si="7"/>
        <v>2751411.2039999999</v>
      </c>
      <c r="Z7" s="47">
        <f t="shared" ref="Z7:AA7" si="8">SUM(Z8:Z24)</f>
        <v>2877842.9730000002</v>
      </c>
      <c r="AA7" s="47">
        <f t="shared" si="8"/>
        <v>2891685.1309999996</v>
      </c>
      <c r="AB7" s="47">
        <f t="shared" ref="AB7:AE7" si="9">SUM(AB8:AB24)</f>
        <v>3105600.95</v>
      </c>
      <c r="AC7" s="47">
        <f t="shared" si="9"/>
        <v>3037420.4010000001</v>
      </c>
      <c r="AD7" s="47">
        <f t="shared" si="9"/>
        <v>0</v>
      </c>
      <c r="AE7" s="47">
        <f t="shared" si="9"/>
        <v>3063896.3949999996</v>
      </c>
    </row>
    <row r="8" spans="1:31">
      <c r="A8" s="7" t="s">
        <v>97</v>
      </c>
    </row>
    <row r="9" spans="1:31">
      <c r="A9" s="1" t="s">
        <v>26</v>
      </c>
      <c r="B9" s="1">
        <v>11907</v>
      </c>
      <c r="C9" s="1">
        <v>17577</v>
      </c>
      <c r="D9" s="1">
        <v>21220</v>
      </c>
      <c r="E9" s="1">
        <v>30756.399000000001</v>
      </c>
      <c r="F9" s="41">
        <v>31408.925999999999</v>
      </c>
      <c r="G9" s="1">
        <v>36256.934999999998</v>
      </c>
      <c r="H9" s="1">
        <v>40572.963000000003</v>
      </c>
      <c r="I9" s="1">
        <v>39770.478000000003</v>
      </c>
      <c r="J9" s="1">
        <v>40247.942999999999</v>
      </c>
      <c r="K9" s="1">
        <v>41243.641360000016</v>
      </c>
      <c r="L9" s="1">
        <v>52278.233</v>
      </c>
      <c r="M9" s="1">
        <v>55825.372000000003</v>
      </c>
      <c r="N9" s="1">
        <v>56031.423999999999</v>
      </c>
      <c r="O9" s="1">
        <v>61184.576999999997</v>
      </c>
      <c r="P9" s="1">
        <v>63710.925999999999</v>
      </c>
      <c r="Q9" s="1">
        <v>69459.615999999995</v>
      </c>
      <c r="R9" s="1">
        <v>76989.19</v>
      </c>
      <c r="S9" s="1">
        <v>81930.762000000002</v>
      </c>
      <c r="T9" s="1">
        <v>114048.58</v>
      </c>
      <c r="U9" s="1">
        <v>95946.725999999995</v>
      </c>
      <c r="V9" s="1">
        <v>112794.697</v>
      </c>
      <c r="W9" s="1">
        <v>112715.59600000001</v>
      </c>
      <c r="X9" s="1">
        <v>112941.336</v>
      </c>
      <c r="Y9" s="1">
        <v>112469.50900000001</v>
      </c>
      <c r="Z9" s="1">
        <v>116364.689</v>
      </c>
      <c r="AA9" s="1">
        <v>116338.413</v>
      </c>
      <c r="AB9" s="1">
        <v>120357.874</v>
      </c>
      <c r="AC9" s="1">
        <v>111414.177</v>
      </c>
      <c r="AE9" s="1">
        <v>108352.74</v>
      </c>
    </row>
    <row r="10" spans="1:31">
      <c r="A10" s="1" t="s">
        <v>27</v>
      </c>
      <c r="B10" s="1">
        <v>6037</v>
      </c>
      <c r="C10" s="1">
        <v>6961</v>
      </c>
      <c r="D10" s="1">
        <v>7440</v>
      </c>
      <c r="E10" s="1">
        <v>8034.3739999999998</v>
      </c>
      <c r="F10" s="41">
        <v>9220.2939999999999</v>
      </c>
      <c r="G10" s="1">
        <v>11359.512000000001</v>
      </c>
      <c r="H10" s="1">
        <v>12848.777</v>
      </c>
      <c r="I10" s="1">
        <v>14007.503000000001</v>
      </c>
      <c r="J10" s="1">
        <v>19479.225999999999</v>
      </c>
      <c r="K10" s="1">
        <v>18934.398000000001</v>
      </c>
      <c r="L10" s="1">
        <v>27029.133999999998</v>
      </c>
      <c r="M10" s="1">
        <v>31610.126</v>
      </c>
      <c r="N10" s="1">
        <v>30995.796999999999</v>
      </c>
      <c r="O10" s="1">
        <v>32638.296999999999</v>
      </c>
      <c r="P10" s="1">
        <v>37551.709000000003</v>
      </c>
      <c r="Q10" s="1">
        <v>40305.796999999999</v>
      </c>
      <c r="R10" s="1">
        <v>46736.567999999999</v>
      </c>
      <c r="S10" s="1">
        <v>53870.607000000004</v>
      </c>
      <c r="T10" s="1">
        <v>58767.777999999998</v>
      </c>
      <c r="U10" s="1">
        <v>54981.697999999997</v>
      </c>
      <c r="V10" s="1">
        <v>70384.774000000005</v>
      </c>
      <c r="W10" s="1">
        <v>73918.535000000003</v>
      </c>
      <c r="X10" s="1">
        <v>78860.639999999999</v>
      </c>
      <c r="Y10" s="1">
        <v>80085.731</v>
      </c>
      <c r="Z10" s="1">
        <v>83772.091</v>
      </c>
      <c r="AA10" s="1">
        <v>80213.388000000006</v>
      </c>
      <c r="AB10" s="1">
        <v>73002.019</v>
      </c>
      <c r="AC10" s="1">
        <v>72766.798999999999</v>
      </c>
      <c r="AE10" s="1">
        <v>73201.324999999997</v>
      </c>
    </row>
    <row r="11" spans="1:31">
      <c r="A11" s="1" t="s">
        <v>28</v>
      </c>
      <c r="D11" s="1">
        <v>3202</v>
      </c>
      <c r="E11" s="1">
        <v>9583.848</v>
      </c>
      <c r="F11" s="41">
        <v>10487.85</v>
      </c>
      <c r="I11" s="1">
        <v>9730.5830000000005</v>
      </c>
      <c r="J11" s="1">
        <v>15148.489</v>
      </c>
      <c r="K11" s="1">
        <v>16519.829000000002</v>
      </c>
      <c r="L11" s="1">
        <v>9681.3549999999996</v>
      </c>
      <c r="M11" s="1">
        <v>11518.183999999999</v>
      </c>
      <c r="N11" s="1">
        <v>10005.073</v>
      </c>
      <c r="O11" s="1">
        <v>10710.611000000001</v>
      </c>
      <c r="P11" s="1">
        <v>10918.781000000001</v>
      </c>
      <c r="Q11" s="1">
        <v>12265.32</v>
      </c>
      <c r="R11" s="1">
        <v>12017.373</v>
      </c>
      <c r="S11" s="1">
        <v>13193.384</v>
      </c>
      <c r="T11" s="1">
        <v>14383.192999999999</v>
      </c>
      <c r="U11" s="1">
        <v>13337.878000000001</v>
      </c>
      <c r="V11" s="1">
        <v>14690.781000000001</v>
      </c>
      <c r="W11" s="1">
        <v>18593.205000000002</v>
      </c>
      <c r="X11" s="1">
        <v>18501.692999999999</v>
      </c>
      <c r="Y11" s="1">
        <v>19543.819</v>
      </c>
      <c r="Z11" s="1">
        <v>22676.298999999999</v>
      </c>
      <c r="AA11" s="1">
        <v>19218.583999999999</v>
      </c>
      <c r="AB11" s="1">
        <v>20442.691999999999</v>
      </c>
      <c r="AC11" s="1">
        <v>20164.001</v>
      </c>
      <c r="AE11" s="1">
        <v>18556.530999999999</v>
      </c>
    </row>
    <row r="12" spans="1:31">
      <c r="A12" s="1" t="s">
        <v>29</v>
      </c>
      <c r="B12" s="1">
        <v>78941</v>
      </c>
      <c r="C12" s="1">
        <v>82913</v>
      </c>
      <c r="D12" s="1">
        <v>89949</v>
      </c>
      <c r="E12" s="1">
        <v>144799.071</v>
      </c>
      <c r="F12" s="41">
        <v>150308.266</v>
      </c>
      <c r="G12" s="1">
        <v>165260.01500000001</v>
      </c>
      <c r="H12" s="1">
        <v>173486.5</v>
      </c>
      <c r="I12" s="1">
        <v>178065.46599999999</v>
      </c>
      <c r="J12" s="1">
        <v>185218.079</v>
      </c>
      <c r="K12" s="1">
        <v>191199.93100000001</v>
      </c>
      <c r="L12" s="1">
        <v>231069.943</v>
      </c>
      <c r="M12" s="1">
        <v>269029.66100000002</v>
      </c>
      <c r="N12" s="1">
        <v>244681.99</v>
      </c>
      <c r="O12" s="1">
        <v>194101.23</v>
      </c>
      <c r="P12" s="1">
        <v>204548.611</v>
      </c>
      <c r="Q12" s="1">
        <v>219623.196</v>
      </c>
      <c r="R12" s="1">
        <v>232858.076</v>
      </c>
      <c r="S12" s="1">
        <v>282803.50300000003</v>
      </c>
      <c r="T12" s="1">
        <v>289355.64299999998</v>
      </c>
      <c r="U12" s="1">
        <v>443206.13099999999</v>
      </c>
      <c r="V12" s="1">
        <v>433142.88099999999</v>
      </c>
      <c r="W12" s="1">
        <v>475924.603</v>
      </c>
      <c r="X12" s="1">
        <v>467254.47899999999</v>
      </c>
      <c r="Y12" s="1">
        <v>484308.55300000001</v>
      </c>
      <c r="Z12" s="1">
        <v>513227.75900000002</v>
      </c>
      <c r="AA12" s="1">
        <v>538749.38800000004</v>
      </c>
      <c r="AB12" s="1">
        <v>538885.478</v>
      </c>
      <c r="AC12" s="1">
        <v>572900.56900000002</v>
      </c>
      <c r="AE12" s="1">
        <v>541728.79</v>
      </c>
    </row>
    <row r="13" spans="1:31">
      <c r="A13" s="1" t="s">
        <v>30</v>
      </c>
      <c r="B13" s="1">
        <v>21782</v>
      </c>
      <c r="C13" s="1">
        <v>23861</v>
      </c>
      <c r="D13" s="1">
        <v>17427</v>
      </c>
      <c r="E13" s="1">
        <v>35015.29</v>
      </c>
      <c r="F13" s="41">
        <v>41738.748</v>
      </c>
      <c r="G13" s="1">
        <v>46750.510999999999</v>
      </c>
      <c r="H13" s="1">
        <v>52321.927000000003</v>
      </c>
      <c r="I13" s="1">
        <v>65326.904000000002</v>
      </c>
      <c r="J13" s="1">
        <v>51407.502999999997</v>
      </c>
      <c r="K13" s="1">
        <v>58980.692839999974</v>
      </c>
      <c r="L13" s="1">
        <v>93412.307000000001</v>
      </c>
      <c r="M13" s="1">
        <v>105825.092</v>
      </c>
      <c r="N13" s="1">
        <v>109671.66099999999</v>
      </c>
      <c r="O13" s="1">
        <v>100950.93399999999</v>
      </c>
      <c r="P13" s="1">
        <v>106121.372</v>
      </c>
      <c r="Q13" s="1">
        <v>116771.363</v>
      </c>
      <c r="R13" s="1">
        <v>123124.772</v>
      </c>
      <c r="S13" s="1">
        <v>131899.128</v>
      </c>
      <c r="T13" s="1">
        <v>142815.84599999999</v>
      </c>
      <c r="U13" s="1">
        <v>81755.834000000003</v>
      </c>
      <c r="V13" s="1">
        <v>196500.46400000001</v>
      </c>
      <c r="W13" s="1">
        <v>215077.19099999999</v>
      </c>
      <c r="X13" s="1">
        <v>219681.856</v>
      </c>
      <c r="Y13" s="1">
        <v>73919.467999999993</v>
      </c>
      <c r="Z13" s="1">
        <v>83512.701000000001</v>
      </c>
      <c r="AA13" s="1">
        <v>81055.051000000007</v>
      </c>
      <c r="AB13" s="1">
        <v>218268.867</v>
      </c>
      <c r="AC13" s="1">
        <v>66298.129000000001</v>
      </c>
      <c r="AE13" s="1">
        <v>58984.294999999998</v>
      </c>
    </row>
    <row r="14" spans="1:31">
      <c r="A14" s="1" t="s">
        <v>31</v>
      </c>
      <c r="B14" s="1">
        <v>5694</v>
      </c>
      <c r="C14" s="1">
        <v>2618</v>
      </c>
      <c r="D14" s="1">
        <v>2797</v>
      </c>
      <c r="E14" s="1">
        <v>6590.4939999999997</v>
      </c>
      <c r="F14" s="41">
        <v>9573.8790000000008</v>
      </c>
      <c r="G14" s="1">
        <v>9727.4590000000007</v>
      </c>
      <c r="H14" s="1">
        <v>10897.188</v>
      </c>
      <c r="I14" s="1">
        <v>11400.084000000001</v>
      </c>
      <c r="J14" s="1">
        <v>12190.034</v>
      </c>
      <c r="K14" s="1">
        <v>13102.288</v>
      </c>
      <c r="L14" s="1">
        <v>51243.536999999997</v>
      </c>
      <c r="M14" s="1">
        <v>51579.654999999999</v>
      </c>
      <c r="N14" s="1">
        <v>1798.7570000000001</v>
      </c>
      <c r="O14" s="1">
        <v>2008.171</v>
      </c>
      <c r="P14" s="1">
        <v>2147.8589999999999</v>
      </c>
      <c r="Q14" s="1">
        <v>42641.188000000002</v>
      </c>
      <c r="R14" s="1">
        <v>46186.205999999998</v>
      </c>
      <c r="S14" s="1">
        <v>50008.800000000003</v>
      </c>
      <c r="T14" s="1">
        <v>64591.392999999996</v>
      </c>
      <c r="U14" s="1">
        <v>58274.201000000001</v>
      </c>
      <c r="V14" s="1">
        <v>76377.846000000005</v>
      </c>
      <c r="W14" s="1">
        <v>74600.872000000003</v>
      </c>
      <c r="X14" s="1">
        <v>77923.553</v>
      </c>
      <c r="Y14" s="1">
        <v>67823.846999999994</v>
      </c>
      <c r="Z14" s="1">
        <v>66202.070000000007</v>
      </c>
      <c r="AA14" s="1">
        <v>64765.292000000001</v>
      </c>
      <c r="AB14" s="1">
        <v>67124.925000000003</v>
      </c>
      <c r="AC14" s="1">
        <v>51663.525000000001</v>
      </c>
      <c r="AE14" s="1">
        <v>48212.726000000002</v>
      </c>
    </row>
    <row r="15" spans="1:31">
      <c r="A15" s="1" t="s">
        <v>32</v>
      </c>
      <c r="B15" s="1">
        <v>4132</v>
      </c>
      <c r="C15" s="1">
        <v>4542</v>
      </c>
      <c r="D15" s="1">
        <v>4837</v>
      </c>
      <c r="E15" s="1">
        <v>8931.0290000000005</v>
      </c>
      <c r="F15" s="41">
        <v>8739.2849999999999</v>
      </c>
      <c r="G15" s="1">
        <v>10867.380999999999</v>
      </c>
      <c r="H15" s="1">
        <v>11948.300999999999</v>
      </c>
      <c r="I15" s="1">
        <v>11168.212</v>
      </c>
      <c r="J15" s="1">
        <v>18882.013999999999</v>
      </c>
      <c r="K15" s="1">
        <v>23341.967800000013</v>
      </c>
      <c r="L15" s="1">
        <v>28764.478999999999</v>
      </c>
      <c r="M15" s="1">
        <v>30444.651000000002</v>
      </c>
      <c r="N15" s="1">
        <v>37642.927000000003</v>
      </c>
      <c r="O15" s="1">
        <v>44449.413</v>
      </c>
      <c r="P15" s="1">
        <v>56206.811000000002</v>
      </c>
      <c r="Q15" s="1">
        <v>55728.178</v>
      </c>
      <c r="R15" s="1">
        <v>50886.553999999996</v>
      </c>
      <c r="S15" s="1">
        <v>55876.055</v>
      </c>
      <c r="T15" s="1">
        <v>75194.138000000006</v>
      </c>
      <c r="U15" s="1">
        <v>47582.991000000002</v>
      </c>
      <c r="V15" s="1">
        <v>71656.092999999993</v>
      </c>
      <c r="W15" s="1">
        <v>79142.663</v>
      </c>
      <c r="X15" s="1">
        <v>82830.566999999995</v>
      </c>
      <c r="Y15" s="1">
        <v>62040.010999999999</v>
      </c>
      <c r="Z15" s="1">
        <v>55172.006999999998</v>
      </c>
      <c r="AA15" s="1">
        <v>57626.394999999997</v>
      </c>
      <c r="AB15" s="1">
        <v>77561.770999999993</v>
      </c>
      <c r="AC15" s="1">
        <v>64867.012000000002</v>
      </c>
      <c r="AE15" s="1">
        <v>59452.618000000002</v>
      </c>
    </row>
    <row r="16" spans="1:31">
      <c r="A16" s="1" t="s">
        <v>33</v>
      </c>
      <c r="B16" s="1">
        <v>38114</v>
      </c>
      <c r="C16" s="1">
        <v>41399</v>
      </c>
      <c r="D16" s="1">
        <v>45107</v>
      </c>
      <c r="E16" s="1">
        <v>59374.413999999997</v>
      </c>
      <c r="F16" s="41">
        <v>48204.201999999997</v>
      </c>
      <c r="G16" s="1">
        <v>61128.57</v>
      </c>
      <c r="H16" s="1">
        <v>67843.786999999997</v>
      </c>
      <c r="I16" s="1">
        <v>58440.42</v>
      </c>
      <c r="J16" s="1">
        <v>73734.547999999995</v>
      </c>
      <c r="K16" s="1">
        <v>80772.89</v>
      </c>
      <c r="L16" s="1">
        <v>105180.19500000001</v>
      </c>
      <c r="M16" s="1">
        <v>106584.855</v>
      </c>
      <c r="N16" s="1">
        <v>109053.371</v>
      </c>
      <c r="O16" s="1">
        <v>131286.68100000001</v>
      </c>
      <c r="P16" s="1">
        <v>134983.139</v>
      </c>
      <c r="Q16" s="1">
        <v>141857.11600000001</v>
      </c>
      <c r="R16" s="1">
        <v>149297.465</v>
      </c>
      <c r="S16" s="1">
        <v>159641.63099999999</v>
      </c>
      <c r="T16" s="1">
        <v>168859.269</v>
      </c>
      <c r="U16" s="1">
        <v>191353.98499999999</v>
      </c>
      <c r="V16" s="1">
        <v>214078.40299999999</v>
      </c>
      <c r="W16" s="1">
        <v>218109.55900000001</v>
      </c>
      <c r="X16" s="1">
        <v>243721.15</v>
      </c>
      <c r="Y16" s="1">
        <v>241864.45800000001</v>
      </c>
      <c r="Z16" s="1">
        <v>261473.38699999999</v>
      </c>
      <c r="AA16" s="1">
        <v>264279.52299999999</v>
      </c>
      <c r="AB16" s="1">
        <v>268688.83399999997</v>
      </c>
      <c r="AC16" s="1">
        <v>257042.52900000001</v>
      </c>
      <c r="AE16" s="1">
        <v>267630.42300000001</v>
      </c>
    </row>
    <row r="17" spans="1:31">
      <c r="A17" s="1" t="s">
        <v>34</v>
      </c>
      <c r="B17" s="1">
        <v>15184</v>
      </c>
      <c r="C17" s="1">
        <v>15541</v>
      </c>
      <c r="D17" s="1">
        <v>16963</v>
      </c>
      <c r="E17" s="1">
        <v>20047.45</v>
      </c>
      <c r="F17" s="41">
        <v>20589.971000000001</v>
      </c>
      <c r="G17" s="1">
        <v>22877.839</v>
      </c>
      <c r="H17" s="1">
        <v>25030.9</v>
      </c>
      <c r="I17" s="1">
        <v>29686.562999999998</v>
      </c>
      <c r="J17" s="1">
        <v>32956.116999999998</v>
      </c>
      <c r="K17" s="1">
        <v>35473.061999999998</v>
      </c>
      <c r="L17" s="1">
        <v>46701.029000000002</v>
      </c>
      <c r="M17" s="1">
        <v>42877.595000000001</v>
      </c>
      <c r="N17" s="1">
        <v>45063.743999999999</v>
      </c>
      <c r="O17" s="1">
        <v>49611.983</v>
      </c>
      <c r="P17" s="1">
        <v>52365.731</v>
      </c>
      <c r="Q17" s="1">
        <v>54742.423000000003</v>
      </c>
      <c r="R17" s="1">
        <v>55264.758999999998</v>
      </c>
      <c r="S17" s="1">
        <v>64730.978000000003</v>
      </c>
      <c r="T17" s="1">
        <v>71382.789000000004</v>
      </c>
      <c r="U17" s="1">
        <v>77439.453999999998</v>
      </c>
      <c r="V17" s="1">
        <v>88753.358999999997</v>
      </c>
      <c r="W17" s="1">
        <v>97989.438999999998</v>
      </c>
      <c r="X17" s="1">
        <v>101415.326</v>
      </c>
      <c r="Y17" s="1">
        <v>104201.705</v>
      </c>
      <c r="Z17" s="1">
        <v>109592.63499999999</v>
      </c>
      <c r="AA17" s="1">
        <v>112151.624</v>
      </c>
      <c r="AB17" s="1">
        <v>118044.77899999999</v>
      </c>
      <c r="AC17" s="1">
        <v>126001.765</v>
      </c>
      <c r="AE17" s="1">
        <v>106259.929</v>
      </c>
    </row>
    <row r="18" spans="1:31">
      <c r="A18" s="1" t="s">
        <v>35</v>
      </c>
      <c r="B18" s="1">
        <v>42927</v>
      </c>
      <c r="C18" s="1">
        <v>46362</v>
      </c>
      <c r="D18" s="1">
        <v>50501</v>
      </c>
      <c r="E18" s="1">
        <v>71665.527000000002</v>
      </c>
      <c r="F18" s="41">
        <v>76133.025999999998</v>
      </c>
      <c r="G18" s="1">
        <v>81174.45</v>
      </c>
      <c r="H18" s="1">
        <v>87329.370999999999</v>
      </c>
      <c r="I18" s="1">
        <v>94744.793999999994</v>
      </c>
      <c r="J18" s="1">
        <v>98041.18</v>
      </c>
      <c r="K18" s="1">
        <v>102117.41532999999</v>
      </c>
      <c r="L18" s="1">
        <v>127767.44100000001</v>
      </c>
      <c r="M18" s="1">
        <v>146270.34700000001</v>
      </c>
      <c r="N18" s="1">
        <v>155347.01199999999</v>
      </c>
      <c r="O18" s="1">
        <v>168111.83799999999</v>
      </c>
      <c r="P18" s="1">
        <v>176677.467</v>
      </c>
      <c r="Q18" s="1">
        <v>190428.99799999999</v>
      </c>
      <c r="R18" s="1">
        <v>204218.57</v>
      </c>
      <c r="S18" s="1">
        <v>216117.33600000001</v>
      </c>
      <c r="T18" s="1">
        <v>234737.228</v>
      </c>
      <c r="U18" s="1">
        <v>239181.25099999999</v>
      </c>
      <c r="V18" s="1">
        <v>268633.65299999999</v>
      </c>
      <c r="W18" s="1">
        <v>290109.05599999998</v>
      </c>
      <c r="X18" s="1">
        <v>293673.45400000003</v>
      </c>
      <c r="Y18" s="1">
        <v>310552.886</v>
      </c>
      <c r="Z18" s="1">
        <v>328322.26199999999</v>
      </c>
      <c r="AA18" s="1">
        <v>309483.67</v>
      </c>
      <c r="AB18" s="1">
        <v>304471.08100000001</v>
      </c>
      <c r="AC18" s="1">
        <v>342740.641</v>
      </c>
      <c r="AE18" s="1">
        <v>338480.592</v>
      </c>
    </row>
    <row r="19" spans="1:31">
      <c r="A19" s="1" t="s">
        <v>36</v>
      </c>
      <c r="B19" s="1">
        <v>7850</v>
      </c>
      <c r="C19" s="1">
        <v>8080</v>
      </c>
      <c r="D19" s="1">
        <v>8710</v>
      </c>
      <c r="E19" s="1">
        <v>23007.107</v>
      </c>
      <c r="F19" s="41">
        <v>24152.159</v>
      </c>
      <c r="G19" s="1">
        <v>23906.678</v>
      </c>
      <c r="H19" s="1">
        <v>22691.419000000002</v>
      </c>
      <c r="I19" s="1">
        <v>22625.789000000001</v>
      </c>
      <c r="J19" s="1">
        <v>23395.124</v>
      </c>
      <c r="K19" s="1">
        <v>26869.236060000003</v>
      </c>
      <c r="L19" s="1">
        <v>27848.276999999998</v>
      </c>
      <c r="M19" s="1">
        <v>52755.733999999997</v>
      </c>
      <c r="N19" s="1">
        <v>27730.813999999998</v>
      </c>
      <c r="O19" s="1">
        <v>27931.013999999999</v>
      </c>
      <c r="P19" s="1">
        <v>28638.817999999999</v>
      </c>
      <c r="Q19" s="1">
        <v>30683.207999999999</v>
      </c>
      <c r="R19" s="1">
        <v>33133.440999999999</v>
      </c>
      <c r="S19" s="1">
        <v>33679</v>
      </c>
      <c r="T19" s="1">
        <v>39469.614000000001</v>
      </c>
      <c r="U19" s="1">
        <v>47374.46</v>
      </c>
      <c r="V19" s="1">
        <v>53279.17</v>
      </c>
      <c r="W19" s="1">
        <v>51475.046999999999</v>
      </c>
      <c r="X19" s="1">
        <v>52264.281000000003</v>
      </c>
      <c r="Y19" s="1">
        <v>58580.699000000001</v>
      </c>
      <c r="Z19" s="1">
        <v>65437.321000000004</v>
      </c>
      <c r="AA19" s="1">
        <v>65254.964</v>
      </c>
      <c r="AB19" s="1">
        <v>60977.249000000003</v>
      </c>
      <c r="AC19" s="1">
        <v>59438.597000000002</v>
      </c>
      <c r="AE19" s="1">
        <v>56433.195</v>
      </c>
    </row>
    <row r="20" spans="1:31">
      <c r="A20" s="1" t="s">
        <v>37</v>
      </c>
      <c r="B20" s="1">
        <v>17215</v>
      </c>
      <c r="C20" s="1">
        <v>24067</v>
      </c>
      <c r="D20" s="1">
        <v>25497</v>
      </c>
      <c r="E20" s="1">
        <v>37702.053999999996</v>
      </c>
      <c r="F20" s="41">
        <v>36529.749000000003</v>
      </c>
      <c r="G20" s="1">
        <v>40065.178</v>
      </c>
      <c r="H20" s="1">
        <v>40528.845999999998</v>
      </c>
      <c r="I20" s="1">
        <v>42793.769</v>
      </c>
      <c r="J20" s="1">
        <v>42798.175000000003</v>
      </c>
      <c r="K20" s="1">
        <v>41210.766000000003</v>
      </c>
      <c r="L20" s="1">
        <v>47203.319000000003</v>
      </c>
      <c r="M20" s="1">
        <v>49631.807999999997</v>
      </c>
      <c r="N20" s="1">
        <v>55407.398000000001</v>
      </c>
      <c r="O20" s="1">
        <v>59546.521000000001</v>
      </c>
      <c r="P20" s="1">
        <v>59412.542000000001</v>
      </c>
      <c r="Q20" s="1">
        <v>63106.552000000003</v>
      </c>
      <c r="R20" s="1">
        <v>64720.044000000002</v>
      </c>
      <c r="S20" s="1">
        <v>67446.395999999993</v>
      </c>
      <c r="T20" s="1">
        <v>75313.303</v>
      </c>
      <c r="U20" s="1">
        <v>84300.437999999995</v>
      </c>
      <c r="V20" s="1">
        <v>86455.989000000001</v>
      </c>
      <c r="W20" s="1">
        <v>92301.345000000001</v>
      </c>
      <c r="X20" s="1">
        <v>91053.88</v>
      </c>
      <c r="Y20" s="1">
        <v>91715.686000000002</v>
      </c>
      <c r="Z20" s="1">
        <v>98976.053</v>
      </c>
      <c r="AA20" s="1">
        <v>104110.632</v>
      </c>
      <c r="AB20" s="1">
        <v>103257.717</v>
      </c>
      <c r="AC20" s="1">
        <v>114097.223</v>
      </c>
      <c r="AE20" s="1">
        <v>111495.62</v>
      </c>
    </row>
    <row r="21" spans="1:31" s="11" customFormat="1">
      <c r="A21" s="1" t="s">
        <v>38</v>
      </c>
      <c r="B21" s="1">
        <v>12742</v>
      </c>
      <c r="C21" s="1">
        <v>14554</v>
      </c>
      <c r="D21" s="1">
        <v>16259</v>
      </c>
      <c r="E21" s="1">
        <v>19764.248</v>
      </c>
      <c r="F21" s="41">
        <v>19649.22</v>
      </c>
      <c r="G21" s="1">
        <v>21208.958999999999</v>
      </c>
      <c r="H21" s="1">
        <v>23605.656999999999</v>
      </c>
      <c r="I21" s="1">
        <v>27416.768</v>
      </c>
      <c r="J21" s="1">
        <v>28432.608</v>
      </c>
      <c r="K21" s="1">
        <v>30143.205999999998</v>
      </c>
      <c r="L21" s="1">
        <v>36630.150999999998</v>
      </c>
      <c r="M21" s="1">
        <v>42600.468000000001</v>
      </c>
      <c r="N21" s="1">
        <v>41837.281000000003</v>
      </c>
      <c r="O21" s="1">
        <v>43358.546999999999</v>
      </c>
      <c r="P21" s="1">
        <v>43807.055999999997</v>
      </c>
      <c r="Q21" s="1">
        <v>51105.985999999997</v>
      </c>
      <c r="R21" s="1">
        <v>54082.824999999997</v>
      </c>
      <c r="S21" s="1">
        <v>56595.45</v>
      </c>
      <c r="T21" s="1">
        <v>62858.311000000002</v>
      </c>
      <c r="U21" s="1">
        <v>70183.858999999997</v>
      </c>
      <c r="V21" s="1">
        <v>71531.179000000004</v>
      </c>
      <c r="W21" s="1">
        <v>79056.69</v>
      </c>
      <c r="X21" s="1">
        <v>80353.851999999999</v>
      </c>
      <c r="Y21" s="1">
        <v>84022.398000000001</v>
      </c>
      <c r="Z21" s="1">
        <v>87854.21</v>
      </c>
      <c r="AA21" s="1">
        <v>85787.629000000001</v>
      </c>
      <c r="AB21" s="1">
        <v>80526.414000000004</v>
      </c>
      <c r="AC21" s="1">
        <v>73073.774000000005</v>
      </c>
      <c r="AD21" s="1"/>
      <c r="AE21" s="1">
        <v>76687.607999999993</v>
      </c>
    </row>
    <row r="22" spans="1:31">
      <c r="A22" s="1" t="s">
        <v>39</v>
      </c>
      <c r="B22" s="1">
        <v>104790</v>
      </c>
      <c r="C22" s="1">
        <v>113176</v>
      </c>
      <c r="D22" s="1">
        <v>120285</v>
      </c>
      <c r="E22" s="1">
        <v>195889.568</v>
      </c>
      <c r="F22" s="41">
        <v>190394.217</v>
      </c>
      <c r="G22" s="1">
        <v>181430.55900000001</v>
      </c>
      <c r="H22" s="1">
        <v>210405.09099999999</v>
      </c>
      <c r="I22" s="1">
        <v>201042.565</v>
      </c>
      <c r="J22" s="1">
        <v>234039.84299999999</v>
      </c>
      <c r="K22" s="1">
        <v>251441.44899999999</v>
      </c>
      <c r="L22" s="1">
        <v>265614.51</v>
      </c>
      <c r="M22" s="1">
        <v>300477.20199999999</v>
      </c>
      <c r="N22" s="1">
        <v>315916.67800000001</v>
      </c>
      <c r="O22" s="1">
        <v>329944.82900000003</v>
      </c>
      <c r="P22" s="1">
        <v>355362.09</v>
      </c>
      <c r="Q22" s="1">
        <v>362945.45699999999</v>
      </c>
      <c r="R22" s="1">
        <v>392307.22399999999</v>
      </c>
      <c r="S22" s="1">
        <v>420238.86200000002</v>
      </c>
      <c r="T22" s="1">
        <v>452446.11900000001</v>
      </c>
      <c r="U22" s="1">
        <v>505232.19799999997</v>
      </c>
      <c r="V22" s="1">
        <v>636588.35100000002</v>
      </c>
      <c r="W22" s="1">
        <v>664972.37300000002</v>
      </c>
      <c r="X22" s="1">
        <v>673993.91700000002</v>
      </c>
      <c r="Y22" s="1">
        <v>739840.99300000002</v>
      </c>
      <c r="Z22" s="1">
        <v>759520.951</v>
      </c>
      <c r="AA22" s="1">
        <v>764852.38199999998</v>
      </c>
      <c r="AB22" s="1">
        <v>821734.29799999995</v>
      </c>
      <c r="AC22" s="1">
        <v>880536.647</v>
      </c>
      <c r="AE22" s="1">
        <v>992149.77099999995</v>
      </c>
    </row>
    <row r="23" spans="1:31">
      <c r="A23" s="1" t="s">
        <v>40</v>
      </c>
      <c r="B23" s="1">
        <v>25166</v>
      </c>
      <c r="C23" s="1">
        <v>30330</v>
      </c>
      <c r="D23" s="1">
        <v>32119</v>
      </c>
      <c r="E23" s="1">
        <v>45196.803</v>
      </c>
      <c r="F23" s="41">
        <v>46576.285000000003</v>
      </c>
      <c r="G23" s="1">
        <v>48460.13</v>
      </c>
      <c r="H23" s="1">
        <v>52743.608</v>
      </c>
      <c r="I23" s="1">
        <v>57632.373</v>
      </c>
      <c r="J23" s="1">
        <v>57431.663999999997</v>
      </c>
      <c r="K23" s="1">
        <v>64484.108</v>
      </c>
      <c r="L23" s="1">
        <v>68047.563999999998</v>
      </c>
      <c r="M23" s="1">
        <v>74980.933999999994</v>
      </c>
      <c r="N23" s="1">
        <v>73520.28</v>
      </c>
      <c r="O23" s="1">
        <v>79061.553</v>
      </c>
      <c r="P23" s="1">
        <v>86073.217999999993</v>
      </c>
      <c r="Q23" s="1">
        <v>97217.398000000001</v>
      </c>
      <c r="R23" s="1">
        <v>105953.147</v>
      </c>
      <c r="S23" s="1">
        <v>116618.84699999999</v>
      </c>
      <c r="T23" s="1">
        <v>139178.579</v>
      </c>
      <c r="U23" s="1">
        <v>139017.84700000001</v>
      </c>
      <c r="V23" s="1">
        <v>145787.05900000001</v>
      </c>
      <c r="W23" s="1">
        <v>167053.38800000001</v>
      </c>
      <c r="X23" s="1">
        <v>178086.071</v>
      </c>
      <c r="Y23" s="1">
        <v>186488.31700000001</v>
      </c>
      <c r="Z23" s="1">
        <v>190834.41</v>
      </c>
      <c r="AA23" s="1">
        <v>196374.296</v>
      </c>
      <c r="AB23" s="1">
        <v>199621.997</v>
      </c>
      <c r="AC23" s="1">
        <v>192674.08</v>
      </c>
      <c r="AE23" s="1">
        <v>174121.193</v>
      </c>
    </row>
    <row r="24" spans="1:31">
      <c r="A24" s="23" t="s">
        <v>41</v>
      </c>
      <c r="B24" s="23">
        <v>2349</v>
      </c>
      <c r="C24" s="23">
        <v>2506</v>
      </c>
      <c r="D24" s="23">
        <v>2682</v>
      </c>
      <c r="E24" s="23">
        <v>2378.2779999999998</v>
      </c>
      <c r="F24" s="44">
        <v>2466.0790000000002</v>
      </c>
      <c r="G24" s="23">
        <v>3054</v>
      </c>
      <c r="H24" s="23">
        <v>3720.9</v>
      </c>
      <c r="I24" s="23">
        <v>4004.357</v>
      </c>
      <c r="J24" s="23">
        <v>4437.9809999999998</v>
      </c>
      <c r="K24" s="23">
        <v>4008.9290699999929</v>
      </c>
      <c r="L24" s="23">
        <v>4307.6930000000002</v>
      </c>
      <c r="M24" s="23">
        <v>5152.4110000000001</v>
      </c>
      <c r="N24" s="23">
        <v>3874.0540000000001</v>
      </c>
      <c r="O24" s="23">
        <v>5979.3029999999999</v>
      </c>
      <c r="P24" s="23">
        <v>5196.9160000000002</v>
      </c>
      <c r="Q24" s="23">
        <v>14450.045</v>
      </c>
      <c r="R24" s="23">
        <v>11852.411</v>
      </c>
      <c r="S24" s="23">
        <v>14418.423000000001</v>
      </c>
      <c r="T24" s="23">
        <v>15592.944</v>
      </c>
      <c r="U24" s="23">
        <v>19129.222000000002</v>
      </c>
      <c r="V24" s="23">
        <v>29892.255000000001</v>
      </c>
      <c r="W24" s="23">
        <v>31792.557000000001</v>
      </c>
      <c r="X24" s="23">
        <v>35908.046999999999</v>
      </c>
      <c r="Y24" s="23">
        <v>33953.124000000003</v>
      </c>
      <c r="Z24" s="23">
        <v>34904.127999999997</v>
      </c>
      <c r="AA24" s="23">
        <v>31423.9</v>
      </c>
      <c r="AB24" s="23">
        <v>32634.955000000002</v>
      </c>
      <c r="AC24" s="23">
        <v>31740.933000000001</v>
      </c>
      <c r="AD24" s="23"/>
      <c r="AE24" s="23">
        <v>32149.039000000001</v>
      </c>
    </row>
    <row r="25" spans="1:31">
      <c r="A25" s="7" t="s">
        <v>42</v>
      </c>
      <c r="B25" s="47">
        <f>SUM(B27:B39)</f>
        <v>0</v>
      </c>
      <c r="C25" s="47">
        <f t="shared" ref="C25:AC25" si="10">SUM(C27:C39)</f>
        <v>0</v>
      </c>
      <c r="D25" s="47">
        <f t="shared" si="10"/>
        <v>0</v>
      </c>
      <c r="E25" s="47">
        <f t="shared" si="10"/>
        <v>0</v>
      </c>
      <c r="F25" s="47">
        <f t="shared" si="10"/>
        <v>677342.71499999997</v>
      </c>
      <c r="G25" s="47">
        <f t="shared" si="10"/>
        <v>0</v>
      </c>
      <c r="H25" s="47">
        <f t="shared" si="10"/>
        <v>0</v>
      </c>
      <c r="I25" s="47">
        <f t="shared" si="10"/>
        <v>738076.67499999993</v>
      </c>
      <c r="J25" s="47">
        <f t="shared" si="10"/>
        <v>0</v>
      </c>
      <c r="K25" s="47">
        <f t="shared" si="10"/>
        <v>1050798.82914</v>
      </c>
      <c r="L25" s="47">
        <f t="shared" si="10"/>
        <v>997353.72600000002</v>
      </c>
      <c r="M25" s="47">
        <f t="shared" si="10"/>
        <v>1097665.6680000001</v>
      </c>
      <c r="N25" s="47">
        <f t="shared" si="10"/>
        <v>1145382.4510000001</v>
      </c>
      <c r="O25" s="47">
        <f t="shared" si="10"/>
        <v>1142460.173</v>
      </c>
      <c r="P25" s="47">
        <f t="shared" si="10"/>
        <v>1155769.2520000001</v>
      </c>
      <c r="Q25" s="47">
        <f t="shared" si="10"/>
        <v>1356452.3780000003</v>
      </c>
      <c r="R25" s="47">
        <f t="shared" si="10"/>
        <v>1455129.4579999999</v>
      </c>
      <c r="S25" s="47">
        <f t="shared" si="10"/>
        <v>1552688.331</v>
      </c>
      <c r="T25" s="47">
        <f t="shared" si="10"/>
        <v>1765968.7819999999</v>
      </c>
      <c r="U25" s="47">
        <f t="shared" si="10"/>
        <v>1858746.1159999997</v>
      </c>
      <c r="V25" s="47">
        <f t="shared" si="10"/>
        <v>2065432.6529999997</v>
      </c>
      <c r="W25" s="47">
        <f t="shared" si="10"/>
        <v>2179775.8859999999</v>
      </c>
      <c r="X25" s="47">
        <f t="shared" si="10"/>
        <v>2201407.9939999999</v>
      </c>
      <c r="Y25" s="47">
        <f t="shared" si="10"/>
        <v>1595891.4580000003</v>
      </c>
      <c r="Z25" s="47">
        <f t="shared" si="10"/>
        <v>1670111.9549999998</v>
      </c>
      <c r="AA25" s="47">
        <f t="shared" si="10"/>
        <v>1693846.2990000001</v>
      </c>
      <c r="AB25" s="47">
        <f t="shared" si="10"/>
        <v>2450840.8070000005</v>
      </c>
      <c r="AC25" s="47">
        <f t="shared" si="10"/>
        <v>2632975.8620000002</v>
      </c>
      <c r="AD25" s="47">
        <f t="shared" ref="AD25:AE25" si="11">SUM(AD27:AD39)</f>
        <v>0</v>
      </c>
      <c r="AE25" s="47">
        <f t="shared" si="11"/>
        <v>2906704.3150000009</v>
      </c>
    </row>
    <row r="26" spans="1:31">
      <c r="A26" s="7" t="s">
        <v>97</v>
      </c>
      <c r="X26" s="1">
        <v>0</v>
      </c>
      <c r="Y26" s="1">
        <v>0</v>
      </c>
      <c r="AB26" s="1">
        <v>0</v>
      </c>
      <c r="AC26" s="1">
        <v>0</v>
      </c>
    </row>
    <row r="27" spans="1:31">
      <c r="A27" s="1" t="s">
        <v>43</v>
      </c>
      <c r="F27" s="41">
        <v>438.86500000000001</v>
      </c>
      <c r="I27" s="1">
        <v>496.846</v>
      </c>
      <c r="K27" s="1">
        <v>494.19499999999999</v>
      </c>
      <c r="L27" s="1">
        <v>3777.3560000000002</v>
      </c>
      <c r="M27" s="1">
        <v>565.76400000000001</v>
      </c>
      <c r="N27" s="1">
        <v>3375.83</v>
      </c>
      <c r="O27" s="1">
        <v>3941.26</v>
      </c>
      <c r="P27" s="1">
        <v>3517.01</v>
      </c>
      <c r="Q27" s="1">
        <v>570.93299999999999</v>
      </c>
      <c r="R27" s="1">
        <v>2921.306</v>
      </c>
      <c r="S27" s="1">
        <v>3595.4789999999998</v>
      </c>
      <c r="T27" s="1">
        <v>2931.8449999999998</v>
      </c>
      <c r="U27" s="1">
        <v>3834.8989999999999</v>
      </c>
      <c r="V27" s="1">
        <v>4018.2449999999999</v>
      </c>
      <c r="W27" s="1">
        <v>1135.0830000000001</v>
      </c>
      <c r="X27" s="1">
        <v>4227.71</v>
      </c>
      <c r="Y27" s="1">
        <v>1210.8330000000001</v>
      </c>
      <c r="AB27" s="1">
        <v>4229.7489999999998</v>
      </c>
      <c r="AC27" s="1">
        <v>5308.8819999999996</v>
      </c>
      <c r="AE27" s="1">
        <v>5172.6360000000004</v>
      </c>
    </row>
    <row r="28" spans="1:31">
      <c r="A28" s="1" t="s">
        <v>44</v>
      </c>
      <c r="F28" s="41">
        <v>43285.129000000001</v>
      </c>
      <c r="I28" s="1">
        <v>50997.94</v>
      </c>
      <c r="K28" s="1">
        <v>83105.585919999983</v>
      </c>
      <c r="L28" s="1">
        <v>82017.919999999998</v>
      </c>
      <c r="M28" s="1">
        <v>88376.99</v>
      </c>
      <c r="N28" s="1">
        <v>101156.448</v>
      </c>
      <c r="O28" s="1">
        <v>103769.39599999999</v>
      </c>
      <c r="P28" s="1">
        <v>113860.575</v>
      </c>
      <c r="Q28" s="1">
        <v>122067.91800000001</v>
      </c>
      <c r="R28" s="1">
        <v>132061.73000000001</v>
      </c>
      <c r="S28" s="1">
        <v>146235.503</v>
      </c>
      <c r="T28" s="1">
        <v>167589.27600000001</v>
      </c>
      <c r="U28" s="1">
        <v>180458.87599999999</v>
      </c>
      <c r="V28" s="1">
        <v>190072.989</v>
      </c>
      <c r="W28" s="1">
        <v>177439.897</v>
      </c>
      <c r="X28" s="1">
        <v>191151.375</v>
      </c>
      <c r="Y28" s="1">
        <v>55919.800999999999</v>
      </c>
      <c r="Z28" s="1">
        <v>53592.442999999999</v>
      </c>
      <c r="AA28" s="1">
        <v>52165.667000000001</v>
      </c>
      <c r="AB28" s="1">
        <v>196890.29300000001</v>
      </c>
      <c r="AC28" s="1">
        <v>204497.76500000001</v>
      </c>
      <c r="AE28" s="1">
        <v>231093.565</v>
      </c>
    </row>
    <row r="29" spans="1:31">
      <c r="A29" s="1" t="s">
        <v>45</v>
      </c>
      <c r="F29" s="41">
        <v>425188.43199999997</v>
      </c>
      <c r="I29" s="1">
        <v>433709.408</v>
      </c>
      <c r="K29" s="1">
        <v>651037.88754999998</v>
      </c>
      <c r="L29" s="1">
        <v>561479.32900000003</v>
      </c>
      <c r="M29" s="1">
        <v>632065.79299999995</v>
      </c>
      <c r="N29" s="1">
        <v>641671.81499999994</v>
      </c>
      <c r="O29" s="1">
        <v>625636.31200000003</v>
      </c>
      <c r="P29" s="1">
        <v>643882.00300000003</v>
      </c>
      <c r="Q29" s="1">
        <v>815578.68799999997</v>
      </c>
      <c r="R29" s="1">
        <v>873417.81400000001</v>
      </c>
      <c r="S29" s="1">
        <v>976138.83299999998</v>
      </c>
      <c r="T29" s="1">
        <v>1100349.2050000001</v>
      </c>
      <c r="U29" s="1">
        <v>1089010.139</v>
      </c>
      <c r="V29" s="1">
        <v>1218726.9169999999</v>
      </c>
      <c r="W29" s="1">
        <v>1314312.6059999999</v>
      </c>
      <c r="X29" s="1">
        <v>1301455.5</v>
      </c>
      <c r="Y29" s="1">
        <v>942221.73800000001</v>
      </c>
      <c r="Z29" s="1">
        <v>974286.54299999995</v>
      </c>
      <c r="AA29" s="1">
        <v>989709.473</v>
      </c>
      <c r="AB29" s="1">
        <v>1470390.1569999999</v>
      </c>
      <c r="AC29" s="1">
        <v>1589544.6340000001</v>
      </c>
      <c r="AE29" s="1">
        <v>1790941.74</v>
      </c>
    </row>
    <row r="30" spans="1:31">
      <c r="A30" s="1" t="s">
        <v>46</v>
      </c>
      <c r="F30" s="41">
        <v>27904.799999999999</v>
      </c>
      <c r="I30" s="1">
        <v>34637.58</v>
      </c>
      <c r="K30" s="1">
        <v>40869.675999999999</v>
      </c>
      <c r="L30" s="1">
        <v>38230.159</v>
      </c>
      <c r="M30" s="1">
        <v>40477.427000000003</v>
      </c>
      <c r="N30" s="1">
        <v>45422.908000000003</v>
      </c>
      <c r="O30" s="1">
        <v>45129.7</v>
      </c>
      <c r="P30" s="1">
        <v>45424.870999999999</v>
      </c>
      <c r="Q30" s="1">
        <v>43133.875999999997</v>
      </c>
      <c r="R30" s="1">
        <v>45795.557000000001</v>
      </c>
      <c r="S30" s="1">
        <v>46605.303999999996</v>
      </c>
      <c r="T30" s="1">
        <v>56709.938999999998</v>
      </c>
      <c r="U30" s="1">
        <v>64573.118999999999</v>
      </c>
      <c r="V30" s="1">
        <v>72951.573000000004</v>
      </c>
      <c r="W30" s="1">
        <v>76133.581000000006</v>
      </c>
      <c r="X30" s="1">
        <v>82551.062999999995</v>
      </c>
      <c r="Y30" s="1">
        <v>45730.455000000002</v>
      </c>
      <c r="Z30" s="1">
        <v>44425.195</v>
      </c>
      <c r="AA30" s="1">
        <v>55198.864999999998</v>
      </c>
      <c r="AB30" s="1">
        <v>70441.171000000002</v>
      </c>
      <c r="AC30" s="1">
        <v>79658.645999999993</v>
      </c>
      <c r="AE30" s="1">
        <v>84884.551000000007</v>
      </c>
    </row>
    <row r="31" spans="1:31">
      <c r="A31" s="1" t="s">
        <v>47</v>
      </c>
      <c r="F31" s="41">
        <v>6562.152</v>
      </c>
      <c r="I31" s="1">
        <v>7101.0190000000002</v>
      </c>
      <c r="K31" s="1">
        <v>14130.583000000001</v>
      </c>
      <c r="L31" s="1">
        <v>11317.593000000001</v>
      </c>
      <c r="M31" s="1">
        <v>11921.713</v>
      </c>
      <c r="N31" s="1">
        <v>13519.664000000001</v>
      </c>
      <c r="O31" s="1">
        <v>15459.689</v>
      </c>
      <c r="P31" s="1">
        <v>12175.398999999999</v>
      </c>
      <c r="Q31" s="1">
        <v>12755.172</v>
      </c>
      <c r="R31" s="1">
        <v>11474.177</v>
      </c>
      <c r="S31" s="1">
        <v>13227.89</v>
      </c>
      <c r="T31" s="1">
        <v>15131.288</v>
      </c>
      <c r="U31" s="1">
        <v>22085.781999999999</v>
      </c>
      <c r="V31" s="1">
        <v>24494.245999999999</v>
      </c>
      <c r="W31" s="1">
        <v>28046.928</v>
      </c>
      <c r="X31" s="1">
        <v>30070.429</v>
      </c>
      <c r="Y31" s="1">
        <v>32195.514999999999</v>
      </c>
      <c r="Z31" s="1">
        <v>32418.375</v>
      </c>
      <c r="AA31" s="1">
        <v>39082.063000000002</v>
      </c>
      <c r="AB31" s="1">
        <v>25037.469000000001</v>
      </c>
      <c r="AC31" s="1">
        <v>27095.632000000001</v>
      </c>
      <c r="AE31" s="1">
        <v>31321.737000000001</v>
      </c>
    </row>
    <row r="32" spans="1:31">
      <c r="A32" s="1" t="s">
        <v>48</v>
      </c>
      <c r="F32" s="41">
        <v>4960.0950000000003</v>
      </c>
      <c r="I32" s="1">
        <v>4511.8940000000002</v>
      </c>
      <c r="K32" s="1">
        <v>5177.817</v>
      </c>
      <c r="L32" s="1">
        <v>7891.317</v>
      </c>
      <c r="M32" s="1">
        <v>10226.376</v>
      </c>
      <c r="N32" s="1">
        <v>12320.096</v>
      </c>
      <c r="O32" s="1">
        <v>12780.198</v>
      </c>
      <c r="P32" s="1">
        <v>13970.878000000001</v>
      </c>
      <c r="Q32" s="1">
        <v>14463.78</v>
      </c>
      <c r="R32" s="1">
        <v>15251.897000000001</v>
      </c>
      <c r="S32" s="1">
        <v>15060.962</v>
      </c>
      <c r="T32" s="1">
        <v>15877.33</v>
      </c>
      <c r="U32" s="1">
        <v>16654.427</v>
      </c>
      <c r="V32" s="1">
        <v>19341.384999999998</v>
      </c>
      <c r="W32" s="1">
        <v>19010.741000000002</v>
      </c>
      <c r="X32" s="1">
        <v>27856.145</v>
      </c>
      <c r="Y32" s="1">
        <v>19762.275000000001</v>
      </c>
      <c r="Z32" s="1">
        <v>20176.098000000002</v>
      </c>
      <c r="AA32" s="1">
        <v>17570.858</v>
      </c>
      <c r="AB32" s="1">
        <v>23129.006000000001</v>
      </c>
      <c r="AC32" s="1">
        <v>24028.563999999998</v>
      </c>
      <c r="AE32" s="1">
        <v>31127.163</v>
      </c>
    </row>
    <row r="33" spans="1:31">
      <c r="A33" s="1" t="s">
        <v>49</v>
      </c>
      <c r="F33" s="41">
        <v>5791.0659999999998</v>
      </c>
      <c r="I33" s="1">
        <v>5153.1229999999996</v>
      </c>
      <c r="K33" s="1">
        <v>6248.0304699999988</v>
      </c>
      <c r="L33" s="1">
        <v>8192.2710000000006</v>
      </c>
      <c r="M33" s="1">
        <v>10574.003000000001</v>
      </c>
      <c r="N33" s="1">
        <v>14002.976000000001</v>
      </c>
      <c r="O33" s="1">
        <v>12509.261</v>
      </c>
      <c r="P33" s="1">
        <v>11205.584999999999</v>
      </c>
      <c r="Q33" s="1">
        <v>14691.478999999999</v>
      </c>
      <c r="R33" s="1">
        <v>15746.035</v>
      </c>
      <c r="S33" s="1">
        <v>13429.754000000001</v>
      </c>
      <c r="T33" s="1">
        <v>13006.047</v>
      </c>
      <c r="U33" s="1">
        <v>13573.395</v>
      </c>
      <c r="V33" s="1">
        <v>15970.666999999999</v>
      </c>
      <c r="W33" s="1">
        <v>18867.490000000002</v>
      </c>
      <c r="X33" s="1">
        <v>20201.932000000001</v>
      </c>
      <c r="Y33" s="1">
        <v>18459.057000000001</v>
      </c>
      <c r="Z33" s="1">
        <v>19438.666000000001</v>
      </c>
      <c r="AA33" s="1">
        <v>18312.963</v>
      </c>
      <c r="AB33" s="1">
        <v>19178.202000000001</v>
      </c>
      <c r="AC33" s="1">
        <v>19674.677</v>
      </c>
      <c r="AE33" s="1">
        <v>19696.844000000001</v>
      </c>
    </row>
    <row r="34" spans="1:31">
      <c r="A34" s="1" t="s">
        <v>50</v>
      </c>
      <c r="F34" s="41">
        <v>7478.5209999999997</v>
      </c>
      <c r="I34" s="1">
        <v>8849.9449999999997</v>
      </c>
      <c r="K34" s="1">
        <v>14774</v>
      </c>
      <c r="L34" s="1">
        <v>15364</v>
      </c>
      <c r="M34" s="1">
        <v>15857</v>
      </c>
      <c r="N34" s="1">
        <v>17012.194</v>
      </c>
      <c r="O34" s="1">
        <v>18260</v>
      </c>
      <c r="P34" s="1">
        <v>10750</v>
      </c>
      <c r="Q34" s="1">
        <v>12052</v>
      </c>
      <c r="R34" s="1">
        <v>13973</v>
      </c>
      <c r="S34" s="1">
        <v>9463</v>
      </c>
      <c r="T34" s="1">
        <v>10218</v>
      </c>
      <c r="U34" s="1">
        <v>34481.96</v>
      </c>
      <c r="V34" s="1">
        <v>41438.398000000001</v>
      </c>
      <c r="W34" s="1">
        <v>42943.968000000001</v>
      </c>
      <c r="X34" s="1">
        <v>40216.688999999998</v>
      </c>
      <c r="Y34" s="1">
        <v>40646.904000000002</v>
      </c>
      <c r="Z34" s="1">
        <v>42368.771000000001</v>
      </c>
      <c r="AA34" s="1">
        <v>42043.11</v>
      </c>
      <c r="AB34" s="1">
        <v>39089.724999999999</v>
      </c>
      <c r="AC34" s="1">
        <v>37248.148999999998</v>
      </c>
      <c r="AE34" s="1">
        <v>41099.879000000001</v>
      </c>
    </row>
    <row r="35" spans="1:31">
      <c r="A35" s="1" t="s">
        <v>51</v>
      </c>
      <c r="F35" s="41">
        <v>15444.692999999999</v>
      </c>
      <c r="I35" s="1">
        <v>21459.377</v>
      </c>
      <c r="K35" s="1">
        <v>27787.719239999995</v>
      </c>
      <c r="L35" s="1">
        <v>35215.296999999999</v>
      </c>
      <c r="M35" s="1">
        <v>34242.754000000001</v>
      </c>
      <c r="N35" s="1">
        <v>37631.178</v>
      </c>
      <c r="O35" s="1">
        <v>39927.438999999998</v>
      </c>
      <c r="P35" s="1">
        <v>41083.362999999998</v>
      </c>
      <c r="Q35" s="1">
        <v>45757.03</v>
      </c>
      <c r="R35" s="1">
        <v>50758.66</v>
      </c>
      <c r="S35" s="1">
        <v>50556.127</v>
      </c>
      <c r="T35" s="1">
        <v>54946.326000000001</v>
      </c>
      <c r="U35" s="1">
        <v>64940.800000000003</v>
      </c>
      <c r="V35" s="1">
        <v>70710.433999999994</v>
      </c>
      <c r="W35" s="1">
        <v>79502.966</v>
      </c>
      <c r="X35" s="1">
        <v>83177.365999999995</v>
      </c>
      <c r="Y35" s="1">
        <v>62620.766000000003</v>
      </c>
      <c r="Z35" s="1">
        <v>70507.501999999993</v>
      </c>
      <c r="AA35" s="1">
        <v>72440.960000000006</v>
      </c>
      <c r="AB35" s="1">
        <v>94579.712</v>
      </c>
      <c r="AC35" s="1">
        <v>96920.971999999994</v>
      </c>
      <c r="AE35" s="1">
        <v>98888.474000000002</v>
      </c>
    </row>
    <row r="36" spans="1:31">
      <c r="A36" s="1" t="s">
        <v>52</v>
      </c>
      <c r="F36" s="41">
        <v>52234.101999999999</v>
      </c>
      <c r="I36" s="1">
        <v>66960.494999999995</v>
      </c>
      <c r="K36" s="1">
        <v>85613.751099999994</v>
      </c>
      <c r="L36" s="1">
        <v>92844.197</v>
      </c>
      <c r="M36" s="1">
        <v>95058.383000000002</v>
      </c>
      <c r="N36" s="1">
        <v>95202.441000000006</v>
      </c>
      <c r="O36" s="1">
        <v>95892.221999999994</v>
      </c>
      <c r="P36" s="1">
        <v>81172.687000000005</v>
      </c>
      <c r="Q36" s="1">
        <v>94551.851999999999</v>
      </c>
      <c r="R36" s="1">
        <v>97611.861999999994</v>
      </c>
      <c r="S36" s="1">
        <v>90434.775999999998</v>
      </c>
      <c r="T36" s="1">
        <v>115564.58900000001</v>
      </c>
      <c r="U36" s="1">
        <v>135894.114</v>
      </c>
      <c r="V36" s="1">
        <v>140534.61199999999</v>
      </c>
      <c r="W36" s="1">
        <v>148233.97700000001</v>
      </c>
      <c r="X36" s="1">
        <v>154766.842</v>
      </c>
      <c r="Y36" s="1">
        <v>149220.57699999999</v>
      </c>
      <c r="Z36" s="1">
        <v>157444.568</v>
      </c>
      <c r="AA36" s="1">
        <v>139119.261</v>
      </c>
      <c r="AB36" s="1">
        <v>180834.7</v>
      </c>
      <c r="AC36" s="1">
        <v>178190.74900000001</v>
      </c>
      <c r="AE36" s="1">
        <v>182681.092</v>
      </c>
    </row>
    <row r="37" spans="1:31">
      <c r="A37" s="1" t="s">
        <v>53</v>
      </c>
      <c r="F37" s="41">
        <v>17650.214</v>
      </c>
      <c r="I37" s="1">
        <v>15126.347</v>
      </c>
      <c r="K37" s="1">
        <v>18419.662</v>
      </c>
      <c r="L37" s="1">
        <v>17873.337</v>
      </c>
      <c r="M37" s="1">
        <v>20128.763999999999</v>
      </c>
      <c r="N37" s="1">
        <v>25120.899000000001</v>
      </c>
      <c r="O37" s="1">
        <v>25388.28</v>
      </c>
      <c r="P37" s="1">
        <v>28320.039000000001</v>
      </c>
      <c r="Q37" s="1">
        <v>27259.448</v>
      </c>
      <c r="R37" s="1">
        <v>29512.602999999999</v>
      </c>
      <c r="S37" s="1">
        <v>33230.601000000002</v>
      </c>
      <c r="T37" s="1">
        <v>37355.781000000003</v>
      </c>
      <c r="U37" s="1">
        <v>37660.559999999998</v>
      </c>
      <c r="V37" s="1">
        <v>40639.125999999997</v>
      </c>
      <c r="W37" s="1">
        <v>43329.324000000001</v>
      </c>
      <c r="X37" s="1">
        <v>35837.699999999997</v>
      </c>
      <c r="Y37" s="1">
        <v>46976.705000000002</v>
      </c>
      <c r="Z37" s="1">
        <v>49971.008000000002</v>
      </c>
      <c r="AA37" s="1">
        <v>54410.951000000001</v>
      </c>
      <c r="AB37" s="1">
        <v>48629.504000000001</v>
      </c>
      <c r="AC37" s="1">
        <v>53991.707999999999</v>
      </c>
      <c r="AE37" s="1">
        <v>59279.874000000003</v>
      </c>
    </row>
    <row r="38" spans="1:31">
      <c r="A38" s="1" t="s">
        <v>54</v>
      </c>
      <c r="F38" s="41">
        <v>60530.813999999998</v>
      </c>
      <c r="I38" s="1">
        <v>77690.801999999996</v>
      </c>
      <c r="K38" s="1">
        <v>91635.985860000015</v>
      </c>
      <c r="L38" s="1">
        <v>110218.59</v>
      </c>
      <c r="M38" s="1">
        <v>124988.31</v>
      </c>
      <c r="N38" s="1">
        <v>121789.31</v>
      </c>
      <c r="O38" s="1">
        <v>125730.898</v>
      </c>
      <c r="P38" s="1">
        <v>131929.44099999999</v>
      </c>
      <c r="Q38" s="1">
        <v>134084.52299999999</v>
      </c>
      <c r="R38" s="1">
        <v>144093.649</v>
      </c>
      <c r="S38" s="1">
        <v>131845.538</v>
      </c>
      <c r="T38" s="1">
        <v>148090.476</v>
      </c>
      <c r="U38" s="1">
        <v>165393.05799999999</v>
      </c>
      <c r="V38" s="1">
        <v>193103.266</v>
      </c>
      <c r="W38" s="1">
        <v>194315.47899999999</v>
      </c>
      <c r="X38" s="1">
        <v>188618.52600000001</v>
      </c>
      <c r="Y38" s="1">
        <v>140167.12700000001</v>
      </c>
      <c r="Z38" s="1">
        <v>160472.66500000001</v>
      </c>
      <c r="AA38" s="1">
        <v>166723.99299999999</v>
      </c>
      <c r="AB38" s="1">
        <v>229555.13</v>
      </c>
      <c r="AC38" s="1">
        <v>266332.94</v>
      </c>
      <c r="AE38" s="1">
        <v>282111.04599999997</v>
      </c>
    </row>
    <row r="39" spans="1:31">
      <c r="A39" s="23" t="s">
        <v>55</v>
      </c>
      <c r="B39" s="23"/>
      <c r="C39" s="23"/>
      <c r="D39" s="23"/>
      <c r="E39" s="23"/>
      <c r="F39" s="44">
        <v>9873.8320000000003</v>
      </c>
      <c r="G39" s="23"/>
      <c r="H39" s="23"/>
      <c r="I39" s="23">
        <v>11381.898999999999</v>
      </c>
      <c r="J39" s="23"/>
      <c r="K39" s="23">
        <v>11503.936</v>
      </c>
      <c r="L39" s="23">
        <v>12932.36</v>
      </c>
      <c r="M39" s="23">
        <v>13182.391</v>
      </c>
      <c r="N39" s="23">
        <v>17156.691999999999</v>
      </c>
      <c r="O39" s="23">
        <v>18035.518</v>
      </c>
      <c r="P39" s="23">
        <v>18477.401000000002</v>
      </c>
      <c r="Q39" s="23">
        <v>19485.679</v>
      </c>
      <c r="R39" s="23">
        <v>22511.168000000001</v>
      </c>
      <c r="S39" s="23">
        <v>22864.563999999998</v>
      </c>
      <c r="T39" s="23">
        <v>28198.68</v>
      </c>
      <c r="U39" s="23">
        <v>30184.987000000001</v>
      </c>
      <c r="V39" s="23">
        <v>33430.794999999998</v>
      </c>
      <c r="W39" s="23">
        <v>36503.845999999998</v>
      </c>
      <c r="X39" s="23">
        <v>41276.716999999997</v>
      </c>
      <c r="Y39" s="23">
        <v>40759.705000000002</v>
      </c>
      <c r="Z39" s="23">
        <v>45010.120999999999</v>
      </c>
      <c r="AA39" s="23">
        <v>47068.135000000002</v>
      </c>
      <c r="AB39" s="23">
        <v>48855.989000000001</v>
      </c>
      <c r="AC39" s="23">
        <v>50482.544000000002</v>
      </c>
      <c r="AD39" s="23"/>
      <c r="AE39" s="23">
        <v>48405.714</v>
      </c>
    </row>
    <row r="40" spans="1:31">
      <c r="A40" s="7" t="s">
        <v>56</v>
      </c>
      <c r="B40" s="47">
        <f>SUM(B42:B53)</f>
        <v>0</v>
      </c>
      <c r="C40" s="47">
        <f t="shared" ref="C40:AC40" si="12">SUM(C42:C53)</f>
        <v>0</v>
      </c>
      <c r="D40" s="47">
        <f t="shared" si="12"/>
        <v>0</v>
      </c>
      <c r="E40" s="47">
        <f t="shared" si="12"/>
        <v>0</v>
      </c>
      <c r="F40" s="47">
        <f t="shared" si="12"/>
        <v>578195.77400000009</v>
      </c>
      <c r="G40" s="47">
        <f t="shared" si="12"/>
        <v>0</v>
      </c>
      <c r="H40" s="47">
        <f t="shared" si="12"/>
        <v>0</v>
      </c>
      <c r="I40" s="47">
        <f t="shared" si="12"/>
        <v>678213.54300000018</v>
      </c>
      <c r="J40" s="47">
        <f t="shared" si="12"/>
        <v>0</v>
      </c>
      <c r="K40" s="47">
        <f t="shared" si="12"/>
        <v>819865.7980200001</v>
      </c>
      <c r="L40" s="47">
        <f t="shared" si="12"/>
        <v>957602.93099999987</v>
      </c>
      <c r="M40" s="47">
        <f t="shared" si="12"/>
        <v>1012364.9090000001</v>
      </c>
      <c r="N40" s="47">
        <f t="shared" si="12"/>
        <v>1083467.389</v>
      </c>
      <c r="O40" s="47">
        <f t="shared" si="12"/>
        <v>1010727.9969999999</v>
      </c>
      <c r="P40" s="47">
        <f t="shared" si="12"/>
        <v>1159221.7560000001</v>
      </c>
      <c r="Q40" s="47">
        <f t="shared" si="12"/>
        <v>1142548.4829999998</v>
      </c>
      <c r="R40" s="47">
        <f t="shared" si="12"/>
        <v>1204880.7749999997</v>
      </c>
      <c r="S40" s="47">
        <f t="shared" si="12"/>
        <v>1246270.3419999999</v>
      </c>
      <c r="T40" s="47">
        <f t="shared" si="12"/>
        <v>1413970.449</v>
      </c>
      <c r="U40" s="47">
        <f t="shared" si="12"/>
        <v>1537271.112</v>
      </c>
      <c r="V40" s="47">
        <f t="shared" si="12"/>
        <v>1705094.8399999999</v>
      </c>
      <c r="W40" s="47">
        <f t="shared" si="12"/>
        <v>1873102.8149999999</v>
      </c>
      <c r="X40" s="47">
        <f t="shared" si="12"/>
        <v>1977174.0249999997</v>
      </c>
      <c r="Y40" s="47">
        <f t="shared" si="12"/>
        <v>1544800.5719999999</v>
      </c>
      <c r="Z40" s="47">
        <f t="shared" si="12"/>
        <v>1609155.4760000003</v>
      </c>
      <c r="AA40" s="47">
        <f t="shared" si="12"/>
        <v>1664729.3669999999</v>
      </c>
      <c r="AB40" s="47">
        <f t="shared" si="12"/>
        <v>2197025.1190000004</v>
      </c>
      <c r="AC40" s="47">
        <f t="shared" si="12"/>
        <v>2261571.449</v>
      </c>
      <c r="AD40" s="47">
        <f t="shared" ref="AD40:AE40" si="13">SUM(AD42:AD53)</f>
        <v>0</v>
      </c>
      <c r="AE40" s="47">
        <f t="shared" si="13"/>
        <v>2311048.27</v>
      </c>
    </row>
    <row r="41" spans="1:31">
      <c r="A41" s="7" t="s">
        <v>97</v>
      </c>
      <c r="X41" s="1">
        <v>0</v>
      </c>
      <c r="Y41" s="1">
        <v>0</v>
      </c>
      <c r="AB41" s="1">
        <v>0</v>
      </c>
      <c r="AC41" s="1">
        <v>0</v>
      </c>
    </row>
    <row r="42" spans="1:31">
      <c r="A42" s="1" t="s">
        <v>57</v>
      </c>
      <c r="F42" s="41">
        <v>181533.625</v>
      </c>
      <c r="I42" s="1">
        <v>220466.217</v>
      </c>
      <c r="K42" s="1">
        <v>263691.41899999999</v>
      </c>
      <c r="L42" s="1">
        <v>339043.86499999999</v>
      </c>
      <c r="M42" s="1">
        <v>357776.571</v>
      </c>
      <c r="N42" s="1">
        <v>369778.43900000001</v>
      </c>
      <c r="O42" s="1">
        <v>285232.69099999999</v>
      </c>
      <c r="P42" s="1">
        <v>383497.848</v>
      </c>
      <c r="Q42" s="1">
        <v>328717.71799999999</v>
      </c>
      <c r="R42" s="1">
        <v>335227.42499999999</v>
      </c>
      <c r="S42" s="1">
        <v>354337.41600000003</v>
      </c>
      <c r="T42" s="1">
        <v>398443.54399999999</v>
      </c>
      <c r="U42" s="1">
        <v>435243.32299999997</v>
      </c>
      <c r="V42" s="1">
        <v>471207.79599999997</v>
      </c>
      <c r="W42" s="1">
        <v>530431.26</v>
      </c>
      <c r="X42" s="1">
        <v>549510.21699999995</v>
      </c>
      <c r="Y42" s="1">
        <v>355292.91800000001</v>
      </c>
      <c r="Z42" s="1">
        <v>364901.82699999999</v>
      </c>
      <c r="AA42" s="1">
        <v>395823.72200000001</v>
      </c>
      <c r="AB42" s="1">
        <v>631038.03500000003</v>
      </c>
      <c r="AC42" s="1">
        <v>656749.36300000001</v>
      </c>
      <c r="AE42" s="1">
        <v>648155.97699999996</v>
      </c>
    </row>
    <row r="43" spans="1:31">
      <c r="A43" s="1" t="s">
        <v>58</v>
      </c>
      <c r="F43" s="41">
        <v>24353.472000000002</v>
      </c>
      <c r="I43" s="1">
        <v>26436.383999999998</v>
      </c>
      <c r="K43" s="1">
        <v>40326.834000000003</v>
      </c>
      <c r="L43" s="1">
        <v>30331.116000000002</v>
      </c>
      <c r="M43" s="1">
        <v>32805.546999999999</v>
      </c>
      <c r="N43" s="1">
        <v>38775.629999999997</v>
      </c>
      <c r="O43" s="1">
        <v>39739.987999999998</v>
      </c>
      <c r="P43" s="1">
        <v>33942.379000000001</v>
      </c>
      <c r="Q43" s="1">
        <v>42483.552000000003</v>
      </c>
      <c r="R43" s="1">
        <v>43700.487999999998</v>
      </c>
      <c r="S43" s="1">
        <v>45465.468999999997</v>
      </c>
      <c r="T43" s="1">
        <v>37599.345000000001</v>
      </c>
      <c r="U43" s="1">
        <v>55823.375999999997</v>
      </c>
      <c r="V43" s="1">
        <v>74116.963000000003</v>
      </c>
      <c r="W43" s="1">
        <v>71906.731</v>
      </c>
      <c r="X43" s="1">
        <v>114013.679</v>
      </c>
      <c r="Y43" s="1">
        <v>114579.671</v>
      </c>
      <c r="Z43" s="1">
        <v>118451.728</v>
      </c>
      <c r="AA43" s="1">
        <v>116278.111</v>
      </c>
      <c r="AB43" s="1">
        <v>94761.023000000001</v>
      </c>
      <c r="AC43" s="1">
        <v>104349.427</v>
      </c>
      <c r="AE43" s="1">
        <v>109908.584</v>
      </c>
    </row>
    <row r="44" spans="1:31">
      <c r="A44" s="1" t="s">
        <v>59</v>
      </c>
      <c r="F44" s="41">
        <v>37088.69</v>
      </c>
      <c r="I44" s="1">
        <v>45200.260999999999</v>
      </c>
      <c r="K44" s="1">
        <v>49088.75</v>
      </c>
      <c r="L44" s="1">
        <v>66818.947</v>
      </c>
      <c r="M44" s="1">
        <v>71090.994999999995</v>
      </c>
      <c r="N44" s="1">
        <v>84185.703999999998</v>
      </c>
      <c r="O44" s="1">
        <v>71751.792000000001</v>
      </c>
      <c r="P44" s="1">
        <v>81946.206999999995</v>
      </c>
      <c r="Q44" s="1">
        <v>84401.907000000007</v>
      </c>
      <c r="R44" s="1">
        <v>89996.805999999997</v>
      </c>
      <c r="S44" s="1">
        <v>101559.314</v>
      </c>
      <c r="T44" s="1">
        <v>110602.299</v>
      </c>
      <c r="U44" s="1">
        <v>121024.743</v>
      </c>
      <c r="V44" s="1">
        <v>140918.83600000001</v>
      </c>
      <c r="W44" s="1">
        <v>152696.51199999999</v>
      </c>
      <c r="X44" s="1">
        <v>166158.44099999999</v>
      </c>
      <c r="Y44" s="1">
        <v>160486.535</v>
      </c>
      <c r="Z44" s="1">
        <v>172150.486</v>
      </c>
      <c r="AA44" s="1">
        <v>182961.62100000001</v>
      </c>
      <c r="AB44" s="1">
        <v>204415.92199999999</v>
      </c>
      <c r="AC44" s="1">
        <v>213617.40100000001</v>
      </c>
      <c r="AE44" s="1">
        <v>214716.81899999999</v>
      </c>
    </row>
    <row r="45" spans="1:31">
      <c r="A45" s="1" t="s">
        <v>60</v>
      </c>
      <c r="F45" s="41">
        <v>33181.629000000001</v>
      </c>
      <c r="I45" s="1">
        <v>40095.739000000001</v>
      </c>
      <c r="K45" s="1">
        <v>42958.65110000001</v>
      </c>
      <c r="L45" s="1">
        <v>51459.798999999999</v>
      </c>
      <c r="M45" s="1">
        <v>57106.252</v>
      </c>
      <c r="N45" s="1">
        <v>60326.86</v>
      </c>
      <c r="O45" s="1">
        <v>60374.457999999999</v>
      </c>
      <c r="P45" s="1">
        <v>61724.427000000003</v>
      </c>
      <c r="Q45" s="1">
        <v>67115.596000000005</v>
      </c>
      <c r="R45" s="1">
        <v>71388.231</v>
      </c>
      <c r="S45" s="1">
        <v>77793.676000000007</v>
      </c>
      <c r="T45" s="1">
        <v>83157.402000000002</v>
      </c>
      <c r="U45" s="1">
        <v>101295.929</v>
      </c>
      <c r="V45" s="1">
        <v>108381.37699999999</v>
      </c>
      <c r="W45" s="1">
        <v>113313.701</v>
      </c>
      <c r="X45" s="1">
        <v>124492.607</v>
      </c>
      <c r="Y45" s="1">
        <v>97140.115999999995</v>
      </c>
      <c r="Z45" s="1">
        <v>100098.171</v>
      </c>
      <c r="AA45" s="1">
        <v>106200.298</v>
      </c>
      <c r="AB45" s="1">
        <v>136393.86499999999</v>
      </c>
      <c r="AC45" s="1">
        <v>134443.451</v>
      </c>
      <c r="AE45" s="1">
        <v>141134.43299999999</v>
      </c>
    </row>
    <row r="46" spans="1:31">
      <c r="A46" s="1" t="s">
        <v>61</v>
      </c>
      <c r="F46" s="41">
        <v>79761.52</v>
      </c>
      <c r="I46" s="1">
        <v>89085.922000000006</v>
      </c>
      <c r="K46" s="1">
        <v>99306.957069999989</v>
      </c>
      <c r="L46" s="1">
        <v>124155.09299999999</v>
      </c>
      <c r="M46" s="1">
        <v>129252.959</v>
      </c>
      <c r="N46" s="1">
        <v>159984.24799999999</v>
      </c>
      <c r="O46" s="1">
        <v>154061.372</v>
      </c>
      <c r="P46" s="1">
        <v>183341.291</v>
      </c>
      <c r="Q46" s="1">
        <v>177169.19699999999</v>
      </c>
      <c r="R46" s="1">
        <v>185624.23</v>
      </c>
      <c r="S46" s="1">
        <v>190676.242</v>
      </c>
      <c r="T46" s="1">
        <v>201764.486</v>
      </c>
      <c r="U46" s="1">
        <v>209718.86499999999</v>
      </c>
      <c r="V46" s="1">
        <v>213063.55799999999</v>
      </c>
      <c r="W46" s="1">
        <v>212202.93799999999</v>
      </c>
      <c r="X46" s="1">
        <v>219383.87700000001</v>
      </c>
      <c r="Y46" s="1">
        <v>209571.24299999999</v>
      </c>
      <c r="Z46" s="1">
        <v>210371.13699999999</v>
      </c>
      <c r="AA46" s="1">
        <v>225776.43700000001</v>
      </c>
      <c r="AB46" s="1">
        <v>250335.9</v>
      </c>
      <c r="AC46" s="1">
        <v>258627.902</v>
      </c>
      <c r="AE46" s="1">
        <v>270066.47899999999</v>
      </c>
    </row>
    <row r="47" spans="1:31">
      <c r="A47" s="1" t="s">
        <v>62</v>
      </c>
      <c r="F47" s="41">
        <v>45631.381999999998</v>
      </c>
      <c r="I47" s="1">
        <v>65497.317999999999</v>
      </c>
      <c r="K47" s="1">
        <v>75626.096340000004</v>
      </c>
      <c r="L47" s="1">
        <v>68569.452999999994</v>
      </c>
      <c r="M47" s="1">
        <v>71030.149000000005</v>
      </c>
      <c r="N47" s="1">
        <v>72284.706000000006</v>
      </c>
      <c r="O47" s="1">
        <v>71637.895999999993</v>
      </c>
      <c r="P47" s="1">
        <v>77295.259000000005</v>
      </c>
      <c r="Q47" s="1">
        <v>79156.346999999994</v>
      </c>
      <c r="R47" s="1">
        <v>85205.98</v>
      </c>
      <c r="S47" s="1">
        <v>86519.466</v>
      </c>
      <c r="T47" s="1">
        <v>108775.145</v>
      </c>
      <c r="U47" s="1">
        <v>113916.821</v>
      </c>
      <c r="V47" s="1">
        <v>127405.54700000001</v>
      </c>
      <c r="W47" s="1">
        <v>129580</v>
      </c>
      <c r="X47" s="1">
        <v>123497.724</v>
      </c>
      <c r="Y47" s="1">
        <v>103267.031</v>
      </c>
      <c r="Z47" s="1">
        <v>101207.91099999999</v>
      </c>
      <c r="AA47" s="1">
        <v>104792.66499999999</v>
      </c>
      <c r="AB47" s="1">
        <v>131705.139</v>
      </c>
      <c r="AC47" s="1">
        <v>129291.81600000001</v>
      </c>
      <c r="AE47" s="1">
        <v>141146.71400000001</v>
      </c>
    </row>
    <row r="48" spans="1:31">
      <c r="A48" s="1" t="s">
        <v>63</v>
      </c>
      <c r="F48" s="41">
        <v>29013.58</v>
      </c>
      <c r="I48" s="1">
        <v>15116.838</v>
      </c>
      <c r="K48" s="1">
        <v>44819.987999999998</v>
      </c>
      <c r="L48" s="1">
        <v>21615.327000000001</v>
      </c>
      <c r="M48" s="1">
        <v>26642.15</v>
      </c>
      <c r="N48" s="1">
        <v>23447.495999999999</v>
      </c>
      <c r="O48" s="1">
        <v>24842.941999999999</v>
      </c>
      <c r="P48" s="1">
        <v>27197.114000000001</v>
      </c>
      <c r="Q48" s="1">
        <v>31201.553</v>
      </c>
      <c r="R48" s="1">
        <v>34694.508999999998</v>
      </c>
      <c r="S48" s="1">
        <v>35021.913</v>
      </c>
      <c r="T48" s="1">
        <v>41804.457999999999</v>
      </c>
      <c r="U48" s="1">
        <v>47402.642</v>
      </c>
      <c r="V48" s="1">
        <v>51196.695</v>
      </c>
      <c r="W48" s="1">
        <v>94174.301000000007</v>
      </c>
      <c r="X48" s="1">
        <v>107865.099</v>
      </c>
      <c r="Y48" s="1">
        <v>103446.371</v>
      </c>
      <c r="Z48" s="1">
        <v>129212.107</v>
      </c>
      <c r="AA48" s="1">
        <v>111731.611</v>
      </c>
      <c r="AB48" s="1">
        <v>133450.77900000001</v>
      </c>
      <c r="AC48" s="1">
        <v>132154.01300000001</v>
      </c>
      <c r="AE48" s="1">
        <v>131342.951</v>
      </c>
    </row>
    <row r="49" spans="1:31">
      <c r="A49" s="1" t="s">
        <v>64</v>
      </c>
      <c r="F49" s="41">
        <v>14569.786</v>
      </c>
      <c r="I49" s="1">
        <v>16877.287</v>
      </c>
      <c r="K49" s="1">
        <v>23842.672999999999</v>
      </c>
      <c r="L49" s="1">
        <v>28195.679</v>
      </c>
      <c r="M49" s="1">
        <v>30012.008000000002</v>
      </c>
      <c r="N49" s="1">
        <v>31727.413</v>
      </c>
      <c r="O49" s="1">
        <v>36124.353000000003</v>
      </c>
      <c r="P49" s="1">
        <v>38165.722000000002</v>
      </c>
      <c r="Q49" s="1">
        <v>38761.021000000001</v>
      </c>
      <c r="R49" s="1">
        <v>41208.607000000004</v>
      </c>
      <c r="S49" s="1">
        <v>42458.815999999999</v>
      </c>
      <c r="T49" s="1">
        <v>45411.887999999999</v>
      </c>
      <c r="U49" s="1">
        <v>46927.637999999999</v>
      </c>
      <c r="V49" s="1">
        <v>57725</v>
      </c>
      <c r="W49" s="1">
        <v>67459.63</v>
      </c>
      <c r="X49" s="1">
        <v>64652.998</v>
      </c>
      <c r="Y49" s="1">
        <v>54051.423999999999</v>
      </c>
      <c r="Z49" s="1">
        <v>58209.076000000001</v>
      </c>
      <c r="AA49" s="1">
        <v>62986.199000000001</v>
      </c>
      <c r="AB49" s="1">
        <v>80411.948000000004</v>
      </c>
      <c r="AC49" s="1">
        <v>84329.846999999994</v>
      </c>
      <c r="AE49" s="1">
        <v>97182.066000000006</v>
      </c>
    </row>
    <row r="50" spans="1:31">
      <c r="A50" s="1" t="s">
        <v>65</v>
      </c>
      <c r="F50" s="41">
        <v>5222.1930000000002</v>
      </c>
      <c r="I50" s="1">
        <v>5429.2</v>
      </c>
      <c r="K50" s="1">
        <v>7634.6005900000036</v>
      </c>
      <c r="L50" s="1">
        <v>9744.2350000000006</v>
      </c>
      <c r="M50" s="1">
        <v>6796.3339999999998</v>
      </c>
      <c r="N50" s="1">
        <v>7818.9849999999997</v>
      </c>
      <c r="O50" s="1">
        <v>8100.6589999999997</v>
      </c>
      <c r="P50" s="1">
        <v>8904.9750000000004</v>
      </c>
      <c r="Q50" s="1">
        <v>14133.938</v>
      </c>
      <c r="R50" s="1">
        <v>15993.13</v>
      </c>
      <c r="S50" s="1">
        <v>12417.759</v>
      </c>
      <c r="T50" s="1">
        <v>7993.1030000000001</v>
      </c>
      <c r="U50" s="1">
        <v>15195.397000000001</v>
      </c>
      <c r="V50" s="1">
        <v>19023.284</v>
      </c>
      <c r="W50" s="1">
        <v>20824.949000000001</v>
      </c>
      <c r="X50" s="1">
        <v>20343.36</v>
      </c>
      <c r="Y50" s="1">
        <v>21768.449000000001</v>
      </c>
      <c r="Z50" s="1">
        <v>23443.304</v>
      </c>
      <c r="AA50" s="1">
        <v>24585.848999999998</v>
      </c>
      <c r="AB50" s="1">
        <v>27121.874</v>
      </c>
      <c r="AC50" s="1">
        <v>23758.911</v>
      </c>
      <c r="AE50" s="1">
        <v>25253.954000000002</v>
      </c>
    </row>
    <row r="51" spans="1:31">
      <c r="A51" s="1" t="s">
        <v>66</v>
      </c>
      <c r="F51" s="41">
        <v>75521.194000000003</v>
      </c>
      <c r="I51" s="1">
        <v>91421.032000000007</v>
      </c>
      <c r="K51" s="1">
        <v>98758.680999999997</v>
      </c>
      <c r="L51" s="1">
        <v>126371.174</v>
      </c>
      <c r="M51" s="1">
        <v>131705.226</v>
      </c>
      <c r="N51" s="1">
        <v>130480.72199999999</v>
      </c>
      <c r="O51" s="1">
        <v>146921.00599999999</v>
      </c>
      <c r="P51" s="1">
        <v>147190.86600000001</v>
      </c>
      <c r="Q51" s="1">
        <v>154185.46900000001</v>
      </c>
      <c r="R51" s="1">
        <v>168143.73199999999</v>
      </c>
      <c r="S51" s="1">
        <v>169635.84599999999</v>
      </c>
      <c r="T51" s="1">
        <v>232951.67</v>
      </c>
      <c r="U51" s="1">
        <v>232902.43700000001</v>
      </c>
      <c r="V51" s="1">
        <v>252848.14499999999</v>
      </c>
      <c r="W51" s="1">
        <v>277232.29800000001</v>
      </c>
      <c r="X51" s="1">
        <v>289240.592</v>
      </c>
      <c r="Y51" s="1">
        <v>278554.50699999998</v>
      </c>
      <c r="Z51" s="1">
        <v>283160.03200000001</v>
      </c>
      <c r="AA51" s="1">
        <v>278919.353</v>
      </c>
      <c r="AB51" s="1">
        <v>283549.53499999997</v>
      </c>
      <c r="AC51" s="1">
        <v>299791.359</v>
      </c>
      <c r="AE51" s="1">
        <v>316785.12</v>
      </c>
    </row>
    <row r="52" spans="1:31">
      <c r="A52" s="1" t="s">
        <v>67</v>
      </c>
      <c r="F52" s="41">
        <v>132.01499999999999</v>
      </c>
      <c r="I52" s="1">
        <v>337.40300000000002</v>
      </c>
      <c r="K52" s="1">
        <v>3968.5779199999979</v>
      </c>
      <c r="L52" s="1">
        <v>4179.7370000000001</v>
      </c>
      <c r="M52" s="1">
        <v>4733.1000000000004</v>
      </c>
      <c r="N52" s="1">
        <v>3494.7510000000002</v>
      </c>
      <c r="O52" s="1">
        <v>6454.2539999999999</v>
      </c>
      <c r="P52" s="1">
        <v>6549.2169999999996</v>
      </c>
      <c r="Q52" s="1">
        <v>5844.8770000000004</v>
      </c>
      <c r="R52" s="1">
        <v>6835.0479999999998</v>
      </c>
      <c r="S52" s="1">
        <v>8155.8549999999996</v>
      </c>
      <c r="T52" s="1">
        <v>9619.1489999999994</v>
      </c>
      <c r="U52" s="1">
        <v>11724.165999999999</v>
      </c>
      <c r="V52" s="1">
        <v>10756.105</v>
      </c>
      <c r="W52" s="1">
        <v>12039.374</v>
      </c>
      <c r="X52" s="1">
        <v>11192.058000000001</v>
      </c>
      <c r="Y52" s="1">
        <v>14430.842000000001</v>
      </c>
      <c r="Z52" s="1">
        <v>14035.245999999999</v>
      </c>
      <c r="AA52" s="1">
        <v>15828.058000000001</v>
      </c>
      <c r="AB52" s="1">
        <v>16699.849999999999</v>
      </c>
      <c r="AC52" s="1">
        <v>16642.471000000001</v>
      </c>
      <c r="AE52" s="1">
        <v>18836.043000000001</v>
      </c>
    </row>
    <row r="53" spans="1:31">
      <c r="A53" s="23" t="s">
        <v>68</v>
      </c>
      <c r="B53" s="23"/>
      <c r="C53" s="23"/>
      <c r="D53" s="23"/>
      <c r="E53" s="23"/>
      <c r="F53" s="44">
        <v>52186.688000000002</v>
      </c>
      <c r="G53" s="23"/>
      <c r="H53" s="23"/>
      <c r="I53" s="23">
        <v>62249.942000000003</v>
      </c>
      <c r="J53" s="23"/>
      <c r="K53" s="23">
        <v>69842.570000000007</v>
      </c>
      <c r="L53" s="23">
        <v>87118.505999999994</v>
      </c>
      <c r="M53" s="23">
        <v>93413.618000000002</v>
      </c>
      <c r="N53" s="23">
        <v>101162.435</v>
      </c>
      <c r="O53" s="23">
        <v>105486.586</v>
      </c>
      <c r="P53" s="23">
        <v>109466.451</v>
      </c>
      <c r="Q53" s="23">
        <v>119377.308</v>
      </c>
      <c r="R53" s="23">
        <v>126862.58900000001</v>
      </c>
      <c r="S53" s="23">
        <v>122228.57</v>
      </c>
      <c r="T53" s="23">
        <v>135847.96</v>
      </c>
      <c r="U53" s="23">
        <v>146095.77499999999</v>
      </c>
      <c r="V53" s="23">
        <v>178451.53400000001</v>
      </c>
      <c r="W53" s="23">
        <v>191241.12100000001</v>
      </c>
      <c r="X53" s="23">
        <v>186823.37299999999</v>
      </c>
      <c r="Y53" s="23">
        <v>32211.465</v>
      </c>
      <c r="Z53" s="23">
        <v>33914.451000000001</v>
      </c>
      <c r="AA53" s="23">
        <v>38845.442999999999</v>
      </c>
      <c r="AB53" s="23">
        <v>207141.24900000001</v>
      </c>
      <c r="AC53" s="23">
        <v>207815.48800000001</v>
      </c>
      <c r="AD53" s="23"/>
      <c r="AE53" s="23">
        <v>196519.13</v>
      </c>
    </row>
    <row r="54" spans="1:31">
      <c r="A54" s="7" t="s">
        <v>69</v>
      </c>
      <c r="B54" s="47">
        <f>SUM(B56:B64)</f>
        <v>0</v>
      </c>
      <c r="C54" s="47">
        <f t="shared" ref="C54:AC54" si="14">SUM(C56:C64)</f>
        <v>0</v>
      </c>
      <c r="D54" s="47">
        <f t="shared" si="14"/>
        <v>0</v>
      </c>
      <c r="E54" s="47">
        <f t="shared" si="14"/>
        <v>0</v>
      </c>
      <c r="F54" s="47">
        <f t="shared" si="14"/>
        <v>374464.89000000007</v>
      </c>
      <c r="G54" s="47">
        <f t="shared" si="14"/>
        <v>0</v>
      </c>
      <c r="H54" s="47">
        <f t="shared" si="14"/>
        <v>0</v>
      </c>
      <c r="I54" s="47">
        <f t="shared" si="14"/>
        <v>446807.39599999995</v>
      </c>
      <c r="J54" s="47">
        <f t="shared" si="14"/>
        <v>0</v>
      </c>
      <c r="K54" s="47">
        <f t="shared" si="14"/>
        <v>501502.08132999996</v>
      </c>
      <c r="L54" s="47">
        <f t="shared" si="14"/>
        <v>558359.30999999994</v>
      </c>
      <c r="M54" s="47">
        <f t="shared" si="14"/>
        <v>629186.97700000007</v>
      </c>
      <c r="N54" s="47">
        <f t="shared" si="14"/>
        <v>642893.54399999999</v>
      </c>
      <c r="O54" s="47">
        <f t="shared" si="14"/>
        <v>672921.27999999991</v>
      </c>
      <c r="P54" s="47">
        <f t="shared" si="14"/>
        <v>708228.90500000014</v>
      </c>
      <c r="Q54" s="47">
        <f t="shared" si="14"/>
        <v>743293.51500000001</v>
      </c>
      <c r="R54" s="47">
        <f t="shared" si="14"/>
        <v>785438.9709999999</v>
      </c>
      <c r="S54" s="47">
        <f t="shared" si="14"/>
        <v>853449.20600000001</v>
      </c>
      <c r="T54" s="47">
        <f t="shared" si="14"/>
        <v>931319.29399999999</v>
      </c>
      <c r="U54" s="47">
        <f t="shared" si="14"/>
        <v>1068048.5159999998</v>
      </c>
      <c r="V54" s="47">
        <f t="shared" si="14"/>
        <v>1235557.7490000001</v>
      </c>
      <c r="W54" s="47">
        <f t="shared" si="14"/>
        <v>1279381.8769999996</v>
      </c>
      <c r="X54" s="47">
        <f t="shared" si="14"/>
        <v>1289720.598</v>
      </c>
      <c r="Y54" s="47">
        <f t="shared" si="14"/>
        <v>1332266.4190000002</v>
      </c>
      <c r="Z54" s="47">
        <f t="shared" si="14"/>
        <v>1373862.6430000002</v>
      </c>
      <c r="AA54" s="47">
        <f t="shared" si="14"/>
        <v>1322269.7819999999</v>
      </c>
      <c r="AB54" s="47">
        <f t="shared" si="14"/>
        <v>1316214.943</v>
      </c>
      <c r="AC54" s="47">
        <f t="shared" si="14"/>
        <v>1336200.3540000003</v>
      </c>
      <c r="AD54" s="47">
        <f t="shared" ref="AD54:AE54" si="15">SUM(AD56:AD64)</f>
        <v>0</v>
      </c>
      <c r="AE54" s="47">
        <f t="shared" si="15"/>
        <v>1299315.9470000002</v>
      </c>
    </row>
    <row r="55" spans="1:31">
      <c r="A55" s="7" t="s">
        <v>97</v>
      </c>
      <c r="X55" s="1">
        <v>0</v>
      </c>
      <c r="Y55" s="1">
        <v>0</v>
      </c>
      <c r="AB55" s="1">
        <v>0</v>
      </c>
      <c r="AC55" s="1">
        <v>0</v>
      </c>
    </row>
    <row r="56" spans="1:31">
      <c r="A56" s="1" t="s">
        <v>70</v>
      </c>
      <c r="F56" s="41">
        <v>17507.056</v>
      </c>
      <c r="I56" s="1">
        <v>19835.912</v>
      </c>
      <c r="K56" s="1">
        <v>28959.079659999996</v>
      </c>
      <c r="L56" s="1">
        <v>37877.033000000003</v>
      </c>
      <c r="M56" s="1">
        <v>38495.567000000003</v>
      </c>
      <c r="N56" s="1">
        <v>39759.059000000001</v>
      </c>
      <c r="O56" s="1">
        <v>41113.139000000003</v>
      </c>
      <c r="P56" s="1">
        <v>37583.387000000002</v>
      </c>
      <c r="Q56" s="1">
        <v>38934.17</v>
      </c>
      <c r="R56" s="1">
        <v>40325.356</v>
      </c>
      <c r="S56" s="1">
        <v>43061.822999999997</v>
      </c>
      <c r="T56" s="1">
        <v>48351.923999999999</v>
      </c>
      <c r="U56" s="1">
        <v>47052.775999999998</v>
      </c>
      <c r="V56" s="1">
        <v>54570.885000000002</v>
      </c>
      <c r="W56" s="1">
        <v>57946.726999999999</v>
      </c>
      <c r="X56" s="1">
        <v>56947.192999999999</v>
      </c>
      <c r="Y56" s="1">
        <v>58622.078999999998</v>
      </c>
      <c r="Z56" s="1">
        <v>61957.152000000002</v>
      </c>
      <c r="AA56" s="1">
        <v>64089.552000000003</v>
      </c>
      <c r="AB56" s="1">
        <v>53029.91</v>
      </c>
      <c r="AC56" s="1">
        <v>52265.82</v>
      </c>
      <c r="AE56" s="1">
        <v>49315.74</v>
      </c>
    </row>
    <row r="57" spans="1:31">
      <c r="A57" s="1" t="s">
        <v>71</v>
      </c>
      <c r="F57" s="41">
        <v>3686.1640000000002</v>
      </c>
      <c r="I57" s="1">
        <v>4494.5420000000004</v>
      </c>
      <c r="K57" s="1">
        <v>5719.2629999999999</v>
      </c>
      <c r="L57" s="1">
        <v>7915.2470000000003</v>
      </c>
      <c r="M57" s="1">
        <v>7866.1890000000003</v>
      </c>
      <c r="N57" s="1">
        <v>7392.1890000000003</v>
      </c>
      <c r="O57" s="1">
        <v>7977.6149999999998</v>
      </c>
      <c r="P57" s="1">
        <v>8821.8359999999993</v>
      </c>
      <c r="Q57" s="1">
        <v>8953.7510000000002</v>
      </c>
      <c r="R57" s="1">
        <v>9233.2279999999992</v>
      </c>
      <c r="S57" s="1">
        <v>9843.7950000000001</v>
      </c>
      <c r="T57" s="1">
        <v>11079.682000000001</v>
      </c>
      <c r="U57" s="1">
        <v>14190.941000000001</v>
      </c>
      <c r="V57" s="1">
        <v>14668.825000000001</v>
      </c>
      <c r="W57" s="1">
        <v>15213.776</v>
      </c>
      <c r="X57" s="1">
        <v>16017.784</v>
      </c>
      <c r="Y57" s="1">
        <v>16237.94</v>
      </c>
      <c r="Z57" s="1">
        <v>16945.2</v>
      </c>
      <c r="AA57" s="1">
        <v>17764.031999999999</v>
      </c>
      <c r="AB57" s="1">
        <v>18001.653999999999</v>
      </c>
      <c r="AC57" s="1">
        <v>17666.927</v>
      </c>
      <c r="AE57" s="1">
        <v>18044.883999999998</v>
      </c>
    </row>
    <row r="58" spans="1:31" s="11" customFormat="1">
      <c r="A58" s="1" t="s">
        <v>72</v>
      </c>
      <c r="B58" s="1"/>
      <c r="C58" s="1"/>
      <c r="D58" s="1"/>
      <c r="E58" s="1"/>
      <c r="F58" s="41">
        <v>36792.972999999998</v>
      </c>
      <c r="G58" s="1"/>
      <c r="H58" s="1"/>
      <c r="I58" s="1">
        <v>51550.262999999999</v>
      </c>
      <c r="J58" s="1"/>
      <c r="K58" s="1">
        <v>49196.392999999996</v>
      </c>
      <c r="L58" s="1">
        <v>65854.947</v>
      </c>
      <c r="M58" s="1">
        <v>71342.301999999996</v>
      </c>
      <c r="N58" s="1">
        <v>66311.592999999993</v>
      </c>
      <c r="O58" s="1">
        <v>64187.607000000004</v>
      </c>
      <c r="P58" s="1">
        <v>66964.168000000005</v>
      </c>
      <c r="Q58" s="1">
        <v>70960.376999999993</v>
      </c>
      <c r="R58" s="1">
        <v>78434.099000000002</v>
      </c>
      <c r="S58" s="1">
        <v>81183.63</v>
      </c>
      <c r="T58" s="1">
        <v>83587.399000000005</v>
      </c>
      <c r="U58" s="1">
        <v>83841.555999999997</v>
      </c>
      <c r="V58" s="1">
        <v>100545.765</v>
      </c>
      <c r="W58" s="1">
        <v>106476.569</v>
      </c>
      <c r="X58" s="1">
        <v>112429.26300000001</v>
      </c>
      <c r="Y58" s="1">
        <v>112758.345</v>
      </c>
      <c r="Z58" s="1">
        <v>127021.94500000001</v>
      </c>
      <c r="AA58" s="1">
        <v>134554.573</v>
      </c>
      <c r="AB58" s="1">
        <v>133779.36199999999</v>
      </c>
      <c r="AC58" s="1">
        <v>137049.62899999999</v>
      </c>
      <c r="AD58" s="1"/>
      <c r="AE58" s="1">
        <v>145109.32199999999</v>
      </c>
    </row>
    <row r="59" spans="1:31">
      <c r="A59" s="1" t="s">
        <v>73</v>
      </c>
      <c r="F59" s="41">
        <v>3593.9430000000002</v>
      </c>
      <c r="I59" s="1">
        <v>11058.396000000001</v>
      </c>
      <c r="K59" s="1">
        <v>14828.843210000001</v>
      </c>
      <c r="L59" s="1">
        <v>15367.911</v>
      </c>
      <c r="M59" s="1">
        <v>16758.04</v>
      </c>
      <c r="N59" s="1">
        <v>17302.145</v>
      </c>
      <c r="O59" s="1">
        <v>21244.578000000001</v>
      </c>
      <c r="P59" s="1">
        <v>21753.429</v>
      </c>
      <c r="Q59" s="1">
        <v>25061.865000000002</v>
      </c>
      <c r="R59" s="1">
        <v>22574.235000000001</v>
      </c>
      <c r="S59" s="1">
        <v>31541.472000000002</v>
      </c>
      <c r="T59" s="1">
        <v>31030.405999999999</v>
      </c>
      <c r="U59" s="1">
        <v>35728.188000000002</v>
      </c>
      <c r="V59" s="1">
        <v>54299.775999999998</v>
      </c>
      <c r="W59" s="1">
        <v>66716.998999999996</v>
      </c>
      <c r="X59" s="1">
        <v>37397.769</v>
      </c>
      <c r="Y59" s="1">
        <v>40903.635999999999</v>
      </c>
      <c r="Z59" s="1">
        <v>41698.07</v>
      </c>
      <c r="AA59" s="1">
        <v>41179.523999999998</v>
      </c>
      <c r="AB59" s="1">
        <v>40892.748</v>
      </c>
      <c r="AC59" s="1">
        <v>39593.218000000001</v>
      </c>
      <c r="AE59" s="1">
        <v>25552.758000000002</v>
      </c>
    </row>
    <row r="60" spans="1:31">
      <c r="A60" s="1" t="s">
        <v>74</v>
      </c>
      <c r="F60" s="41">
        <v>78373.732999999993</v>
      </c>
      <c r="I60" s="1">
        <v>95318.462</v>
      </c>
      <c r="K60" s="1">
        <v>106038.038</v>
      </c>
      <c r="L60" s="1">
        <v>119568.758</v>
      </c>
      <c r="M60" s="1">
        <v>134061.08900000001</v>
      </c>
      <c r="N60" s="1">
        <v>133555.97399999999</v>
      </c>
      <c r="O60" s="1">
        <v>147723.16500000001</v>
      </c>
      <c r="P60" s="1">
        <v>160201.37599999999</v>
      </c>
      <c r="Q60" s="1">
        <v>162537.33100000001</v>
      </c>
      <c r="R60" s="1">
        <v>169817.133</v>
      </c>
      <c r="S60" s="1">
        <v>176206.20600000001</v>
      </c>
      <c r="T60" s="1">
        <v>195974.43400000001</v>
      </c>
      <c r="U60" s="1">
        <v>210684.465</v>
      </c>
      <c r="V60" s="1">
        <v>255555.16099999999</v>
      </c>
      <c r="W60" s="1">
        <v>259395.068</v>
      </c>
      <c r="X60" s="1">
        <v>258829.614</v>
      </c>
      <c r="Y60" s="1">
        <v>251895.42</v>
      </c>
      <c r="Z60" s="1">
        <v>247045.959</v>
      </c>
      <c r="AA60" s="1">
        <v>246574.655</v>
      </c>
      <c r="AB60" s="1">
        <v>245275.53099999999</v>
      </c>
      <c r="AC60" s="1">
        <v>261672.77799999999</v>
      </c>
      <c r="AE60" s="1">
        <v>250471.473</v>
      </c>
    </row>
    <row r="61" spans="1:31">
      <c r="A61" s="1" t="s">
        <v>75</v>
      </c>
      <c r="F61" s="41">
        <v>173931.1</v>
      </c>
      <c r="I61" s="1">
        <v>196048.52499999999</v>
      </c>
      <c r="K61" s="1">
        <v>221384.954</v>
      </c>
      <c r="L61" s="1">
        <v>220574.98499999999</v>
      </c>
      <c r="M61" s="1">
        <v>263619.34299999999</v>
      </c>
      <c r="N61" s="1">
        <v>274533.723</v>
      </c>
      <c r="O61" s="1">
        <v>276660.20699999999</v>
      </c>
      <c r="P61" s="1">
        <v>286502.71899999998</v>
      </c>
      <c r="Q61" s="1">
        <v>296614.359</v>
      </c>
      <c r="R61" s="1">
        <v>317356.86499999999</v>
      </c>
      <c r="S61" s="1">
        <v>363041.08799999999</v>
      </c>
      <c r="T61" s="1">
        <v>386256.46899999998</v>
      </c>
      <c r="U61" s="1">
        <v>478672.03499999997</v>
      </c>
      <c r="V61" s="1">
        <v>543859.67200000002</v>
      </c>
      <c r="W61" s="1">
        <v>560358.67799999996</v>
      </c>
      <c r="X61" s="1">
        <v>583534.93099999998</v>
      </c>
      <c r="Y61" s="1">
        <v>604168.08100000001</v>
      </c>
      <c r="Z61" s="1">
        <v>624395.65500000003</v>
      </c>
      <c r="AA61" s="1">
        <v>568941.75699999998</v>
      </c>
      <c r="AB61" s="1">
        <v>589291.67099999997</v>
      </c>
      <c r="AC61" s="1">
        <v>583750.25100000005</v>
      </c>
      <c r="AE61" s="1">
        <v>568600.07700000005</v>
      </c>
    </row>
    <row r="62" spans="1:31">
      <c r="A62" s="1" t="s">
        <v>76</v>
      </c>
      <c r="F62" s="41">
        <v>51767.406000000003</v>
      </c>
      <c r="I62" s="1">
        <v>60270.195</v>
      </c>
      <c r="K62" s="1">
        <v>65896.986459999986</v>
      </c>
      <c r="L62" s="1">
        <v>79741.721000000005</v>
      </c>
      <c r="M62" s="1">
        <v>84767.082999999999</v>
      </c>
      <c r="N62" s="1">
        <v>89880.55</v>
      </c>
      <c r="O62" s="1">
        <v>98940.494000000006</v>
      </c>
      <c r="P62" s="1">
        <v>108760.783</v>
      </c>
      <c r="Q62" s="1">
        <v>118766.76700000001</v>
      </c>
      <c r="R62" s="1">
        <v>125108.034</v>
      </c>
      <c r="S62" s="1">
        <v>126030.753</v>
      </c>
      <c r="T62" s="1">
        <v>149921.54999999999</v>
      </c>
      <c r="U62" s="1">
        <v>163265.09</v>
      </c>
      <c r="V62" s="1">
        <v>182651.75599999999</v>
      </c>
      <c r="W62" s="1">
        <v>184753.182</v>
      </c>
      <c r="X62" s="1">
        <v>194557.109</v>
      </c>
      <c r="Y62" s="1">
        <v>208410.883</v>
      </c>
      <c r="Z62" s="1">
        <v>215364.568</v>
      </c>
      <c r="AA62" s="1">
        <v>210095.34700000001</v>
      </c>
      <c r="AB62" s="1">
        <v>206964.234</v>
      </c>
      <c r="AC62" s="1">
        <v>213201.40400000001</v>
      </c>
      <c r="AE62" s="1">
        <v>213781.40700000001</v>
      </c>
    </row>
    <row r="63" spans="1:31">
      <c r="A63" s="1" t="s">
        <v>77</v>
      </c>
      <c r="F63" s="41">
        <v>6094.1639999999998</v>
      </c>
      <c r="I63" s="1">
        <v>7007.4589999999998</v>
      </c>
      <c r="K63" s="1">
        <v>7885.12</v>
      </c>
      <c r="L63" s="1">
        <v>9880.8130000000001</v>
      </c>
      <c r="M63" s="1">
        <v>10386.716</v>
      </c>
      <c r="N63" s="1">
        <v>10306.183999999999</v>
      </c>
      <c r="O63" s="1">
        <v>10713.937</v>
      </c>
      <c r="P63" s="1">
        <v>12363.285</v>
      </c>
      <c r="Q63" s="1">
        <v>15854.741</v>
      </c>
      <c r="R63" s="1">
        <v>16533.911</v>
      </c>
      <c r="S63" s="1">
        <v>17692.519</v>
      </c>
      <c r="T63" s="1">
        <v>17980.017</v>
      </c>
      <c r="U63" s="1">
        <v>19820.171999999999</v>
      </c>
      <c r="V63" s="1">
        <v>20626.677</v>
      </c>
      <c r="W63" s="1">
        <v>19663.031999999999</v>
      </c>
      <c r="X63" s="1">
        <v>20567.057000000001</v>
      </c>
      <c r="Y63" s="1">
        <v>20381.803</v>
      </c>
      <c r="Z63" s="1">
        <v>21360.246999999999</v>
      </c>
      <c r="AA63" s="1">
        <v>22316.816999999999</v>
      </c>
      <c r="AB63" s="1">
        <v>22880.262999999999</v>
      </c>
      <c r="AC63" s="1">
        <v>23956.403999999999</v>
      </c>
      <c r="AE63" s="1">
        <v>23042.292000000001</v>
      </c>
    </row>
    <row r="64" spans="1:31">
      <c r="A64" s="23" t="s">
        <v>78</v>
      </c>
      <c r="B64" s="23"/>
      <c r="C64" s="23"/>
      <c r="D64" s="23"/>
      <c r="E64" s="23"/>
      <c r="F64" s="44">
        <v>2718.3510000000001</v>
      </c>
      <c r="G64" s="23"/>
      <c r="H64" s="23"/>
      <c r="I64" s="23">
        <v>1223.6420000000001</v>
      </c>
      <c r="J64" s="23"/>
      <c r="K64" s="23">
        <v>1593.404</v>
      </c>
      <c r="L64" s="23">
        <v>1577.895</v>
      </c>
      <c r="M64" s="23">
        <v>1890.6479999999999</v>
      </c>
      <c r="N64" s="23">
        <v>3852.127</v>
      </c>
      <c r="O64" s="23">
        <v>4360.5379999999996</v>
      </c>
      <c r="P64" s="23">
        <v>5277.9219999999996</v>
      </c>
      <c r="Q64" s="23">
        <v>5610.1540000000005</v>
      </c>
      <c r="R64" s="23">
        <v>6056.11</v>
      </c>
      <c r="S64" s="23">
        <v>4847.92</v>
      </c>
      <c r="T64" s="23">
        <v>7137.4129999999996</v>
      </c>
      <c r="U64" s="23">
        <v>14793.293</v>
      </c>
      <c r="V64" s="23">
        <v>8779.232</v>
      </c>
      <c r="W64" s="23">
        <v>8857.8459999999995</v>
      </c>
      <c r="X64" s="23">
        <v>9439.8780000000006</v>
      </c>
      <c r="Y64" s="23">
        <v>18888.232</v>
      </c>
      <c r="Z64" s="23">
        <v>18073.847000000002</v>
      </c>
      <c r="AA64" s="23">
        <v>16753.525000000001</v>
      </c>
      <c r="AB64" s="23">
        <v>6099.57</v>
      </c>
      <c r="AC64" s="23">
        <v>7043.9229999999998</v>
      </c>
      <c r="AD64" s="23"/>
      <c r="AE64" s="23">
        <v>5397.9939999999997</v>
      </c>
    </row>
    <row r="65" spans="1:31">
      <c r="A65" s="45" t="s">
        <v>79</v>
      </c>
      <c r="B65" s="45"/>
      <c r="C65" s="45"/>
      <c r="D65" s="45"/>
      <c r="E65" s="45"/>
      <c r="F65" s="46">
        <v>0</v>
      </c>
      <c r="G65" s="45"/>
      <c r="H65" s="45"/>
      <c r="I65" s="45">
        <v>0</v>
      </c>
      <c r="J65" s="45"/>
      <c r="K65" s="45">
        <v>0</v>
      </c>
      <c r="L65" s="45">
        <v>0</v>
      </c>
      <c r="M65" s="45">
        <v>0</v>
      </c>
      <c r="N65" s="45">
        <v>0</v>
      </c>
      <c r="O65" s="45">
        <v>0</v>
      </c>
      <c r="P65" s="45">
        <v>0</v>
      </c>
      <c r="Q65" s="45">
        <v>0</v>
      </c>
      <c r="R65" s="45">
        <v>0</v>
      </c>
      <c r="S65" s="45">
        <v>0</v>
      </c>
      <c r="T65" s="45">
        <v>0</v>
      </c>
      <c r="U65" s="45">
        <v>0</v>
      </c>
      <c r="V65" s="45">
        <v>0</v>
      </c>
      <c r="W65" s="45">
        <v>0</v>
      </c>
      <c r="X65" s="23"/>
      <c r="Y65" s="23"/>
      <c r="Z65" s="23"/>
      <c r="AA65" s="23"/>
      <c r="AB65" s="23"/>
      <c r="AC65" s="23"/>
      <c r="AD65" s="23"/>
      <c r="AE65" s="23"/>
    </row>
    <row r="66" spans="1:31">
      <c r="F66" s="41"/>
    </row>
    <row r="67" spans="1:31">
      <c r="I67" s="19" t="s">
        <v>99</v>
      </c>
      <c r="J67" s="19" t="s">
        <v>100</v>
      </c>
      <c r="K67" s="19"/>
      <c r="L67" s="19" t="s">
        <v>101</v>
      </c>
      <c r="M67" s="19"/>
      <c r="N67" s="19"/>
      <c r="O67" s="19" t="s">
        <v>99</v>
      </c>
      <c r="P67" s="19" t="s">
        <v>99</v>
      </c>
      <c r="Q67" s="19" t="s">
        <v>99</v>
      </c>
      <c r="R67" s="19" t="s">
        <v>99</v>
      </c>
      <c r="S67" s="19"/>
      <c r="T67" s="19"/>
      <c r="U67" s="19"/>
      <c r="V67" s="19"/>
      <c r="W67" s="19"/>
    </row>
    <row r="68" spans="1:31">
      <c r="I68" s="1" t="s">
        <v>102</v>
      </c>
      <c r="J68" s="1" t="s">
        <v>103</v>
      </c>
      <c r="L68" s="1" t="s">
        <v>104</v>
      </c>
      <c r="O68" s="1" t="s">
        <v>102</v>
      </c>
      <c r="P68" s="1" t="s">
        <v>102</v>
      </c>
      <c r="Q68" s="1" t="s">
        <v>102</v>
      </c>
      <c r="R68" s="1" t="s">
        <v>102</v>
      </c>
    </row>
    <row r="69" spans="1:31">
      <c r="I69" s="1" t="s">
        <v>105</v>
      </c>
      <c r="J69" s="1" t="s">
        <v>106</v>
      </c>
      <c r="O69" s="1" t="s">
        <v>105</v>
      </c>
      <c r="P69" s="1" t="s">
        <v>105</v>
      </c>
      <c r="Q69" s="1" t="s">
        <v>105</v>
      </c>
      <c r="R69" s="1" t="s">
        <v>105</v>
      </c>
    </row>
    <row r="70" spans="1:31">
      <c r="J70" s="1" t="s">
        <v>107</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tabColor indexed="62"/>
  </sheetPr>
  <dimension ref="A1:AE70"/>
  <sheetViews>
    <sheetView showZeros="0" zoomScale="80" zoomScaleNormal="80" workbookViewId="0">
      <pane xSplit="1" ySplit="5" topLeftCell="Q6" activePane="bottomRight" state="frozen"/>
      <selection pane="topRight" activeCell="B52" sqref="B52"/>
      <selection pane="bottomLeft" activeCell="B52" sqref="B52"/>
      <selection pane="bottomRight" activeCell="AE9" sqref="AE9:AE24"/>
    </sheetView>
  </sheetViews>
  <sheetFormatPr defaultColWidth="9.85546875" defaultRowHeight="12.75"/>
  <cols>
    <col min="1" max="1" width="23.42578125" style="43" customWidth="1"/>
    <col min="2" max="22" width="12.42578125" style="1" customWidth="1"/>
    <col min="23" max="25" width="11.5703125" style="1" bestFit="1" customWidth="1"/>
    <col min="26" max="29" width="11.5703125" style="1" customWidth="1"/>
    <col min="30" max="31" width="12.42578125" style="1" customWidth="1"/>
    <col min="32" max="16384" width="9.85546875" style="1"/>
  </cols>
  <sheetData>
    <row r="1" spans="1:31">
      <c r="A1" s="7" t="s">
        <v>94</v>
      </c>
      <c r="B1"/>
      <c r="C1"/>
      <c r="D1"/>
      <c r="E1"/>
      <c r="F1"/>
      <c r="G1"/>
      <c r="H1"/>
      <c r="I1"/>
      <c r="J1"/>
      <c r="K1"/>
      <c r="L1"/>
      <c r="M1"/>
      <c r="N1"/>
      <c r="O1"/>
      <c r="P1"/>
      <c r="Q1"/>
      <c r="R1"/>
      <c r="S1"/>
      <c r="T1"/>
      <c r="U1"/>
      <c r="V1"/>
      <c r="W1"/>
    </row>
    <row r="2" spans="1:31">
      <c r="A2" s="9"/>
      <c r="B2"/>
      <c r="C2"/>
      <c r="D2"/>
      <c r="E2"/>
      <c r="F2"/>
      <c r="G2"/>
      <c r="H2"/>
      <c r="I2"/>
      <c r="J2"/>
      <c r="K2"/>
      <c r="L2"/>
      <c r="M2"/>
      <c r="N2"/>
      <c r="O2"/>
      <c r="P2"/>
      <c r="Q2"/>
      <c r="R2"/>
      <c r="S2"/>
      <c r="T2"/>
      <c r="U2"/>
      <c r="V2"/>
      <c r="W2"/>
      <c r="AA2" s="1">
        <v>1000</v>
      </c>
    </row>
    <row r="3" spans="1:31">
      <c r="A3" s="1" t="s">
        <v>137</v>
      </c>
      <c r="B3"/>
      <c r="C3"/>
      <c r="D3"/>
      <c r="E3"/>
      <c r="F3"/>
      <c r="G3"/>
      <c r="H3"/>
      <c r="I3"/>
      <c r="J3"/>
      <c r="K3"/>
      <c r="L3"/>
      <c r="M3"/>
      <c r="N3"/>
      <c r="O3"/>
      <c r="P3"/>
      <c r="Q3"/>
      <c r="R3"/>
      <c r="S3"/>
      <c r="T3"/>
      <c r="U3"/>
      <c r="V3"/>
      <c r="W3"/>
    </row>
    <row r="4" spans="1:31" s="32" customFormat="1">
      <c r="B4" s="32">
        <v>1984</v>
      </c>
      <c r="C4" s="32">
        <v>1985</v>
      </c>
      <c r="D4" s="32">
        <v>1986</v>
      </c>
      <c r="E4" s="32">
        <v>1991</v>
      </c>
      <c r="F4" s="32">
        <v>1992</v>
      </c>
      <c r="G4" s="32">
        <v>1993</v>
      </c>
      <c r="H4" s="32">
        <v>1994</v>
      </c>
      <c r="I4" s="32">
        <v>1995</v>
      </c>
      <c r="J4" s="32">
        <v>1996</v>
      </c>
      <c r="K4" s="32">
        <v>1997</v>
      </c>
      <c r="L4" s="32">
        <v>2000</v>
      </c>
      <c r="M4" s="39">
        <v>2001</v>
      </c>
      <c r="N4" s="39">
        <v>2002</v>
      </c>
      <c r="O4" s="39">
        <v>2003</v>
      </c>
      <c r="P4" s="39">
        <v>2004</v>
      </c>
      <c r="Q4" s="32">
        <v>2005</v>
      </c>
      <c r="R4" s="32">
        <v>2006</v>
      </c>
      <c r="S4" s="39">
        <v>2007</v>
      </c>
      <c r="T4" s="39">
        <v>2008</v>
      </c>
      <c r="U4" s="39">
        <v>2009</v>
      </c>
      <c r="V4" s="39">
        <v>2010</v>
      </c>
      <c r="W4" s="39">
        <v>2011</v>
      </c>
      <c r="X4" s="32" t="s">
        <v>111</v>
      </c>
      <c r="Y4" s="32" t="s">
        <v>112</v>
      </c>
      <c r="Z4" s="32" t="s">
        <v>113</v>
      </c>
      <c r="AA4" s="32" t="s">
        <v>114</v>
      </c>
      <c r="AB4" s="95" t="s">
        <v>115</v>
      </c>
      <c r="AC4" s="95" t="s">
        <v>116</v>
      </c>
      <c r="AD4" s="96">
        <v>2018</v>
      </c>
      <c r="AE4" s="96">
        <v>2019</v>
      </c>
    </row>
    <row r="5" spans="1:31" s="8" customFormat="1">
      <c r="B5" s="8" t="s">
        <v>96</v>
      </c>
      <c r="C5" s="8" t="s">
        <v>96</v>
      </c>
      <c r="D5" s="8" t="s">
        <v>96</v>
      </c>
      <c r="E5" s="8" t="s">
        <v>96</v>
      </c>
      <c r="F5" s="8" t="s">
        <v>96</v>
      </c>
      <c r="G5" s="8" t="s">
        <v>96</v>
      </c>
      <c r="H5" s="8" t="s">
        <v>96</v>
      </c>
      <c r="I5" s="8" t="s">
        <v>96</v>
      </c>
      <c r="J5" s="8" t="s">
        <v>96</v>
      </c>
      <c r="K5" s="8" t="s">
        <v>96</v>
      </c>
      <c r="L5" s="8" t="s">
        <v>96</v>
      </c>
      <c r="M5" s="8" t="s">
        <v>96</v>
      </c>
      <c r="N5" s="8" t="s">
        <v>96</v>
      </c>
      <c r="O5" s="8" t="s">
        <v>96</v>
      </c>
      <c r="P5" s="8" t="s">
        <v>96</v>
      </c>
      <c r="Q5" s="8" t="s">
        <v>96</v>
      </c>
      <c r="R5" s="8" t="s">
        <v>96</v>
      </c>
      <c r="S5" s="8" t="s">
        <v>96</v>
      </c>
      <c r="T5" s="8" t="s">
        <v>96</v>
      </c>
      <c r="U5" s="8" t="s">
        <v>96</v>
      </c>
      <c r="V5" s="8" t="s">
        <v>96</v>
      </c>
      <c r="W5" s="8" t="s">
        <v>96</v>
      </c>
      <c r="X5" s="8" t="s">
        <v>96</v>
      </c>
      <c r="Y5" s="8" t="s">
        <v>96</v>
      </c>
      <c r="Z5" s="8" t="s">
        <v>96</v>
      </c>
      <c r="AA5" s="8" t="s">
        <v>96</v>
      </c>
      <c r="AB5" s="8" t="s">
        <v>96</v>
      </c>
      <c r="AC5" s="8" t="s">
        <v>96</v>
      </c>
      <c r="AD5" s="8" t="s">
        <v>96</v>
      </c>
      <c r="AE5" s="8" t="s">
        <v>96</v>
      </c>
    </row>
    <row r="6" spans="1:31">
      <c r="A6" s="23" t="s">
        <v>24</v>
      </c>
      <c r="B6" s="1">
        <f>807338+1253259</f>
        <v>2060597</v>
      </c>
      <c r="C6" s="1">
        <f>875210+1343860</f>
        <v>2219070</v>
      </c>
      <c r="D6" s="1">
        <f>1006975+1557254</f>
        <v>2564229</v>
      </c>
      <c r="E6" s="1">
        <v>3978087.031</v>
      </c>
      <c r="F6" s="48">
        <f>+F7+F25+F40+F54+F65</f>
        <v>4573711.7689999994</v>
      </c>
      <c r="G6" s="1">
        <v>12379675.277000001</v>
      </c>
      <c r="H6" s="1">
        <v>5413612.4060000004</v>
      </c>
      <c r="I6" s="48">
        <f>+I7+I25+I40+I54+I65</f>
        <v>5661401.3399999999</v>
      </c>
      <c r="J6" s="1">
        <v>6172991.1509999996</v>
      </c>
      <c r="K6" s="48">
        <f t="shared" ref="K6:U6" si="0">+K7+K25+K40+K54+K65</f>
        <v>6755538.5629200004</v>
      </c>
      <c r="L6" s="48">
        <f t="shared" si="0"/>
        <v>8123364.2749999985</v>
      </c>
      <c r="M6" s="48">
        <f t="shared" si="0"/>
        <v>8959347.9979999997</v>
      </c>
      <c r="N6" s="48">
        <f t="shared" si="0"/>
        <v>10099118.753</v>
      </c>
      <c r="O6" s="48">
        <f t="shared" si="0"/>
        <v>11101425.990000002</v>
      </c>
      <c r="P6" s="48">
        <f t="shared" si="0"/>
        <v>12366024.649</v>
      </c>
      <c r="Q6" s="48">
        <f t="shared" si="0"/>
        <v>13632180.964000002</v>
      </c>
      <c r="R6" s="48">
        <f t="shared" si="0"/>
        <v>14372569.117000001</v>
      </c>
      <c r="S6" s="48">
        <f t="shared" si="0"/>
        <v>15407846.331999999</v>
      </c>
      <c r="T6" s="48">
        <f t="shared" si="0"/>
        <v>16811424.227000002</v>
      </c>
      <c r="U6" s="48">
        <f t="shared" si="0"/>
        <v>18025530.422999997</v>
      </c>
      <c r="V6" s="48">
        <f t="shared" ref="V6:W6" si="1">+V7+V25+V40+V54+V65</f>
        <v>22559874.300000001</v>
      </c>
      <c r="W6" s="48">
        <f t="shared" si="1"/>
        <v>25332034.873000003</v>
      </c>
      <c r="X6" s="48">
        <f t="shared" ref="X6:Y6" si="2">+X7+X25+X40+X54+X65</f>
        <v>25981731.729999997</v>
      </c>
      <c r="Y6" s="48">
        <f t="shared" si="2"/>
        <v>26835900.177999999</v>
      </c>
      <c r="Z6" s="48">
        <f t="shared" ref="Z6:AA6" si="3">+Z7+Z25+Z40+Z54+Z65</f>
        <v>28077697.342000004</v>
      </c>
      <c r="AA6" s="48">
        <f t="shared" si="3"/>
        <v>29686245.299999993</v>
      </c>
      <c r="AB6" s="48">
        <f t="shared" ref="AB6:AE6" si="4">+AB7+AB25+AB40+AB54+AB65</f>
        <v>30994665.754000004</v>
      </c>
      <c r="AC6" s="48">
        <f t="shared" si="4"/>
        <v>31943386.437000003</v>
      </c>
      <c r="AD6" s="48">
        <f t="shared" si="4"/>
        <v>0</v>
      </c>
      <c r="AE6" s="48">
        <f t="shared" si="4"/>
        <v>36200434.359999999</v>
      </c>
    </row>
    <row r="7" spans="1:31">
      <c r="A7" s="1" t="s">
        <v>25</v>
      </c>
      <c r="B7" s="47">
        <f>SUM(B8:B24)</f>
        <v>583438</v>
      </c>
      <c r="C7" s="47">
        <f t="shared" ref="C7:U7" si="5">SUM(C8:C24)</f>
        <v>636554</v>
      </c>
      <c r="D7" s="47">
        <f t="shared" si="5"/>
        <v>790459</v>
      </c>
      <c r="E7" s="47">
        <f t="shared" si="5"/>
        <v>1273983.531</v>
      </c>
      <c r="F7" s="47">
        <f t="shared" si="5"/>
        <v>1478460.0050000001</v>
      </c>
      <c r="G7" s="47">
        <f t="shared" si="5"/>
        <v>1698413.8720000002</v>
      </c>
      <c r="H7" s="47">
        <f t="shared" si="5"/>
        <v>1714618.9349999998</v>
      </c>
      <c r="I7" s="47">
        <f t="shared" si="5"/>
        <v>1831537.175</v>
      </c>
      <c r="J7" s="47">
        <f t="shared" si="5"/>
        <v>2063623.1409999998</v>
      </c>
      <c r="K7" s="47">
        <f t="shared" si="5"/>
        <v>2342605.0197899998</v>
      </c>
      <c r="L7" s="47">
        <f t="shared" si="5"/>
        <v>2929939.051</v>
      </c>
      <c r="M7" s="47">
        <f t="shared" si="5"/>
        <v>3307888.1070000003</v>
      </c>
      <c r="N7" s="47">
        <f t="shared" si="5"/>
        <v>3787539.8160000001</v>
      </c>
      <c r="O7" s="47">
        <f t="shared" si="5"/>
        <v>4339620.4220000003</v>
      </c>
      <c r="P7" s="47">
        <f t="shared" si="5"/>
        <v>4778744.3510000007</v>
      </c>
      <c r="Q7" s="47">
        <f t="shared" si="5"/>
        <v>5284314.99</v>
      </c>
      <c r="R7" s="47">
        <f t="shared" si="5"/>
        <v>5630513.4080000008</v>
      </c>
      <c r="S7" s="47">
        <f t="shared" si="5"/>
        <v>6032535.3309999993</v>
      </c>
      <c r="T7" s="47">
        <f t="shared" si="5"/>
        <v>6585908.585</v>
      </c>
      <c r="U7" s="47">
        <f t="shared" si="5"/>
        <v>7049860.4479999999</v>
      </c>
      <c r="V7" s="47">
        <f t="shared" ref="V7:W7" si="6">SUM(V8:V24)</f>
        <v>8828228.620000001</v>
      </c>
      <c r="W7" s="47">
        <f t="shared" si="6"/>
        <v>10125253.743000001</v>
      </c>
      <c r="X7" s="47">
        <f t="shared" ref="X7:Y7" si="7">SUM(X8:X24)</f>
        <v>10048434.832999999</v>
      </c>
      <c r="Y7" s="47">
        <f t="shared" si="7"/>
        <v>10449459.470000001</v>
      </c>
      <c r="Z7" s="47">
        <f t="shared" ref="Z7:AA7" si="8">SUM(Z8:Z24)</f>
        <v>10878403.288000001</v>
      </c>
      <c r="AA7" s="47">
        <f t="shared" si="8"/>
        <v>11459190.254000001</v>
      </c>
      <c r="AB7" s="47">
        <f t="shared" ref="AB7:AE7" si="9">SUM(AB8:AB24)</f>
        <v>11918181.860000001</v>
      </c>
      <c r="AC7" s="47">
        <f t="shared" si="9"/>
        <v>12330346.082999999</v>
      </c>
      <c r="AD7" s="47">
        <f t="shared" si="9"/>
        <v>0</v>
      </c>
      <c r="AE7" s="47">
        <f t="shared" si="9"/>
        <v>14271840.164999999</v>
      </c>
    </row>
    <row r="8" spans="1:31">
      <c r="A8" s="7" t="s">
        <v>97</v>
      </c>
    </row>
    <row r="9" spans="1:31">
      <c r="A9" s="1" t="s">
        <v>26</v>
      </c>
      <c r="B9" s="1">
        <f>11853+25028</f>
        <v>36881</v>
      </c>
      <c r="C9" s="1">
        <f>13830+26853</f>
        <v>40683</v>
      </c>
      <c r="D9" s="1">
        <f>16828+32352</f>
        <v>49180</v>
      </c>
      <c r="E9" s="1">
        <v>74161.536999999997</v>
      </c>
      <c r="F9" s="41">
        <v>84080.432000000001</v>
      </c>
      <c r="G9" s="1">
        <v>89735.698000000004</v>
      </c>
      <c r="H9" s="1">
        <v>89530.78</v>
      </c>
      <c r="I9" s="1">
        <v>99155.827000000005</v>
      </c>
      <c r="J9" s="1">
        <v>104202.774</v>
      </c>
      <c r="K9" s="1">
        <v>110558.50599999999</v>
      </c>
      <c r="L9" s="1">
        <v>156079.24900000001</v>
      </c>
      <c r="M9" s="1">
        <v>182966.068</v>
      </c>
      <c r="N9" s="1">
        <v>218936.16</v>
      </c>
      <c r="O9" s="1">
        <v>239231.682</v>
      </c>
      <c r="P9" s="1">
        <v>255409.93100000001</v>
      </c>
      <c r="Q9" s="1">
        <v>269158.97100000002</v>
      </c>
      <c r="R9" s="1">
        <v>277686.505</v>
      </c>
      <c r="S9" s="1">
        <v>319533.14600000001</v>
      </c>
      <c r="T9" s="1">
        <v>343881.848</v>
      </c>
      <c r="U9" s="1">
        <v>396535.71600000001</v>
      </c>
      <c r="V9" s="1">
        <v>503148.10200000001</v>
      </c>
      <c r="W9" s="1">
        <v>552698.39800000004</v>
      </c>
      <c r="X9" s="1">
        <v>550068.57400000002</v>
      </c>
      <c r="Y9" s="1">
        <v>609205.91200000001</v>
      </c>
      <c r="Z9" s="1">
        <v>641026.26699999999</v>
      </c>
      <c r="AA9" s="1">
        <v>692979.37600000005</v>
      </c>
      <c r="AB9" s="1">
        <v>754028.08200000005</v>
      </c>
      <c r="AC9" s="1">
        <v>815173.70600000001</v>
      </c>
      <c r="AE9" s="1">
        <v>937246.26599999995</v>
      </c>
    </row>
    <row r="10" spans="1:31">
      <c r="A10" s="1" t="s">
        <v>27</v>
      </c>
      <c r="B10" s="1">
        <f>8154+18268</f>
        <v>26422</v>
      </c>
      <c r="C10" s="1">
        <f>9300+19097</f>
        <v>28397</v>
      </c>
      <c r="D10" s="1">
        <f>10335+21947</f>
        <v>32282</v>
      </c>
      <c r="E10" s="1">
        <v>52432.771999999997</v>
      </c>
      <c r="F10" s="41">
        <v>63322.279000000002</v>
      </c>
      <c r="G10" s="1">
        <v>74596.493000000002</v>
      </c>
      <c r="H10" s="1">
        <v>73960.225999999995</v>
      </c>
      <c r="I10" s="1">
        <v>76740.100000000006</v>
      </c>
      <c r="J10" s="1">
        <v>83606.024000000005</v>
      </c>
      <c r="K10" s="1">
        <v>80971.082999999999</v>
      </c>
      <c r="L10" s="1">
        <v>127857.91099999999</v>
      </c>
      <c r="M10" s="1">
        <v>146634.49400000001</v>
      </c>
      <c r="N10" s="1">
        <v>177731.50700000001</v>
      </c>
      <c r="O10" s="1">
        <v>194871.41800000001</v>
      </c>
      <c r="P10" s="1">
        <v>213747.073</v>
      </c>
      <c r="Q10" s="1">
        <v>215778.75899999999</v>
      </c>
      <c r="R10" s="1">
        <v>233715.959</v>
      </c>
      <c r="S10" s="1">
        <v>221196.383</v>
      </c>
      <c r="T10" s="1">
        <v>237934.58900000001</v>
      </c>
      <c r="U10" s="1">
        <v>265956.28000000003</v>
      </c>
      <c r="V10" s="1">
        <v>317949.35800000001</v>
      </c>
      <c r="W10" s="1">
        <v>420514.29599999997</v>
      </c>
      <c r="X10" s="1">
        <v>421108.26899999997</v>
      </c>
      <c r="Y10" s="1">
        <v>423625.31699999998</v>
      </c>
      <c r="Z10" s="1">
        <v>415107.77600000001</v>
      </c>
      <c r="AA10" s="1">
        <v>422484.61099999998</v>
      </c>
      <c r="AB10" s="1">
        <v>429276.875</v>
      </c>
      <c r="AC10" s="1">
        <v>428230.44699999999</v>
      </c>
      <c r="AE10" s="1">
        <v>456057.15100000001</v>
      </c>
    </row>
    <row r="11" spans="1:31">
      <c r="A11" s="1" t="s">
        <v>28</v>
      </c>
      <c r="D11" s="1">
        <f>9016+1870</f>
        <v>10886</v>
      </c>
      <c r="E11" s="1">
        <v>23315.65</v>
      </c>
      <c r="F11" s="41">
        <v>24601.065999999999</v>
      </c>
      <c r="I11" s="1">
        <v>30879.627</v>
      </c>
      <c r="J11" s="1">
        <v>31905.923999999999</v>
      </c>
      <c r="K11" s="1">
        <v>34635.462</v>
      </c>
      <c r="L11" s="1">
        <v>50040.442999999999</v>
      </c>
      <c r="M11" s="1">
        <v>54847.14</v>
      </c>
      <c r="N11" s="1">
        <v>64508.940999999999</v>
      </c>
      <c r="O11" s="1">
        <v>67260.94</v>
      </c>
      <c r="P11" s="1">
        <v>69216.031000000003</v>
      </c>
      <c r="Q11" s="1">
        <v>74389.794999999998</v>
      </c>
      <c r="R11" s="1">
        <v>79387.152000000002</v>
      </c>
      <c r="S11" s="1">
        <v>84889.490999999995</v>
      </c>
      <c r="T11" s="1">
        <v>92679.103000000003</v>
      </c>
      <c r="U11" s="1">
        <v>97214.372000000003</v>
      </c>
      <c r="V11" s="1">
        <v>118774.124</v>
      </c>
      <c r="W11" s="1">
        <v>131976.39499999999</v>
      </c>
      <c r="X11" s="1">
        <v>141342.16899999999</v>
      </c>
      <c r="Y11" s="1">
        <v>22728.042000000001</v>
      </c>
      <c r="Z11" s="1">
        <v>169999.228</v>
      </c>
      <c r="AA11" s="1">
        <v>181088.1</v>
      </c>
      <c r="AB11" s="1">
        <v>186483.29699999999</v>
      </c>
      <c r="AC11" s="1">
        <v>25068.047999999999</v>
      </c>
      <c r="AE11" s="1">
        <v>48816.576000000001</v>
      </c>
    </row>
    <row r="12" spans="1:31">
      <c r="A12" s="1" t="s">
        <v>29</v>
      </c>
      <c r="B12" s="1">
        <f>20504+17942</f>
        <v>38446</v>
      </c>
      <c r="C12" s="1">
        <f>22822+21232</f>
        <v>44054</v>
      </c>
      <c r="D12" s="1">
        <f>26536+24617</f>
        <v>51153</v>
      </c>
      <c r="E12" s="1">
        <v>81209.535999999993</v>
      </c>
      <c r="F12" s="41">
        <v>105116.83</v>
      </c>
      <c r="G12" s="1">
        <v>128524.927</v>
      </c>
      <c r="H12" s="1">
        <v>127741.72199999999</v>
      </c>
      <c r="I12" s="1">
        <v>138742.88500000001</v>
      </c>
      <c r="J12" s="1">
        <v>164786.916</v>
      </c>
      <c r="K12" s="1">
        <v>232585.60800000001</v>
      </c>
      <c r="L12" s="1">
        <v>261858.557</v>
      </c>
      <c r="M12" s="1">
        <v>318325.533</v>
      </c>
      <c r="N12" s="1">
        <v>423422.91899999999</v>
      </c>
      <c r="O12" s="1">
        <v>582587.64099999995</v>
      </c>
      <c r="P12" s="1">
        <v>689372.31900000002</v>
      </c>
      <c r="Q12" s="1">
        <v>861696.49600000004</v>
      </c>
      <c r="R12" s="1">
        <v>862908.16799999995</v>
      </c>
      <c r="S12" s="1">
        <v>847785.375</v>
      </c>
      <c r="T12" s="1">
        <v>938279.25800000003</v>
      </c>
      <c r="U12" s="1">
        <v>913122.19200000004</v>
      </c>
      <c r="V12" s="1">
        <v>1115493.1340000001</v>
      </c>
      <c r="W12" s="1">
        <v>1291604.0079999999</v>
      </c>
      <c r="X12" s="1">
        <v>1244351.933</v>
      </c>
      <c r="Y12" s="1">
        <v>1282768.996</v>
      </c>
      <c r="Z12" s="1">
        <v>1305042.8929999999</v>
      </c>
      <c r="AA12" s="1">
        <v>1306037.5149999999</v>
      </c>
      <c r="AB12" s="1">
        <v>1292138.7150000001</v>
      </c>
      <c r="AC12" s="1">
        <v>1413309.348</v>
      </c>
      <c r="AE12" s="1">
        <v>1989153.68</v>
      </c>
    </row>
    <row r="13" spans="1:31">
      <c r="A13" s="1" t="s">
        <v>30</v>
      </c>
      <c r="B13" s="1">
        <f>5171+20555</f>
        <v>25726</v>
      </c>
      <c r="C13" s="1">
        <f>5595+21822</f>
        <v>27417</v>
      </c>
      <c r="D13" s="1">
        <f>6388+24343</f>
        <v>30731</v>
      </c>
      <c r="E13" s="1">
        <v>49198.184999999998</v>
      </c>
      <c r="F13" s="41">
        <v>60909.483999999997</v>
      </c>
      <c r="G13" s="1">
        <v>86206.254000000001</v>
      </c>
      <c r="H13" s="1">
        <v>104020.73</v>
      </c>
      <c r="I13" s="1">
        <v>142131.21100000001</v>
      </c>
      <c r="J13" s="1">
        <v>183914.04399999999</v>
      </c>
      <c r="K13" s="1">
        <v>223836.14</v>
      </c>
      <c r="L13" s="1">
        <v>299807.25300000003</v>
      </c>
      <c r="M13" s="1">
        <v>352193.967</v>
      </c>
      <c r="N13" s="1">
        <v>276302.16200000001</v>
      </c>
      <c r="O13" s="1">
        <v>289993.87800000003</v>
      </c>
      <c r="P13" s="1">
        <v>315211.826</v>
      </c>
      <c r="Q13" s="1">
        <v>299830.89299999998</v>
      </c>
      <c r="R13" s="1">
        <v>311641.65700000001</v>
      </c>
      <c r="S13" s="1">
        <v>342907.88900000002</v>
      </c>
      <c r="T13" s="1">
        <v>378013.853</v>
      </c>
      <c r="U13" s="1">
        <v>388123.43199999997</v>
      </c>
      <c r="V13" s="1">
        <v>539798.37399999995</v>
      </c>
      <c r="W13" s="1">
        <v>657889.21100000001</v>
      </c>
      <c r="X13" s="1">
        <v>635348.11899999995</v>
      </c>
      <c r="Y13" s="1">
        <v>692477.94700000004</v>
      </c>
      <c r="Z13" s="1">
        <v>708260.43400000001</v>
      </c>
      <c r="AA13" s="1">
        <v>747990.54200000002</v>
      </c>
      <c r="AB13" s="1">
        <v>772697.07299999997</v>
      </c>
      <c r="AC13" s="1">
        <v>778301.11899999995</v>
      </c>
      <c r="AE13" s="1">
        <v>920007.34699999995</v>
      </c>
    </row>
    <row r="14" spans="1:31">
      <c r="A14" s="1" t="s">
        <v>31</v>
      </c>
      <c r="B14" s="1">
        <f>14625+20429</f>
        <v>35054</v>
      </c>
      <c r="C14" s="1">
        <f>17304+22072</f>
        <v>39376</v>
      </c>
      <c r="D14" s="1">
        <f>20054+24638</f>
        <v>44692</v>
      </c>
      <c r="E14" s="1">
        <v>81725.506999999998</v>
      </c>
      <c r="F14" s="41">
        <v>92208.879000000001</v>
      </c>
      <c r="G14" s="1">
        <v>93188.038</v>
      </c>
      <c r="H14" s="1">
        <v>91513.474000000002</v>
      </c>
      <c r="I14" s="1">
        <v>98364.929000000004</v>
      </c>
      <c r="J14" s="1">
        <v>104278.91899999999</v>
      </c>
      <c r="K14" s="1">
        <v>109104.283</v>
      </c>
      <c r="L14" s="1">
        <v>143726.467</v>
      </c>
      <c r="M14" s="1">
        <v>167127.52100000001</v>
      </c>
      <c r="N14" s="1">
        <v>200661.98300000001</v>
      </c>
      <c r="O14" s="1">
        <v>241946.755</v>
      </c>
      <c r="P14" s="1">
        <v>275685.90899999999</v>
      </c>
      <c r="Q14" s="1">
        <v>297880.59000000003</v>
      </c>
      <c r="R14" s="1">
        <v>321468.43900000001</v>
      </c>
      <c r="S14" s="1">
        <v>348622.61900000001</v>
      </c>
      <c r="T14" s="1">
        <v>381885.13900000002</v>
      </c>
      <c r="U14" s="1">
        <v>408927.21600000001</v>
      </c>
      <c r="V14" s="1">
        <v>461510.23</v>
      </c>
      <c r="W14" s="1">
        <v>497932.641</v>
      </c>
      <c r="X14" s="1">
        <v>515495.40899999999</v>
      </c>
      <c r="Y14" s="1">
        <v>536783.01800000004</v>
      </c>
      <c r="Z14" s="1">
        <v>566466.245</v>
      </c>
      <c r="AA14" s="1">
        <v>607857.34499999997</v>
      </c>
      <c r="AB14" s="1">
        <v>647697.94400000002</v>
      </c>
      <c r="AC14" s="1">
        <v>660475.75100000005</v>
      </c>
      <c r="AE14" s="1">
        <v>713918.26599999995</v>
      </c>
    </row>
    <row r="15" spans="1:31">
      <c r="A15" s="1" t="s">
        <v>32</v>
      </c>
      <c r="B15" s="1">
        <f>7126+40669</f>
        <v>47795</v>
      </c>
      <c r="C15" s="1">
        <f>8063+45066</f>
        <v>53129</v>
      </c>
      <c r="D15" s="1">
        <f>10427+56531</f>
        <v>66958</v>
      </c>
      <c r="E15" s="1">
        <v>106347.697</v>
      </c>
      <c r="F15" s="41">
        <v>124370.677</v>
      </c>
      <c r="G15" s="1">
        <v>136272.652</v>
      </c>
      <c r="H15" s="1">
        <v>128631.133</v>
      </c>
      <c r="I15" s="1">
        <v>134605.005</v>
      </c>
      <c r="J15" s="1">
        <v>139569.451</v>
      </c>
      <c r="K15" s="1">
        <v>140748.08100000001</v>
      </c>
      <c r="L15" s="1">
        <v>164961.90700000001</v>
      </c>
      <c r="M15" s="1">
        <v>179554.39</v>
      </c>
      <c r="N15" s="1">
        <v>203393.345</v>
      </c>
      <c r="O15" s="1">
        <v>220114.07399999999</v>
      </c>
      <c r="P15" s="1">
        <v>236119.04399999999</v>
      </c>
      <c r="Q15" s="1">
        <v>250896.29300000001</v>
      </c>
      <c r="R15" s="1">
        <v>249842.09599999999</v>
      </c>
      <c r="S15" s="1">
        <v>250966.677</v>
      </c>
      <c r="T15" s="1">
        <v>260130.58300000001</v>
      </c>
      <c r="U15" s="1">
        <v>276392.35499999998</v>
      </c>
      <c r="V15" s="1">
        <v>348263.79100000003</v>
      </c>
      <c r="W15" s="1">
        <v>381118.86099999998</v>
      </c>
      <c r="X15" s="1">
        <v>389479.152</v>
      </c>
      <c r="Y15" s="1">
        <v>392403.60200000001</v>
      </c>
      <c r="Z15" s="1">
        <v>404772.386</v>
      </c>
      <c r="AA15" s="1">
        <v>425198.91899999999</v>
      </c>
      <c r="AB15" s="1">
        <v>474428.47700000001</v>
      </c>
      <c r="AC15" s="1">
        <v>494566.13900000002</v>
      </c>
      <c r="AE15" s="1">
        <v>544456.90800000005</v>
      </c>
    </row>
    <row r="16" spans="1:31">
      <c r="A16" s="1" t="s">
        <v>33</v>
      </c>
      <c r="B16" s="1">
        <v>36830</v>
      </c>
      <c r="C16" s="1">
        <f>0+38420</f>
        <v>38420</v>
      </c>
      <c r="D16" s="1">
        <v>40595</v>
      </c>
      <c r="E16" s="1">
        <v>59454.464999999997</v>
      </c>
      <c r="F16" s="41">
        <v>71964.297999999995</v>
      </c>
      <c r="G16" s="1">
        <v>79114.467000000004</v>
      </c>
      <c r="H16" s="1">
        <v>84874.976999999999</v>
      </c>
      <c r="I16" s="1">
        <v>90947.322</v>
      </c>
      <c r="J16" s="1">
        <v>100426.46400000001</v>
      </c>
      <c r="K16" s="1">
        <v>110172.36500000001</v>
      </c>
      <c r="L16" s="1">
        <v>147518.77499999999</v>
      </c>
      <c r="M16" s="1">
        <v>164401.74600000001</v>
      </c>
      <c r="N16" s="1">
        <v>199920.00700000001</v>
      </c>
      <c r="O16" s="1">
        <v>211450.33900000001</v>
      </c>
      <c r="P16" s="1">
        <v>221172.318</v>
      </c>
      <c r="Q16" s="1">
        <v>234468.69</v>
      </c>
      <c r="R16" s="1">
        <v>253522.345</v>
      </c>
      <c r="S16" s="1">
        <v>270131.44199999998</v>
      </c>
      <c r="T16" s="1">
        <v>286205.33799999999</v>
      </c>
      <c r="U16" s="1">
        <v>292442.19199999998</v>
      </c>
      <c r="V16" s="1">
        <v>350816.91399999999</v>
      </c>
      <c r="W16" s="1">
        <v>387219.51400000002</v>
      </c>
      <c r="X16" s="1">
        <v>389782.34</v>
      </c>
      <c r="Y16" s="1">
        <v>412482.83100000001</v>
      </c>
      <c r="Z16" s="1">
        <v>428056.41700000002</v>
      </c>
      <c r="AA16" s="1">
        <v>449438.13699999999</v>
      </c>
      <c r="AB16" s="1">
        <v>458666.26199999999</v>
      </c>
      <c r="AC16" s="1">
        <v>472096.24200000003</v>
      </c>
      <c r="AE16" s="1">
        <v>529771.27500000002</v>
      </c>
    </row>
    <row r="17" spans="1:31">
      <c r="A17" s="1" t="s">
        <v>34</v>
      </c>
      <c r="B17" s="1">
        <f>5320+34837</f>
        <v>40157</v>
      </c>
      <c r="C17" s="1">
        <f>4782+33603</f>
        <v>38385</v>
      </c>
      <c r="D17" s="1">
        <f>6072+38812</f>
        <v>44884</v>
      </c>
      <c r="E17" s="1">
        <v>64900.701999999997</v>
      </c>
      <c r="F17" s="41">
        <v>73029.554000000004</v>
      </c>
      <c r="G17" s="1">
        <v>76319.603000000003</v>
      </c>
      <c r="H17" s="1">
        <v>74097.635999999999</v>
      </c>
      <c r="I17" s="1">
        <v>75464.179000000004</v>
      </c>
      <c r="J17" s="1">
        <v>86480.327000000005</v>
      </c>
      <c r="K17" s="1">
        <v>95967.05</v>
      </c>
      <c r="L17" s="1">
        <v>125451.803</v>
      </c>
      <c r="M17" s="1">
        <v>139335.50700000001</v>
      </c>
      <c r="N17" s="1">
        <v>152870.48300000001</v>
      </c>
      <c r="O17" s="1">
        <v>167848.698</v>
      </c>
      <c r="P17" s="1">
        <v>173382.764</v>
      </c>
      <c r="Q17" s="1">
        <v>178538.10800000001</v>
      </c>
      <c r="R17" s="1">
        <v>211480.79199999999</v>
      </c>
      <c r="S17" s="1">
        <v>219008.23300000001</v>
      </c>
      <c r="T17" s="1">
        <v>214274.81400000001</v>
      </c>
      <c r="U17" s="1">
        <v>227723.628</v>
      </c>
      <c r="V17" s="1">
        <v>288917.72499999998</v>
      </c>
      <c r="W17" s="1">
        <v>322345.71600000001</v>
      </c>
      <c r="X17" s="1">
        <v>338422.84100000001</v>
      </c>
      <c r="Y17" s="1">
        <v>344724.17700000003</v>
      </c>
      <c r="Z17" s="1">
        <v>375776.46100000001</v>
      </c>
      <c r="AA17" s="1">
        <v>417277.24900000001</v>
      </c>
      <c r="AB17" s="1">
        <v>437242.09700000001</v>
      </c>
      <c r="AC17" s="1">
        <v>464665.147</v>
      </c>
      <c r="AE17" s="1">
        <v>499701.26299999998</v>
      </c>
    </row>
    <row r="18" spans="1:31">
      <c r="A18" s="1" t="s">
        <v>35</v>
      </c>
      <c r="B18" s="1">
        <f>12615+45955</f>
        <v>58570</v>
      </c>
      <c r="C18" s="1">
        <f>12451+46299</f>
        <v>58750</v>
      </c>
      <c r="D18" s="1">
        <f>15195+50938</f>
        <v>66133</v>
      </c>
      <c r="E18" s="1">
        <v>93190.740999999995</v>
      </c>
      <c r="F18" s="41">
        <v>105863.03200000001</v>
      </c>
      <c r="G18" s="1">
        <v>172092.106</v>
      </c>
      <c r="H18" s="1">
        <v>163755.93599999999</v>
      </c>
      <c r="I18" s="1">
        <v>124819.894</v>
      </c>
      <c r="J18" s="1">
        <v>178789.182</v>
      </c>
      <c r="K18" s="1">
        <v>213548.44200000001</v>
      </c>
      <c r="L18" s="1">
        <v>194745.30300000001</v>
      </c>
      <c r="M18" s="1">
        <v>220657.12299999999</v>
      </c>
      <c r="N18" s="1">
        <v>260635.239</v>
      </c>
      <c r="O18" s="1">
        <v>311398.239</v>
      </c>
      <c r="P18" s="1">
        <v>332955.73599999998</v>
      </c>
      <c r="Q18" s="1">
        <v>362761.36099999998</v>
      </c>
      <c r="R18" s="1">
        <v>366292.50400000002</v>
      </c>
      <c r="S18" s="1">
        <v>414645.98800000001</v>
      </c>
      <c r="T18" s="1">
        <v>474227.42</v>
      </c>
      <c r="U18" s="1">
        <v>516377.951</v>
      </c>
      <c r="V18" s="1">
        <v>729056.88300000003</v>
      </c>
      <c r="W18" s="1">
        <v>887090.83400000003</v>
      </c>
      <c r="X18" s="1">
        <v>850894.30599999998</v>
      </c>
      <c r="Y18" s="1">
        <v>914107.83700000006</v>
      </c>
      <c r="Z18" s="1">
        <v>946815.27599999995</v>
      </c>
      <c r="AA18" s="1">
        <v>985765.10600000003</v>
      </c>
      <c r="AB18" s="1">
        <v>1014795.971</v>
      </c>
      <c r="AC18" s="1">
        <v>1032053.018</v>
      </c>
      <c r="AE18" s="1">
        <v>1120219.493</v>
      </c>
    </row>
    <row r="19" spans="1:31">
      <c r="A19" s="1" t="s">
        <v>36</v>
      </c>
      <c r="B19" s="1">
        <v>23687</v>
      </c>
      <c r="C19" s="1">
        <f>0+27727</f>
        <v>27727</v>
      </c>
      <c r="D19" s="1">
        <v>33678</v>
      </c>
      <c r="E19" s="1">
        <v>68372.267000000007</v>
      </c>
      <c r="F19" s="41">
        <v>81297.740000000005</v>
      </c>
      <c r="G19" s="1">
        <v>89270.22</v>
      </c>
      <c r="H19" s="1">
        <v>85762.928</v>
      </c>
      <c r="I19" s="1">
        <v>86739.542000000001</v>
      </c>
      <c r="J19" s="1">
        <v>88700.828999999998</v>
      </c>
      <c r="K19" s="1">
        <v>95837.806479999999</v>
      </c>
      <c r="L19" s="1">
        <v>122229.84699999999</v>
      </c>
      <c r="M19" s="1">
        <v>132221.40599999999</v>
      </c>
      <c r="N19" s="1">
        <v>142629.20300000001</v>
      </c>
      <c r="O19" s="1">
        <v>165768.37400000001</v>
      </c>
      <c r="P19" s="1">
        <v>184519.11</v>
      </c>
      <c r="Q19" s="1">
        <v>213864.07</v>
      </c>
      <c r="R19" s="1">
        <v>218872.74799999999</v>
      </c>
      <c r="S19" s="1">
        <v>240495.033</v>
      </c>
      <c r="T19" s="1">
        <v>258675.56200000001</v>
      </c>
      <c r="U19" s="1">
        <v>273796.772</v>
      </c>
      <c r="V19" s="1">
        <v>351871.65500000003</v>
      </c>
      <c r="W19" s="1">
        <v>405680.14199999999</v>
      </c>
      <c r="X19" s="1">
        <v>406740.01799999998</v>
      </c>
      <c r="Y19" s="1">
        <v>427335.32299999997</v>
      </c>
      <c r="Z19" s="1">
        <v>439471.03</v>
      </c>
      <c r="AA19" s="1">
        <v>456206.92800000001</v>
      </c>
      <c r="AB19" s="1">
        <v>475299.35800000001</v>
      </c>
      <c r="AC19" s="1">
        <v>496785.386</v>
      </c>
      <c r="AE19" s="1">
        <v>536331.28399999999</v>
      </c>
    </row>
    <row r="20" spans="1:31">
      <c r="A20" s="1" t="s">
        <v>37</v>
      </c>
      <c r="B20" s="1">
        <f>12144+11060</f>
        <v>23204</v>
      </c>
      <c r="C20" s="1">
        <f>10645+11804</f>
        <v>22449</v>
      </c>
      <c r="D20" s="1">
        <f>11541+14353</f>
        <v>25894</v>
      </c>
      <c r="E20" s="1">
        <v>45258.02</v>
      </c>
      <c r="F20" s="41">
        <v>51950.947999999997</v>
      </c>
      <c r="G20" s="1">
        <v>58611.23</v>
      </c>
      <c r="H20" s="1">
        <v>58871.862000000001</v>
      </c>
      <c r="I20" s="1">
        <v>59495.606</v>
      </c>
      <c r="J20" s="1">
        <v>63396.15</v>
      </c>
      <c r="K20" s="1">
        <v>91315.778999999995</v>
      </c>
      <c r="L20" s="1">
        <v>141606.30499999999</v>
      </c>
      <c r="M20" s="1">
        <v>163818.56200000001</v>
      </c>
      <c r="N20" s="1">
        <v>174817.07699999999</v>
      </c>
      <c r="O20" s="1">
        <v>234024.228</v>
      </c>
      <c r="P20" s="1">
        <v>260310.95499999999</v>
      </c>
      <c r="Q20" s="1">
        <v>282064.74900000001</v>
      </c>
      <c r="R20" s="1">
        <v>309501.804</v>
      </c>
      <c r="S20" s="1">
        <v>337682.04300000001</v>
      </c>
      <c r="T20" s="1">
        <v>377467.75300000003</v>
      </c>
      <c r="U20" s="1">
        <v>425745.935</v>
      </c>
      <c r="V20" s="1">
        <v>490829.18800000002</v>
      </c>
      <c r="W20" s="1">
        <v>526495.74199999997</v>
      </c>
      <c r="X20" s="1">
        <v>532833.17200000002</v>
      </c>
      <c r="Y20" s="1">
        <v>558535.41099999996</v>
      </c>
      <c r="Z20" s="1">
        <v>584141.48300000001</v>
      </c>
      <c r="AA20" s="1">
        <v>621703.85</v>
      </c>
      <c r="AB20" s="1">
        <v>650788.59400000004</v>
      </c>
      <c r="AC20" s="1">
        <v>684320.37</v>
      </c>
      <c r="AE20" s="1">
        <v>777237.19200000004</v>
      </c>
    </row>
    <row r="21" spans="1:31" s="11" customFormat="1">
      <c r="A21" s="1" t="s">
        <v>38</v>
      </c>
      <c r="B21" s="1">
        <f>9803+26391</f>
        <v>36194</v>
      </c>
      <c r="C21" s="1">
        <f>10087+28064</f>
        <v>38151</v>
      </c>
      <c r="D21" s="1">
        <f>10432+31921</f>
        <v>42353</v>
      </c>
      <c r="E21" s="1">
        <v>66029.428</v>
      </c>
      <c r="F21" s="41">
        <v>75851.895000000004</v>
      </c>
      <c r="G21" s="1">
        <v>84586.36</v>
      </c>
      <c r="H21" s="1">
        <v>82152.070999999996</v>
      </c>
      <c r="I21" s="1">
        <v>83134.451000000001</v>
      </c>
      <c r="J21" s="1">
        <v>89096.508000000002</v>
      </c>
      <c r="K21" s="1">
        <v>93311.42399000001</v>
      </c>
      <c r="L21" s="1">
        <v>118780.501</v>
      </c>
      <c r="M21" s="1">
        <v>132641.17600000001</v>
      </c>
      <c r="N21" s="1">
        <v>164835.761</v>
      </c>
      <c r="O21" s="1">
        <v>190594.99799999999</v>
      </c>
      <c r="P21" s="1">
        <v>202144.08300000001</v>
      </c>
      <c r="Q21" s="1">
        <v>265355.14600000001</v>
      </c>
      <c r="R21" s="1">
        <v>320008.47499999998</v>
      </c>
      <c r="S21" s="1">
        <v>400330.88699999999</v>
      </c>
      <c r="T21" s="1">
        <v>450343.27799999999</v>
      </c>
      <c r="U21" s="1">
        <v>496546.478</v>
      </c>
      <c r="V21" s="1">
        <v>595601.02899999998</v>
      </c>
      <c r="W21" s="1">
        <v>663030.69499999995</v>
      </c>
      <c r="X21" s="1">
        <v>677809.07400000002</v>
      </c>
      <c r="Y21" s="1">
        <v>664752.42500000005</v>
      </c>
      <c r="Z21" s="1">
        <v>668188.56599999999</v>
      </c>
      <c r="AA21" s="1">
        <v>716955.571</v>
      </c>
      <c r="AB21" s="1">
        <v>660941.571</v>
      </c>
      <c r="AC21" s="1">
        <v>675400.049</v>
      </c>
      <c r="AD21" s="1"/>
      <c r="AE21" s="1">
        <v>748605.96900000004</v>
      </c>
    </row>
    <row r="22" spans="1:31">
      <c r="A22" s="1" t="s">
        <v>39</v>
      </c>
      <c r="B22" s="1">
        <f>35845+53657</f>
        <v>89502</v>
      </c>
      <c r="C22" s="1">
        <f>38637+61816</f>
        <v>100453</v>
      </c>
      <c r="D22" s="1">
        <f>73573+91392</f>
        <v>164965</v>
      </c>
      <c r="E22" s="1">
        <v>259828.345</v>
      </c>
      <c r="F22" s="41">
        <v>285399.56800000003</v>
      </c>
      <c r="G22" s="1">
        <v>326228.54399999999</v>
      </c>
      <c r="H22" s="1">
        <v>335349.10200000001</v>
      </c>
      <c r="I22" s="1">
        <v>352780.22499999998</v>
      </c>
      <c r="J22" s="1">
        <v>391582.35499999998</v>
      </c>
      <c r="K22" s="1">
        <v>437399.52799999999</v>
      </c>
      <c r="L22" s="1">
        <v>551854.50800000003</v>
      </c>
      <c r="M22" s="1">
        <v>605542.47</v>
      </c>
      <c r="N22" s="1">
        <v>732454.70799999998</v>
      </c>
      <c r="O22" s="1">
        <v>821476.10600000003</v>
      </c>
      <c r="P22" s="1">
        <v>903965.97699999996</v>
      </c>
      <c r="Q22" s="1">
        <v>998065.44700000004</v>
      </c>
      <c r="R22" s="1">
        <v>1098434.1610000001</v>
      </c>
      <c r="S22" s="1">
        <v>1175304.7320000001</v>
      </c>
      <c r="T22" s="1">
        <v>1265605.841</v>
      </c>
      <c r="U22" s="1">
        <v>1378143.996</v>
      </c>
      <c r="V22" s="1">
        <v>1807855.0149999999</v>
      </c>
      <c r="W22" s="1">
        <v>2087620.3389999999</v>
      </c>
      <c r="X22" s="1">
        <v>2017600.0889999999</v>
      </c>
      <c r="Y22" s="1">
        <v>2203547.4640000002</v>
      </c>
      <c r="Z22" s="1">
        <v>2209441.0380000002</v>
      </c>
      <c r="AA22" s="1">
        <v>2364262.932</v>
      </c>
      <c r="AB22" s="1">
        <v>2510419.0079999999</v>
      </c>
      <c r="AC22" s="1">
        <v>2640868.2110000001</v>
      </c>
      <c r="AE22" s="1">
        <v>3033155.4449999998</v>
      </c>
    </row>
    <row r="23" spans="1:31">
      <c r="A23" s="1" t="s">
        <v>40</v>
      </c>
      <c r="B23" s="1">
        <f>18825+26625</f>
        <v>45450</v>
      </c>
      <c r="C23" s="1">
        <f>22244+35515</f>
        <v>57759</v>
      </c>
      <c r="D23" s="1">
        <f>26711+36279</f>
        <v>62990</v>
      </c>
      <c r="E23" s="1">
        <v>109711.416</v>
      </c>
      <c r="F23" s="41">
        <v>132758.19200000001</v>
      </c>
      <c r="G23" s="1">
        <v>151606.50599999999</v>
      </c>
      <c r="H23" s="1">
        <v>160843.014</v>
      </c>
      <c r="I23" s="1">
        <v>177888.21100000001</v>
      </c>
      <c r="J23" s="1">
        <v>192989.20699999999</v>
      </c>
      <c r="K23" s="1">
        <v>207347.432</v>
      </c>
      <c r="L23" s="1">
        <v>241801.943</v>
      </c>
      <c r="M23" s="1">
        <v>257227.31599999999</v>
      </c>
      <c r="N23" s="1">
        <v>288341.413</v>
      </c>
      <c r="O23" s="1">
        <v>292081.91600000003</v>
      </c>
      <c r="P23" s="1">
        <v>315739.48300000001</v>
      </c>
      <c r="Q23" s="1">
        <v>350036.63799999998</v>
      </c>
      <c r="R23" s="1">
        <v>372399.25199999998</v>
      </c>
      <c r="S23" s="1">
        <v>409942.63500000001</v>
      </c>
      <c r="T23" s="1">
        <v>466447.01199999999</v>
      </c>
      <c r="U23" s="1">
        <v>519460.99599999998</v>
      </c>
      <c r="V23" s="1">
        <v>604909.60600000003</v>
      </c>
      <c r="W23" s="1">
        <v>685917.89099999995</v>
      </c>
      <c r="X23" s="1">
        <v>706868.60900000005</v>
      </c>
      <c r="Y23" s="1">
        <v>726088.39899999998</v>
      </c>
      <c r="Z23" s="1">
        <v>771115.85600000003</v>
      </c>
      <c r="AA23" s="1">
        <v>805625.39099999995</v>
      </c>
      <c r="AB23" s="1">
        <v>884373.83200000005</v>
      </c>
      <c r="AC23" s="1">
        <v>965982.304</v>
      </c>
      <c r="AE23" s="1">
        <v>1107489.1100000001</v>
      </c>
    </row>
    <row r="24" spans="1:31">
      <c r="A24" s="23" t="s">
        <v>41</v>
      </c>
      <c r="B24" s="23">
        <f>6271+13249</f>
        <v>19520</v>
      </c>
      <c r="C24" s="23">
        <f>6388+15016</f>
        <v>21404</v>
      </c>
      <c r="D24" s="23">
        <f>6668+16417</f>
        <v>23085</v>
      </c>
      <c r="E24" s="23">
        <v>38847.262999999999</v>
      </c>
      <c r="F24" s="44">
        <v>45735.131000000001</v>
      </c>
      <c r="G24" s="23">
        <v>52060.773999999998</v>
      </c>
      <c r="H24" s="23">
        <v>53513.343999999997</v>
      </c>
      <c r="I24" s="23">
        <v>59648.161</v>
      </c>
      <c r="J24" s="23">
        <v>59898.067000000003</v>
      </c>
      <c r="K24" s="23">
        <v>65266.030319999998</v>
      </c>
      <c r="L24" s="23">
        <v>81618.278999999995</v>
      </c>
      <c r="M24" s="23">
        <v>90393.687999999995</v>
      </c>
      <c r="N24" s="23">
        <v>106078.908</v>
      </c>
      <c r="O24" s="23">
        <v>108971.136</v>
      </c>
      <c r="P24" s="23">
        <v>129791.792</v>
      </c>
      <c r="Q24" s="23">
        <v>129528.984</v>
      </c>
      <c r="R24" s="23">
        <v>143351.351</v>
      </c>
      <c r="S24" s="23">
        <v>149092.758</v>
      </c>
      <c r="T24" s="23">
        <v>159857.19399999999</v>
      </c>
      <c r="U24" s="23">
        <v>173350.93700000001</v>
      </c>
      <c r="V24" s="23">
        <v>203433.492</v>
      </c>
      <c r="W24" s="23">
        <v>226119.06</v>
      </c>
      <c r="X24" s="23">
        <v>230290.75899999999</v>
      </c>
      <c r="Y24" s="23">
        <v>237892.769</v>
      </c>
      <c r="Z24" s="23">
        <v>244721.932</v>
      </c>
      <c r="AA24" s="23">
        <v>258318.682</v>
      </c>
      <c r="AB24" s="23">
        <v>268904.70400000003</v>
      </c>
      <c r="AC24" s="23">
        <v>283050.79800000001</v>
      </c>
      <c r="AD24" s="23"/>
      <c r="AE24" s="23">
        <v>309672.94</v>
      </c>
    </row>
    <row r="25" spans="1:31">
      <c r="A25" s="7" t="s">
        <v>42</v>
      </c>
      <c r="B25" s="47">
        <f>SUM(B27:B39)</f>
        <v>0</v>
      </c>
      <c r="C25" s="47">
        <f t="shared" ref="C25:AC25" si="10">SUM(C27:C39)</f>
        <v>0</v>
      </c>
      <c r="D25" s="47">
        <f t="shared" si="10"/>
        <v>0</v>
      </c>
      <c r="E25" s="47">
        <f t="shared" si="10"/>
        <v>0</v>
      </c>
      <c r="F25" s="47">
        <f t="shared" si="10"/>
        <v>955461.17399999988</v>
      </c>
      <c r="G25" s="47">
        <f t="shared" si="10"/>
        <v>0</v>
      </c>
      <c r="H25" s="47">
        <f t="shared" si="10"/>
        <v>0</v>
      </c>
      <c r="I25" s="47">
        <f t="shared" si="10"/>
        <v>1315779.9139999999</v>
      </c>
      <c r="J25" s="47">
        <f t="shared" si="10"/>
        <v>0</v>
      </c>
      <c r="K25" s="47">
        <f t="shared" si="10"/>
        <v>1498600.1864200002</v>
      </c>
      <c r="L25" s="47">
        <f t="shared" si="10"/>
        <v>1876399.514</v>
      </c>
      <c r="M25" s="47">
        <f t="shared" si="10"/>
        <v>2096986.534</v>
      </c>
      <c r="N25" s="47">
        <f t="shared" si="10"/>
        <v>2406697.6609999994</v>
      </c>
      <c r="O25" s="47">
        <f t="shared" si="10"/>
        <v>2521242.87</v>
      </c>
      <c r="P25" s="47">
        <f t="shared" si="10"/>
        <v>2913064.9340000004</v>
      </c>
      <c r="Q25" s="47">
        <f t="shared" si="10"/>
        <v>3163424.6910000006</v>
      </c>
      <c r="R25" s="47">
        <f t="shared" si="10"/>
        <v>3268005.6379999998</v>
      </c>
      <c r="S25" s="47">
        <f t="shared" si="10"/>
        <v>3504593.7439999999</v>
      </c>
      <c r="T25" s="47">
        <f t="shared" si="10"/>
        <v>3855053.2040000008</v>
      </c>
      <c r="U25" s="47">
        <f t="shared" si="10"/>
        <v>4176162.6579999998</v>
      </c>
      <c r="V25" s="47">
        <f t="shared" si="10"/>
        <v>5394213.3049999997</v>
      </c>
      <c r="W25" s="47">
        <f t="shared" si="10"/>
        <v>6200903.7480000006</v>
      </c>
      <c r="X25" s="47">
        <f t="shared" si="10"/>
        <v>6841691.3899999987</v>
      </c>
      <c r="Y25" s="47">
        <f t="shared" si="10"/>
        <v>7134856.7499999981</v>
      </c>
      <c r="Z25" s="47">
        <f t="shared" si="10"/>
        <v>7453031.0370000005</v>
      </c>
      <c r="AA25" s="47">
        <f t="shared" si="10"/>
        <v>7925794.1339999977</v>
      </c>
      <c r="AB25" s="47">
        <f t="shared" si="10"/>
        <v>8281645.495000001</v>
      </c>
      <c r="AC25" s="47">
        <f t="shared" si="10"/>
        <v>8414703.9290000014</v>
      </c>
      <c r="AD25" s="47">
        <f t="shared" ref="AD25:AE25" si="11">SUM(AD27:AD39)</f>
        <v>0</v>
      </c>
      <c r="AE25" s="47">
        <f t="shared" si="11"/>
        <v>9549188.9070000015</v>
      </c>
    </row>
    <row r="26" spans="1:31">
      <c r="A26" s="7" t="s">
        <v>97</v>
      </c>
      <c r="X26" s="1">
        <v>0</v>
      </c>
      <c r="Y26" s="1">
        <v>0</v>
      </c>
      <c r="AB26" s="1">
        <v>0</v>
      </c>
      <c r="AC26" s="1">
        <v>0</v>
      </c>
    </row>
    <row r="27" spans="1:31">
      <c r="A27" s="1" t="s">
        <v>43</v>
      </c>
      <c r="F27" s="41">
        <v>7797.6629999999996</v>
      </c>
      <c r="I27" s="1">
        <v>10671.164000000001</v>
      </c>
      <c r="K27" s="1">
        <v>11427.217000000001</v>
      </c>
      <c r="L27" s="1">
        <v>10713.306</v>
      </c>
      <c r="M27" s="1">
        <v>11739.079</v>
      </c>
      <c r="N27" s="1">
        <v>13540.9</v>
      </c>
      <c r="O27" s="1">
        <v>16767.734</v>
      </c>
      <c r="P27" s="1">
        <v>20532.32</v>
      </c>
      <c r="Q27" s="1">
        <v>20224.59</v>
      </c>
      <c r="R27" s="1">
        <v>20604.904999999999</v>
      </c>
      <c r="S27" s="1">
        <v>21610.45</v>
      </c>
      <c r="T27" s="1">
        <v>23807.406999999999</v>
      </c>
      <c r="U27" s="1">
        <v>28397.749</v>
      </c>
      <c r="V27" s="1">
        <v>36221.690999999999</v>
      </c>
      <c r="W27" s="1">
        <v>43435.177000000003</v>
      </c>
      <c r="X27" s="1">
        <v>44922.892</v>
      </c>
      <c r="Y27" s="1">
        <v>45476.913999999997</v>
      </c>
      <c r="Z27" s="1">
        <v>44160.144</v>
      </c>
      <c r="AA27" s="1">
        <v>44854.106</v>
      </c>
      <c r="AB27" s="1">
        <v>43605.279999999999</v>
      </c>
      <c r="AC27" s="1">
        <v>45571.928999999996</v>
      </c>
      <c r="AE27" s="1">
        <v>47767.464999999997</v>
      </c>
    </row>
    <row r="28" spans="1:31">
      <c r="A28" s="1" t="s">
        <v>44</v>
      </c>
      <c r="F28" s="41">
        <v>99616.930999999997</v>
      </c>
      <c r="I28" s="1">
        <v>115720.01700000001</v>
      </c>
      <c r="K28" s="1">
        <v>131306.489</v>
      </c>
      <c r="L28" s="1">
        <v>168736.75399999999</v>
      </c>
      <c r="M28" s="1">
        <v>181130.916</v>
      </c>
      <c r="N28" s="1">
        <v>201208.74</v>
      </c>
      <c r="O28" s="1">
        <v>183066.67</v>
      </c>
      <c r="P28" s="1">
        <v>235220.962</v>
      </c>
      <c r="Q28" s="1">
        <v>271284.11200000002</v>
      </c>
      <c r="R28" s="1">
        <v>290413.44</v>
      </c>
      <c r="S28" s="1">
        <v>315914.89399999997</v>
      </c>
      <c r="T28" s="1">
        <v>350754.85499999998</v>
      </c>
      <c r="U28" s="1">
        <v>414839.88799999998</v>
      </c>
      <c r="V28" s="1">
        <v>538723.83200000005</v>
      </c>
      <c r="W28" s="1">
        <v>612111.73899999994</v>
      </c>
      <c r="X28" s="1">
        <v>645630.777</v>
      </c>
      <c r="Y28" s="1">
        <v>670791.50100000005</v>
      </c>
      <c r="Z28" s="1">
        <v>721590.53099999996</v>
      </c>
      <c r="AA28" s="1">
        <v>787635.56799999997</v>
      </c>
      <c r="AB28" s="1">
        <v>860342.34699999995</v>
      </c>
      <c r="AC28" s="1">
        <v>955340.89199999999</v>
      </c>
      <c r="AE28" s="1">
        <v>1163689.9669999999</v>
      </c>
    </row>
    <row r="29" spans="1:31">
      <c r="A29" s="1" t="s">
        <v>45</v>
      </c>
      <c r="F29" s="41">
        <v>388050.875</v>
      </c>
      <c r="I29" s="1">
        <v>684438.4</v>
      </c>
      <c r="K29" s="1">
        <v>789396.97100000002</v>
      </c>
      <c r="L29" s="1">
        <v>980941.68200000003</v>
      </c>
      <c r="M29" s="1">
        <v>1090463.476</v>
      </c>
      <c r="N29" s="1">
        <v>1261297.2069999999</v>
      </c>
      <c r="O29" s="1">
        <v>1315559.557</v>
      </c>
      <c r="P29" s="1">
        <v>1522430.4939999999</v>
      </c>
      <c r="Q29" s="1">
        <v>1630747.436</v>
      </c>
      <c r="R29" s="1">
        <v>1738150.9509999999</v>
      </c>
      <c r="S29" s="1">
        <v>1854233.9850000001</v>
      </c>
      <c r="T29" s="1">
        <v>2032397.5649999999</v>
      </c>
      <c r="U29" s="1">
        <v>2192766.426</v>
      </c>
      <c r="V29" s="1">
        <v>2823692.8679999998</v>
      </c>
      <c r="W29" s="1">
        <v>3220389.8280000002</v>
      </c>
      <c r="X29" s="1">
        <v>3714691.3020000001</v>
      </c>
      <c r="Y29" s="1">
        <v>3871746.4249999998</v>
      </c>
      <c r="Z29" s="1">
        <v>4067389.321</v>
      </c>
      <c r="AA29" s="1">
        <v>4366603.301</v>
      </c>
      <c r="AB29" s="1">
        <v>4521759.4649999999</v>
      </c>
      <c r="AC29" s="1">
        <v>4573910.4309999999</v>
      </c>
      <c r="AE29" s="1">
        <v>5162374.0010000002</v>
      </c>
    </row>
    <row r="30" spans="1:31">
      <c r="A30" s="1" t="s">
        <v>46</v>
      </c>
      <c r="F30" s="41">
        <v>90704.103000000003</v>
      </c>
      <c r="I30" s="1">
        <v>97509.506999999998</v>
      </c>
      <c r="K30" s="1">
        <v>106399.19741999998</v>
      </c>
      <c r="L30" s="1">
        <v>131608.079</v>
      </c>
      <c r="M30" s="1">
        <v>143280.285</v>
      </c>
      <c r="N30" s="1">
        <v>180416.821</v>
      </c>
      <c r="O30" s="1">
        <v>199768.96299999999</v>
      </c>
      <c r="P30" s="1">
        <v>191181.54</v>
      </c>
      <c r="Q30" s="1">
        <v>285888.853</v>
      </c>
      <c r="R30" s="1">
        <v>239117.60699999999</v>
      </c>
      <c r="S30" s="1">
        <v>243831.08799999999</v>
      </c>
      <c r="T30" s="1">
        <v>273292.94400000002</v>
      </c>
      <c r="U30" s="1">
        <v>300620.78200000001</v>
      </c>
      <c r="V30" s="1">
        <v>390146.60800000001</v>
      </c>
      <c r="W30" s="1">
        <v>433391.68400000001</v>
      </c>
      <c r="X30" s="1">
        <v>455520.152</v>
      </c>
      <c r="Y30" s="1">
        <v>478232.70299999998</v>
      </c>
      <c r="Z30" s="1">
        <v>502857.00099999999</v>
      </c>
      <c r="AA30" s="1">
        <v>541875.96900000004</v>
      </c>
      <c r="AB30" s="1">
        <v>583761.80299999996</v>
      </c>
      <c r="AC30" s="1">
        <v>605781.88199999998</v>
      </c>
      <c r="AE30" s="1">
        <v>699159.67299999995</v>
      </c>
    </row>
    <row r="31" spans="1:31">
      <c r="A31" s="1" t="s">
        <v>47</v>
      </c>
      <c r="F31" s="41">
        <v>7356.402</v>
      </c>
      <c r="I31" s="1">
        <v>8349.4850000000006</v>
      </c>
      <c r="K31" s="1">
        <v>8962.1720000000005</v>
      </c>
      <c r="L31" s="1">
        <v>10685.5</v>
      </c>
      <c r="M31" s="1">
        <v>12581.074000000001</v>
      </c>
      <c r="N31" s="1">
        <v>35994.714</v>
      </c>
      <c r="O31" s="1">
        <v>40614.616000000002</v>
      </c>
      <c r="P31" s="1">
        <v>41645.572</v>
      </c>
      <c r="Q31" s="1">
        <v>37689.597000000002</v>
      </c>
      <c r="R31" s="1">
        <v>36264.476999999999</v>
      </c>
      <c r="S31" s="1">
        <v>39700.703999999998</v>
      </c>
      <c r="T31" s="1">
        <v>48646.991999999998</v>
      </c>
      <c r="U31" s="1">
        <v>48579.398000000001</v>
      </c>
      <c r="V31" s="1">
        <v>67125.159</v>
      </c>
      <c r="W31" s="1">
        <v>98102.089000000007</v>
      </c>
      <c r="X31" s="1">
        <v>109105.027</v>
      </c>
      <c r="Y31" s="1">
        <v>115423.193</v>
      </c>
      <c r="Z31" s="1">
        <v>122723.087</v>
      </c>
      <c r="AA31" s="1">
        <v>123399.436</v>
      </c>
      <c r="AB31" s="1">
        <v>124623.288</v>
      </c>
      <c r="AC31" s="1">
        <v>130147.531</v>
      </c>
      <c r="AE31" s="1">
        <v>128723.16</v>
      </c>
    </row>
    <row r="32" spans="1:31">
      <c r="A32" s="1" t="s">
        <v>48</v>
      </c>
      <c r="F32" s="41">
        <v>28697.809000000001</v>
      </c>
      <c r="I32" s="1">
        <v>34933.987999999998</v>
      </c>
      <c r="K32" s="1">
        <v>38074.504000000001</v>
      </c>
      <c r="L32" s="1">
        <v>49076.836000000003</v>
      </c>
      <c r="M32" s="1">
        <v>56157.74</v>
      </c>
      <c r="N32" s="1">
        <v>70483.657999999996</v>
      </c>
      <c r="O32" s="1">
        <v>80323.557000000001</v>
      </c>
      <c r="P32" s="1">
        <v>86143.112999999998</v>
      </c>
      <c r="Q32" s="1">
        <v>86107.372000000003</v>
      </c>
      <c r="R32" s="1">
        <v>82952.466</v>
      </c>
      <c r="S32" s="1">
        <v>85257.438999999998</v>
      </c>
      <c r="T32" s="1">
        <v>91039.014999999999</v>
      </c>
      <c r="U32" s="1">
        <v>102239.481</v>
      </c>
      <c r="V32" s="1">
        <v>131588.065</v>
      </c>
      <c r="W32" s="1">
        <v>149995.02799999999</v>
      </c>
      <c r="X32" s="1">
        <v>148358.76199999999</v>
      </c>
      <c r="Y32" s="1">
        <v>143224.94200000001</v>
      </c>
      <c r="Z32" s="1">
        <v>138110.38</v>
      </c>
      <c r="AA32" s="1">
        <v>137788.266</v>
      </c>
      <c r="AB32" s="1">
        <v>135920.337</v>
      </c>
      <c r="AC32" s="1">
        <v>143845.11600000001</v>
      </c>
      <c r="AE32" s="1">
        <v>155905.46799999999</v>
      </c>
    </row>
    <row r="33" spans="1:31">
      <c r="A33" s="1" t="s">
        <v>49</v>
      </c>
      <c r="F33" s="41">
        <v>25096.7</v>
      </c>
      <c r="I33" s="1">
        <v>24870.455000000002</v>
      </c>
      <c r="K33" s="1">
        <v>36805.735000000001</v>
      </c>
      <c r="L33" s="1">
        <v>39575.921999999999</v>
      </c>
      <c r="M33" s="1">
        <v>44132.328000000001</v>
      </c>
      <c r="N33" s="1">
        <v>52915.817000000003</v>
      </c>
      <c r="O33" s="1">
        <v>62536.436000000002</v>
      </c>
      <c r="P33" s="1">
        <v>66336.581000000006</v>
      </c>
      <c r="Q33" s="1">
        <v>68421.244999999995</v>
      </c>
      <c r="R33" s="1">
        <v>71742.028000000006</v>
      </c>
      <c r="S33" s="1">
        <v>73601.676999999996</v>
      </c>
      <c r="T33" s="1">
        <v>78293.960999999996</v>
      </c>
      <c r="U33" s="1">
        <v>84146.854000000007</v>
      </c>
      <c r="V33" s="1">
        <v>103644.91800000001</v>
      </c>
      <c r="W33" s="1">
        <v>117837.067</v>
      </c>
      <c r="X33" s="1">
        <v>118700.265</v>
      </c>
      <c r="Y33" s="1">
        <v>117881.481</v>
      </c>
      <c r="Z33" s="1">
        <v>117526.007</v>
      </c>
      <c r="AA33" s="1">
        <v>117519.64</v>
      </c>
      <c r="AB33" s="1">
        <v>113453.57</v>
      </c>
      <c r="AC33" s="1">
        <v>114598.594</v>
      </c>
      <c r="AE33" s="1">
        <v>123490.772</v>
      </c>
    </row>
    <row r="34" spans="1:31">
      <c r="A34" s="1" t="s">
        <v>50</v>
      </c>
      <c r="F34" s="41">
        <v>11420.107</v>
      </c>
      <c r="I34" s="1">
        <v>16015.73</v>
      </c>
      <c r="K34" s="1">
        <v>19200.348999999998</v>
      </c>
      <c r="L34" s="1">
        <v>27406.125</v>
      </c>
      <c r="M34" s="1">
        <v>36374.837</v>
      </c>
      <c r="N34" s="1">
        <v>47585.928999999996</v>
      </c>
      <c r="O34" s="1">
        <v>54943.233999999997</v>
      </c>
      <c r="P34" s="1">
        <v>81814.934999999998</v>
      </c>
      <c r="Q34" s="1">
        <v>85524.561000000002</v>
      </c>
      <c r="R34" s="1">
        <v>88606.812000000005</v>
      </c>
      <c r="S34" s="1">
        <v>91440.853000000003</v>
      </c>
      <c r="T34" s="1">
        <v>93024.536999999997</v>
      </c>
      <c r="U34" s="1">
        <v>84847.23</v>
      </c>
      <c r="V34" s="1">
        <v>104100.84699999999</v>
      </c>
      <c r="W34" s="1">
        <v>124188.202</v>
      </c>
      <c r="X34" s="1">
        <v>131164.09599999999</v>
      </c>
      <c r="Y34" s="1">
        <v>138061.038</v>
      </c>
      <c r="Z34" s="1">
        <v>142344.571</v>
      </c>
      <c r="AA34" s="1">
        <v>152949.511</v>
      </c>
      <c r="AB34" s="1">
        <v>165131.61600000001</v>
      </c>
      <c r="AC34" s="1">
        <v>169740.27499999999</v>
      </c>
      <c r="AE34" s="1">
        <v>201040.60500000001</v>
      </c>
    </row>
    <row r="35" spans="1:31">
      <c r="A35" s="1" t="s">
        <v>51</v>
      </c>
      <c r="F35" s="41">
        <v>55207.779000000002</v>
      </c>
      <c r="I35" s="1">
        <v>58194.207999999999</v>
      </c>
      <c r="K35" s="1">
        <v>63974.154999999999</v>
      </c>
      <c r="L35" s="1">
        <v>83813.278000000006</v>
      </c>
      <c r="M35" s="1">
        <v>90928.126999999993</v>
      </c>
      <c r="N35" s="1">
        <v>100034.73699999999</v>
      </c>
      <c r="O35" s="1">
        <v>112894.85</v>
      </c>
      <c r="P35" s="1">
        <v>126690.516</v>
      </c>
      <c r="Q35" s="1">
        <v>120428.80499999999</v>
      </c>
      <c r="R35" s="1">
        <v>126371.537</v>
      </c>
      <c r="S35" s="1">
        <v>138943.72399999999</v>
      </c>
      <c r="T35" s="1">
        <v>147944.929</v>
      </c>
      <c r="U35" s="1">
        <v>154660.636</v>
      </c>
      <c r="V35" s="1">
        <v>184863.19200000001</v>
      </c>
      <c r="W35" s="1">
        <v>207256.93400000001</v>
      </c>
      <c r="X35" s="1">
        <v>209194.60200000001</v>
      </c>
      <c r="Y35" s="1">
        <v>208353.391</v>
      </c>
      <c r="Z35" s="1">
        <v>217375.79300000001</v>
      </c>
      <c r="AA35" s="1">
        <v>214622.549</v>
      </c>
      <c r="AB35" s="1">
        <v>208871.76699999999</v>
      </c>
      <c r="AC35" s="1">
        <v>211889.05799999999</v>
      </c>
      <c r="AE35" s="1">
        <v>202837.677</v>
      </c>
    </row>
    <row r="36" spans="1:31">
      <c r="A36" s="1" t="s">
        <v>52</v>
      </c>
      <c r="F36" s="41">
        <v>59051.656999999999</v>
      </c>
      <c r="I36" s="1">
        <v>59958.940999999999</v>
      </c>
      <c r="K36" s="1">
        <v>63781.262999999999</v>
      </c>
      <c r="L36" s="1">
        <v>82390.490000000005</v>
      </c>
      <c r="M36" s="1">
        <v>101013.371</v>
      </c>
      <c r="N36" s="1">
        <v>114025.746</v>
      </c>
      <c r="O36" s="1">
        <v>94376.773000000001</v>
      </c>
      <c r="P36" s="1">
        <v>105011.49800000001</v>
      </c>
      <c r="Q36" s="1">
        <v>113459.253</v>
      </c>
      <c r="R36" s="1">
        <v>107708.621</v>
      </c>
      <c r="S36" s="1">
        <v>113758.677</v>
      </c>
      <c r="T36" s="1">
        <v>128344.916</v>
      </c>
      <c r="U36" s="1">
        <v>142162.51</v>
      </c>
      <c r="V36" s="1">
        <v>250388.90599999999</v>
      </c>
      <c r="W36" s="1">
        <v>270610.31400000001</v>
      </c>
      <c r="X36" s="1">
        <v>293861.79599999997</v>
      </c>
      <c r="Y36" s="1">
        <v>316168.98100000003</v>
      </c>
      <c r="Z36" s="1">
        <v>323221.71600000001</v>
      </c>
      <c r="AA36" s="1">
        <v>328697.147</v>
      </c>
      <c r="AB36" s="1">
        <v>348328.51500000001</v>
      </c>
      <c r="AC36" s="1">
        <v>335410.24800000002</v>
      </c>
      <c r="AE36" s="1">
        <v>405618.43400000001</v>
      </c>
    </row>
    <row r="37" spans="1:31">
      <c r="A37" s="1" t="s">
        <v>53</v>
      </c>
      <c r="F37" s="41">
        <v>48905.79</v>
      </c>
      <c r="I37" s="1">
        <v>55671.696000000004</v>
      </c>
      <c r="K37" s="1">
        <v>58961.485000000001</v>
      </c>
      <c r="L37" s="1">
        <v>76264.047000000006</v>
      </c>
      <c r="M37" s="1">
        <v>85860.414000000004</v>
      </c>
      <c r="N37" s="1">
        <v>107820.442</v>
      </c>
      <c r="O37" s="1">
        <v>123665.019</v>
      </c>
      <c r="P37" s="1">
        <v>151884.247</v>
      </c>
      <c r="Q37" s="1">
        <v>159064.476</v>
      </c>
      <c r="R37" s="1">
        <v>161028.845</v>
      </c>
      <c r="S37" s="1">
        <v>171452.18900000001</v>
      </c>
      <c r="T37" s="1">
        <v>188003.46900000001</v>
      </c>
      <c r="U37" s="1">
        <v>208261.196</v>
      </c>
      <c r="V37" s="1">
        <v>270348.75699999998</v>
      </c>
      <c r="W37" s="1">
        <v>380628.39299999998</v>
      </c>
      <c r="X37" s="1">
        <v>356660.69300000003</v>
      </c>
      <c r="Y37" s="1">
        <v>342214.76</v>
      </c>
      <c r="Z37" s="1">
        <v>349776.21899999998</v>
      </c>
      <c r="AA37" s="1">
        <v>370513.20299999998</v>
      </c>
      <c r="AB37" s="1">
        <v>402923.359</v>
      </c>
      <c r="AC37" s="1">
        <v>382436.174</v>
      </c>
      <c r="AE37" s="1">
        <v>467636.44900000002</v>
      </c>
    </row>
    <row r="38" spans="1:31">
      <c r="A38" s="1" t="s">
        <v>54</v>
      </c>
      <c r="F38" s="41">
        <v>117628.264</v>
      </c>
      <c r="I38" s="1">
        <v>134400.47</v>
      </c>
      <c r="K38" s="1">
        <v>154439.465</v>
      </c>
      <c r="L38" s="1">
        <v>194384.492</v>
      </c>
      <c r="M38" s="1">
        <v>220885.98</v>
      </c>
      <c r="N38" s="1">
        <v>199976.30600000001</v>
      </c>
      <c r="O38" s="1">
        <v>213839.981</v>
      </c>
      <c r="P38" s="1">
        <v>261122.58300000001</v>
      </c>
      <c r="Q38" s="1">
        <v>260518.853</v>
      </c>
      <c r="R38" s="1">
        <v>280525.777</v>
      </c>
      <c r="S38" s="1">
        <v>327301.32500000001</v>
      </c>
      <c r="T38" s="1">
        <v>363563.88400000002</v>
      </c>
      <c r="U38" s="1">
        <v>374940.05200000003</v>
      </c>
      <c r="V38" s="1">
        <v>444998.92499999999</v>
      </c>
      <c r="W38" s="1">
        <v>490552.20600000001</v>
      </c>
      <c r="X38" s="1">
        <v>561718.42299999995</v>
      </c>
      <c r="Y38" s="1">
        <v>635540.71200000006</v>
      </c>
      <c r="Z38" s="1">
        <v>653788.75899999996</v>
      </c>
      <c r="AA38" s="1">
        <v>681538.27599999995</v>
      </c>
      <c r="AB38" s="1">
        <v>714690.43</v>
      </c>
      <c r="AC38" s="1">
        <v>688213.15700000001</v>
      </c>
      <c r="AE38" s="1">
        <v>737854.23600000003</v>
      </c>
    </row>
    <row r="39" spans="1:31">
      <c r="A39" s="23" t="s">
        <v>55</v>
      </c>
      <c r="B39" s="23"/>
      <c r="C39" s="23"/>
      <c r="D39" s="23"/>
      <c r="E39" s="23"/>
      <c r="F39" s="44">
        <v>15927.093999999999</v>
      </c>
      <c r="G39" s="23"/>
      <c r="H39" s="23"/>
      <c r="I39" s="23">
        <v>15045.852999999999</v>
      </c>
      <c r="J39" s="23"/>
      <c r="K39" s="23">
        <v>15871.183999999999</v>
      </c>
      <c r="L39" s="23">
        <v>20803.003000000001</v>
      </c>
      <c r="M39" s="23">
        <v>22438.906999999999</v>
      </c>
      <c r="N39" s="23">
        <v>21396.644</v>
      </c>
      <c r="O39" s="23">
        <v>22885.48</v>
      </c>
      <c r="P39" s="23">
        <v>23050.573</v>
      </c>
      <c r="Q39" s="23">
        <v>24065.538</v>
      </c>
      <c r="R39" s="23">
        <v>24518.171999999999</v>
      </c>
      <c r="S39" s="23">
        <v>27546.739000000001</v>
      </c>
      <c r="T39" s="23">
        <v>35938.730000000003</v>
      </c>
      <c r="U39" s="23">
        <v>39700.455999999998</v>
      </c>
      <c r="V39" s="23">
        <v>48369.536999999997</v>
      </c>
      <c r="W39" s="23">
        <v>52405.087</v>
      </c>
      <c r="X39" s="23">
        <v>52162.603000000003</v>
      </c>
      <c r="Y39" s="23">
        <v>51740.709000000003</v>
      </c>
      <c r="Z39" s="23">
        <v>52167.508000000002</v>
      </c>
      <c r="AA39" s="23">
        <v>57797.161999999997</v>
      </c>
      <c r="AB39" s="23">
        <v>58233.718000000001</v>
      </c>
      <c r="AC39" s="23">
        <v>57818.642</v>
      </c>
      <c r="AD39" s="23"/>
      <c r="AE39" s="23">
        <v>53091</v>
      </c>
    </row>
    <row r="40" spans="1:31">
      <c r="A40" s="7" t="s">
        <v>56</v>
      </c>
      <c r="B40" s="47">
        <f>SUM(B42:B53)</f>
        <v>0</v>
      </c>
      <c r="C40" s="47">
        <f t="shared" ref="C40:AC40" si="12">SUM(C42:C53)</f>
        <v>0</v>
      </c>
      <c r="D40" s="47">
        <f t="shared" si="12"/>
        <v>0</v>
      </c>
      <c r="E40" s="47">
        <f t="shared" si="12"/>
        <v>0</v>
      </c>
      <c r="F40" s="47">
        <f t="shared" si="12"/>
        <v>1342619.4169999999</v>
      </c>
      <c r="G40" s="47">
        <f t="shared" si="12"/>
        <v>0</v>
      </c>
      <c r="H40" s="47">
        <f t="shared" si="12"/>
        <v>0</v>
      </c>
      <c r="I40" s="47">
        <f t="shared" si="12"/>
        <v>1517140.2580000001</v>
      </c>
      <c r="J40" s="47">
        <f t="shared" si="12"/>
        <v>0</v>
      </c>
      <c r="K40" s="47">
        <f t="shared" si="12"/>
        <v>1722094.67139</v>
      </c>
      <c r="L40" s="47">
        <f t="shared" si="12"/>
        <v>2023808.8709999998</v>
      </c>
      <c r="M40" s="47">
        <f t="shared" si="12"/>
        <v>2211274.9419999998</v>
      </c>
      <c r="N40" s="47">
        <f t="shared" si="12"/>
        <v>2504691.8739999994</v>
      </c>
      <c r="O40" s="47">
        <f t="shared" si="12"/>
        <v>2803857.7180000003</v>
      </c>
      <c r="P40" s="47">
        <f t="shared" si="12"/>
        <v>3058465.6849999996</v>
      </c>
      <c r="Q40" s="47">
        <f t="shared" si="12"/>
        <v>3342814.8650000002</v>
      </c>
      <c r="R40" s="47">
        <f t="shared" si="12"/>
        <v>3570354.4130000002</v>
      </c>
      <c r="S40" s="47">
        <f t="shared" si="12"/>
        <v>3835458.4590000003</v>
      </c>
      <c r="T40" s="47">
        <f t="shared" si="12"/>
        <v>4162900.9169999994</v>
      </c>
      <c r="U40" s="47">
        <f t="shared" si="12"/>
        <v>4458862.165</v>
      </c>
      <c r="V40" s="47">
        <f t="shared" si="12"/>
        <v>5332255.29</v>
      </c>
      <c r="W40" s="47">
        <f t="shared" si="12"/>
        <v>5825335.3010000009</v>
      </c>
      <c r="X40" s="47">
        <f t="shared" si="12"/>
        <v>5831669.5090000005</v>
      </c>
      <c r="Y40" s="47">
        <f t="shared" si="12"/>
        <v>5962538.5769999996</v>
      </c>
      <c r="Z40" s="47">
        <f t="shared" si="12"/>
        <v>6245223.4530000007</v>
      </c>
      <c r="AA40" s="47">
        <f t="shared" si="12"/>
        <v>6549798.8489999995</v>
      </c>
      <c r="AB40" s="47">
        <f t="shared" si="12"/>
        <v>6786943.0140000004</v>
      </c>
      <c r="AC40" s="47">
        <f t="shared" si="12"/>
        <v>7036523.2770000007</v>
      </c>
      <c r="AD40" s="47">
        <f t="shared" ref="AD40:AE40" si="13">SUM(AD42:AD53)</f>
        <v>0</v>
      </c>
      <c r="AE40" s="47">
        <f t="shared" si="13"/>
        <v>7575787.6869999999</v>
      </c>
    </row>
    <row r="41" spans="1:31">
      <c r="A41" s="7" t="s">
        <v>97</v>
      </c>
      <c r="X41" s="1">
        <v>0</v>
      </c>
      <c r="Y41" s="1">
        <v>0</v>
      </c>
      <c r="AB41" s="1">
        <v>0</v>
      </c>
      <c r="AC41" s="1">
        <v>0</v>
      </c>
    </row>
    <row r="42" spans="1:31">
      <c r="A42" s="1" t="s">
        <v>57</v>
      </c>
      <c r="F42" s="41">
        <v>167788.36300000001</v>
      </c>
      <c r="I42" s="1">
        <v>207189.55300000001</v>
      </c>
      <c r="K42" s="1">
        <v>219156.14199999999</v>
      </c>
      <c r="L42" s="1">
        <v>259338.821</v>
      </c>
      <c r="M42" s="1">
        <v>276161.04200000002</v>
      </c>
      <c r="N42" s="1">
        <v>336446.76199999999</v>
      </c>
      <c r="O42" s="1">
        <v>385740.84</v>
      </c>
      <c r="P42" s="1">
        <v>415537.83</v>
      </c>
      <c r="Q42" s="1">
        <v>453118.48300000001</v>
      </c>
      <c r="R42" s="1">
        <v>484482.38299999997</v>
      </c>
      <c r="S42" s="1">
        <v>537512.51599999995</v>
      </c>
      <c r="T42" s="1">
        <v>575329.43900000001</v>
      </c>
      <c r="U42" s="1">
        <v>619633.24300000002</v>
      </c>
      <c r="V42" s="1">
        <v>728518.21200000006</v>
      </c>
      <c r="W42" s="1">
        <v>810721.05700000003</v>
      </c>
      <c r="X42" s="1">
        <v>831947.41399999999</v>
      </c>
      <c r="Y42" s="1">
        <v>880280.76199999999</v>
      </c>
      <c r="Z42" s="1">
        <v>983458.69799999997</v>
      </c>
      <c r="AA42" s="1">
        <v>1089861.7339999999</v>
      </c>
      <c r="AB42" s="1">
        <v>1080626.5830000001</v>
      </c>
      <c r="AC42" s="1">
        <v>1109487.064</v>
      </c>
      <c r="AE42" s="1">
        <v>959655.15500000003</v>
      </c>
    </row>
    <row r="43" spans="1:31">
      <c r="A43" s="1" t="s">
        <v>58</v>
      </c>
      <c r="F43" s="41">
        <v>133788.557</v>
      </c>
      <c r="I43" s="1">
        <v>145849.848</v>
      </c>
      <c r="K43" s="1">
        <v>157912.77600000001</v>
      </c>
      <c r="L43" s="1">
        <v>194085.73800000001</v>
      </c>
      <c r="M43" s="1">
        <v>212948.89499999999</v>
      </c>
      <c r="N43" s="1">
        <v>270881.03999999998</v>
      </c>
      <c r="O43" s="1">
        <v>309151.09000000003</v>
      </c>
      <c r="P43" s="1">
        <v>350669.19300000003</v>
      </c>
      <c r="Q43" s="1">
        <v>356208.02600000001</v>
      </c>
      <c r="R43" s="1">
        <v>389910.53700000001</v>
      </c>
      <c r="S43" s="1">
        <v>415190.37300000002</v>
      </c>
      <c r="T43" s="1">
        <v>448543.02799999999</v>
      </c>
      <c r="U43" s="1">
        <v>511427.47600000002</v>
      </c>
      <c r="V43" s="1">
        <v>636994.06000000006</v>
      </c>
      <c r="W43" s="1">
        <v>712389.81700000004</v>
      </c>
      <c r="X43" s="1">
        <v>717590.03799999994</v>
      </c>
      <c r="Y43" s="1">
        <v>704185.72199999995</v>
      </c>
      <c r="Z43" s="1">
        <v>746213.42299999995</v>
      </c>
      <c r="AA43" s="1">
        <v>775331.24899999995</v>
      </c>
      <c r="AB43" s="1">
        <v>821518.10199999996</v>
      </c>
      <c r="AC43" s="1">
        <v>852631.51699999999</v>
      </c>
      <c r="AE43" s="1">
        <v>1027198.423</v>
      </c>
    </row>
    <row r="44" spans="1:31">
      <c r="A44" s="1" t="s">
        <v>59</v>
      </c>
      <c r="F44" s="41">
        <v>66334.540999999997</v>
      </c>
      <c r="I44" s="1">
        <v>73444.881999999998</v>
      </c>
      <c r="K44" s="1">
        <v>80261.796000000002</v>
      </c>
      <c r="L44" s="1">
        <v>96397.906000000003</v>
      </c>
      <c r="M44" s="1">
        <v>103264.526</v>
      </c>
      <c r="N44" s="1">
        <v>122132.2</v>
      </c>
      <c r="O44" s="1">
        <v>137343.848</v>
      </c>
      <c r="P44" s="1">
        <v>160845.38800000001</v>
      </c>
      <c r="Q44" s="1">
        <v>162983.86600000001</v>
      </c>
      <c r="R44" s="1">
        <v>166803.99900000001</v>
      </c>
      <c r="S44" s="1">
        <v>180623.71900000001</v>
      </c>
      <c r="T44" s="1">
        <v>189814.93400000001</v>
      </c>
      <c r="U44" s="1">
        <v>204818.171</v>
      </c>
      <c r="V44" s="1">
        <v>234977.17800000001</v>
      </c>
      <c r="W44" s="1">
        <v>256649.33499999999</v>
      </c>
      <c r="X44" s="1">
        <v>258079.49600000001</v>
      </c>
      <c r="Y44" s="1">
        <v>282405.77100000001</v>
      </c>
      <c r="Z44" s="1">
        <v>298774.73100000003</v>
      </c>
      <c r="AA44" s="1">
        <v>314684.21899999998</v>
      </c>
      <c r="AB44" s="1">
        <v>335540.41200000001</v>
      </c>
      <c r="AC44" s="1">
        <v>357736.79100000003</v>
      </c>
      <c r="AE44" s="1">
        <v>379068.42499999999</v>
      </c>
    </row>
    <row r="45" spans="1:31">
      <c r="A45" s="1" t="s">
        <v>60</v>
      </c>
      <c r="F45" s="41">
        <v>61031.000999999997</v>
      </c>
      <c r="I45" s="1">
        <v>67557.573999999993</v>
      </c>
      <c r="K45" s="1">
        <v>67860.793999999994</v>
      </c>
      <c r="L45" s="1">
        <v>83655.221000000005</v>
      </c>
      <c r="M45" s="1">
        <v>92073.209000000003</v>
      </c>
      <c r="N45" s="1">
        <v>92897.107999999993</v>
      </c>
      <c r="O45" s="1">
        <v>103803.098</v>
      </c>
      <c r="P45" s="1">
        <v>124442.031</v>
      </c>
      <c r="Q45" s="1">
        <v>126974.352</v>
      </c>
      <c r="R45" s="1">
        <v>124443.936</v>
      </c>
      <c r="S45" s="1">
        <v>124978.22199999999</v>
      </c>
      <c r="T45" s="1">
        <v>133475.56899999999</v>
      </c>
      <c r="U45" s="1">
        <v>156625.674</v>
      </c>
      <c r="V45" s="1">
        <v>200261.859</v>
      </c>
      <c r="W45" s="1">
        <v>223132.42199999999</v>
      </c>
      <c r="X45" s="1">
        <v>215137.889</v>
      </c>
      <c r="Y45" s="1">
        <v>214827.223</v>
      </c>
      <c r="Z45" s="1">
        <v>216404.967</v>
      </c>
      <c r="AA45" s="1">
        <v>219566.45300000001</v>
      </c>
      <c r="AB45" s="1">
        <v>225736.19099999999</v>
      </c>
      <c r="AC45" s="1">
        <v>237934.92300000001</v>
      </c>
      <c r="AE45" s="1">
        <v>253098.43299999999</v>
      </c>
    </row>
    <row r="46" spans="1:31">
      <c r="A46" s="1" t="s">
        <v>61</v>
      </c>
      <c r="F46" s="41">
        <v>252504.39799999999</v>
      </c>
      <c r="I46" s="1">
        <v>288411.66700000002</v>
      </c>
      <c r="K46" s="1">
        <v>369120.30699999997</v>
      </c>
      <c r="L46" s="1">
        <v>393074.42200000002</v>
      </c>
      <c r="M46" s="1">
        <v>422996.16899999999</v>
      </c>
      <c r="N46" s="1">
        <v>495261.038</v>
      </c>
      <c r="O46" s="1">
        <v>552797.27800000005</v>
      </c>
      <c r="P46" s="1">
        <v>583760.52599999995</v>
      </c>
      <c r="Q46" s="1">
        <v>601809.08700000006</v>
      </c>
      <c r="R46" s="1">
        <v>663675.10900000005</v>
      </c>
      <c r="S46" s="1">
        <v>701577.44499999995</v>
      </c>
      <c r="T46" s="1">
        <v>780809.96600000001</v>
      </c>
      <c r="U46" s="1">
        <v>886324.071</v>
      </c>
      <c r="V46" s="1">
        <v>1062402.307</v>
      </c>
      <c r="W46" s="1">
        <v>1167198.7</v>
      </c>
      <c r="X46" s="1">
        <v>1195683.2879999999</v>
      </c>
      <c r="Y46" s="1">
        <v>1234918.784</v>
      </c>
      <c r="Z46" s="1">
        <v>1280542.0689999999</v>
      </c>
      <c r="AA46" s="1">
        <v>1345497.872</v>
      </c>
      <c r="AB46" s="1">
        <v>1411983.1669999999</v>
      </c>
      <c r="AC46" s="1">
        <v>1488670.602</v>
      </c>
      <c r="AE46" s="1">
        <v>1672340.581</v>
      </c>
    </row>
    <row r="47" spans="1:31">
      <c r="A47" s="1" t="s">
        <v>62</v>
      </c>
      <c r="F47" s="41">
        <v>96388.270999999993</v>
      </c>
      <c r="I47" s="1">
        <v>106324.44100000001</v>
      </c>
      <c r="K47" s="1">
        <v>134052.052</v>
      </c>
      <c r="L47" s="1">
        <v>141355.91399999999</v>
      </c>
      <c r="M47" s="1">
        <v>155790.476</v>
      </c>
      <c r="N47" s="1">
        <v>194699.70699999999</v>
      </c>
      <c r="O47" s="1">
        <v>228716.92</v>
      </c>
      <c r="P47" s="1">
        <v>230626.226</v>
      </c>
      <c r="Q47" s="1">
        <v>245356.99799999999</v>
      </c>
      <c r="R47" s="1">
        <v>249401.18599999999</v>
      </c>
      <c r="S47" s="1">
        <v>275366.05499999999</v>
      </c>
      <c r="T47" s="1">
        <v>300164.62199999997</v>
      </c>
      <c r="U47" s="1">
        <v>320254.495</v>
      </c>
      <c r="V47" s="1">
        <v>393253.15399999998</v>
      </c>
      <c r="W47" s="1">
        <v>421887.05599999998</v>
      </c>
      <c r="X47" s="1">
        <v>410279.40700000001</v>
      </c>
      <c r="Y47" s="1">
        <v>421227.70600000001</v>
      </c>
      <c r="Z47" s="1">
        <v>432384.07900000003</v>
      </c>
      <c r="AA47" s="1">
        <v>441201.10200000001</v>
      </c>
      <c r="AB47" s="1">
        <v>454926.76899999997</v>
      </c>
      <c r="AC47" s="1">
        <v>476600.28600000002</v>
      </c>
      <c r="AE47" s="1">
        <v>519471.98599999998</v>
      </c>
    </row>
    <row r="48" spans="1:31">
      <c r="A48" s="1" t="s">
        <v>63</v>
      </c>
      <c r="F48" s="41">
        <v>98852.516000000003</v>
      </c>
      <c r="I48" s="1">
        <v>115756.356</v>
      </c>
      <c r="K48" s="1">
        <v>141903.193</v>
      </c>
      <c r="L48" s="1">
        <v>175093.508</v>
      </c>
      <c r="M48" s="1">
        <v>190182.038</v>
      </c>
      <c r="N48" s="1">
        <v>231601.69500000001</v>
      </c>
      <c r="O48" s="1">
        <v>247651.06</v>
      </c>
      <c r="P48" s="1">
        <v>263613.03700000001</v>
      </c>
      <c r="Q48" s="1">
        <v>286536.163</v>
      </c>
      <c r="R48" s="1">
        <v>303159.54300000001</v>
      </c>
      <c r="S48" s="1">
        <v>325989.81900000002</v>
      </c>
      <c r="T48" s="1">
        <v>353151.42499999999</v>
      </c>
      <c r="U48" s="1">
        <v>386834.89199999999</v>
      </c>
      <c r="V48" s="1">
        <v>441257.109</v>
      </c>
      <c r="W48" s="1">
        <v>454152.86</v>
      </c>
      <c r="X48" s="1">
        <v>484042.25099999999</v>
      </c>
      <c r="Y48" s="1">
        <v>491029.49</v>
      </c>
      <c r="Z48" s="1">
        <v>510577.01299999998</v>
      </c>
      <c r="AA48" s="1">
        <v>535960.73199999996</v>
      </c>
      <c r="AB48" s="1">
        <v>568414.70200000005</v>
      </c>
      <c r="AC48" s="1">
        <v>565019.48499999999</v>
      </c>
      <c r="AE48" s="1">
        <v>596472.701</v>
      </c>
    </row>
    <row r="49" spans="1:31">
      <c r="A49" s="1" t="s">
        <v>64</v>
      </c>
      <c r="F49" s="41">
        <v>45219.059000000001</v>
      </c>
      <c r="I49" s="1">
        <v>42007.108</v>
      </c>
      <c r="K49" s="1">
        <v>47324.51</v>
      </c>
      <c r="L49" s="1">
        <v>59081.936999999998</v>
      </c>
      <c r="M49" s="1">
        <v>65991.317999999999</v>
      </c>
      <c r="N49" s="1">
        <v>75264.528000000006</v>
      </c>
      <c r="O49" s="1">
        <v>81176.366999999998</v>
      </c>
      <c r="P49" s="1">
        <v>94751.013999999996</v>
      </c>
      <c r="Q49" s="1">
        <v>105283.899</v>
      </c>
      <c r="R49" s="1">
        <v>128999.10400000001</v>
      </c>
      <c r="S49" s="1">
        <v>139112.90900000001</v>
      </c>
      <c r="T49" s="1">
        <v>151497.78599999999</v>
      </c>
      <c r="U49" s="1">
        <v>127229.064</v>
      </c>
      <c r="V49" s="1">
        <v>164861.49299999999</v>
      </c>
      <c r="W49" s="1">
        <v>180072.565</v>
      </c>
      <c r="X49" s="1">
        <v>180838.101</v>
      </c>
      <c r="Y49" s="1">
        <v>191464.49799999999</v>
      </c>
      <c r="Z49" s="1">
        <v>200221.88200000001</v>
      </c>
      <c r="AA49" s="1">
        <v>206065.696</v>
      </c>
      <c r="AB49" s="1">
        <v>202630.58600000001</v>
      </c>
      <c r="AC49" s="1">
        <v>216495.05799999999</v>
      </c>
      <c r="AE49" s="1">
        <v>253070.63500000001</v>
      </c>
    </row>
    <row r="50" spans="1:31">
      <c r="A50" s="1" t="s">
        <v>65</v>
      </c>
      <c r="F50" s="41">
        <v>28262.006000000001</v>
      </c>
      <c r="I50" s="1">
        <v>25273.9</v>
      </c>
      <c r="K50" s="1">
        <v>24238.463</v>
      </c>
      <c r="L50" s="1">
        <v>28078.29</v>
      </c>
      <c r="M50" s="1">
        <v>31840.532999999999</v>
      </c>
      <c r="N50" s="1">
        <v>36161.68</v>
      </c>
      <c r="O50" s="1">
        <v>38861.603999999999</v>
      </c>
      <c r="P50" s="1">
        <v>46341.002</v>
      </c>
      <c r="Q50" s="1">
        <v>44136.366000000002</v>
      </c>
      <c r="R50" s="1">
        <v>47392.014000000003</v>
      </c>
      <c r="S50" s="1">
        <v>51321.442000000003</v>
      </c>
      <c r="T50" s="1">
        <v>58429.934000000001</v>
      </c>
      <c r="U50" s="1">
        <v>61730.601999999999</v>
      </c>
      <c r="V50" s="1">
        <v>65399.13</v>
      </c>
      <c r="W50" s="1">
        <v>73577.888000000006</v>
      </c>
      <c r="X50" s="1">
        <v>70033.057000000001</v>
      </c>
      <c r="Y50" s="1">
        <v>67077.322</v>
      </c>
      <c r="Z50" s="1">
        <v>62287.180999999997</v>
      </c>
      <c r="AA50" s="1">
        <v>61916.137000000002</v>
      </c>
      <c r="AB50" s="1">
        <v>63196.258000000002</v>
      </c>
      <c r="AC50" s="1">
        <v>67247.104999999996</v>
      </c>
      <c r="AE50" s="1">
        <v>77252.101999999999</v>
      </c>
    </row>
    <row r="51" spans="1:31">
      <c r="A51" s="1" t="s">
        <v>66</v>
      </c>
      <c r="F51" s="41">
        <v>227364.07</v>
      </c>
      <c r="I51" s="1">
        <v>278533.79300000001</v>
      </c>
      <c r="K51" s="1">
        <v>306488.18199999997</v>
      </c>
      <c r="L51" s="1">
        <v>358293.62300000002</v>
      </c>
      <c r="M51" s="1">
        <v>400191.28499999997</v>
      </c>
      <c r="N51" s="1">
        <v>491554.20600000001</v>
      </c>
      <c r="O51" s="1">
        <v>540152.88</v>
      </c>
      <c r="P51" s="1">
        <v>596992.348</v>
      </c>
      <c r="Q51" s="1">
        <v>762543.30599999998</v>
      </c>
      <c r="R51" s="1">
        <v>815925.65099999995</v>
      </c>
      <c r="S51" s="1">
        <v>865262.27599999995</v>
      </c>
      <c r="T51" s="1">
        <v>928943.94799999997</v>
      </c>
      <c r="U51" s="1">
        <v>920460.70900000003</v>
      </c>
      <c r="V51" s="1">
        <v>1060975.9310000001</v>
      </c>
      <c r="W51" s="1">
        <v>1127063.3759999999</v>
      </c>
      <c r="X51" s="1">
        <v>1065908.2549999999</v>
      </c>
      <c r="Y51" s="1">
        <v>1060244.31</v>
      </c>
      <c r="Z51" s="1">
        <v>1077367.1240000001</v>
      </c>
      <c r="AA51" s="1">
        <v>1118055.1329999999</v>
      </c>
      <c r="AB51" s="1">
        <v>1175452.328</v>
      </c>
      <c r="AC51" s="1">
        <v>1204239.476</v>
      </c>
      <c r="AE51" s="1">
        <v>1301985.834</v>
      </c>
    </row>
    <row r="52" spans="1:31">
      <c r="A52" s="1" t="s">
        <v>67</v>
      </c>
      <c r="F52" s="41">
        <v>21017.845000000001</v>
      </c>
      <c r="I52" s="1">
        <v>20930.627</v>
      </c>
      <c r="K52" s="1">
        <v>19777.67239</v>
      </c>
      <c r="L52" s="1">
        <v>26693.723000000002</v>
      </c>
      <c r="M52" s="1">
        <v>28409.198</v>
      </c>
      <c r="N52" s="1">
        <v>31917.164000000001</v>
      </c>
      <c r="O52" s="1">
        <v>36953.146000000001</v>
      </c>
      <c r="P52" s="1">
        <v>36063.300999999999</v>
      </c>
      <c r="Q52" s="1">
        <v>37866.987999999998</v>
      </c>
      <c r="R52" s="1">
        <v>38614.998</v>
      </c>
      <c r="S52" s="1">
        <v>42974.517999999996</v>
      </c>
      <c r="T52" s="1">
        <v>49358.472000000002</v>
      </c>
      <c r="U52" s="1">
        <v>49181.337</v>
      </c>
      <c r="V52" s="1">
        <v>70526.255000000005</v>
      </c>
      <c r="W52" s="1">
        <v>77289.16</v>
      </c>
      <c r="X52" s="1">
        <v>76639.573999999993</v>
      </c>
      <c r="Y52" s="1">
        <v>67493.599000000002</v>
      </c>
      <c r="Z52" s="1">
        <v>69597.735000000001</v>
      </c>
      <c r="AA52" s="1">
        <v>71041.664999999994</v>
      </c>
      <c r="AB52" s="1">
        <v>71332.554999999993</v>
      </c>
      <c r="AC52" s="1">
        <v>74483.286999999997</v>
      </c>
      <c r="AE52" s="1">
        <v>79325.78</v>
      </c>
    </row>
    <row r="53" spans="1:31">
      <c r="A53" s="23" t="s">
        <v>68</v>
      </c>
      <c r="B53" s="23"/>
      <c r="C53" s="23"/>
      <c r="D53" s="23"/>
      <c r="E53" s="23"/>
      <c r="F53" s="44">
        <v>144068.79</v>
      </c>
      <c r="G53" s="23"/>
      <c r="H53" s="23"/>
      <c r="I53" s="23">
        <v>145860.50899999999</v>
      </c>
      <c r="J53" s="23"/>
      <c r="K53" s="23">
        <v>153998.78400000001</v>
      </c>
      <c r="L53" s="23">
        <v>208659.76800000001</v>
      </c>
      <c r="M53" s="23">
        <v>231426.253</v>
      </c>
      <c r="N53" s="23">
        <v>125874.746</v>
      </c>
      <c r="O53" s="23">
        <v>141509.587</v>
      </c>
      <c r="P53" s="23">
        <v>154823.78899999999</v>
      </c>
      <c r="Q53" s="23">
        <v>159997.33100000001</v>
      </c>
      <c r="R53" s="23">
        <v>157545.95300000001</v>
      </c>
      <c r="S53" s="23">
        <v>175549.16500000001</v>
      </c>
      <c r="T53" s="23">
        <v>193381.79399999999</v>
      </c>
      <c r="U53" s="23">
        <v>214342.43100000001</v>
      </c>
      <c r="V53" s="23">
        <v>272828.60200000001</v>
      </c>
      <c r="W53" s="23">
        <v>321201.065</v>
      </c>
      <c r="X53" s="23">
        <v>325490.739</v>
      </c>
      <c r="Y53" s="23">
        <v>347383.39</v>
      </c>
      <c r="Z53" s="23">
        <v>367394.55099999998</v>
      </c>
      <c r="AA53" s="23">
        <v>370616.85700000002</v>
      </c>
      <c r="AB53" s="23">
        <v>375585.36099999998</v>
      </c>
      <c r="AC53" s="23">
        <v>385977.68300000002</v>
      </c>
      <c r="AD53" s="23"/>
      <c r="AE53" s="23">
        <v>456847.63199999998</v>
      </c>
    </row>
    <row r="54" spans="1:31">
      <c r="A54" s="7" t="s">
        <v>69</v>
      </c>
      <c r="B54" s="47">
        <f>SUM(B56:B64)</f>
        <v>0</v>
      </c>
      <c r="C54" s="47">
        <f t="shared" ref="C54:AC54" si="14">SUM(C56:C64)</f>
        <v>0</v>
      </c>
      <c r="D54" s="47">
        <f t="shared" si="14"/>
        <v>0</v>
      </c>
      <c r="E54" s="47">
        <f t="shared" si="14"/>
        <v>0</v>
      </c>
      <c r="F54" s="47">
        <f t="shared" si="14"/>
        <v>793918.95899999992</v>
      </c>
      <c r="G54" s="47">
        <f t="shared" si="14"/>
        <v>0</v>
      </c>
      <c r="H54" s="47">
        <f t="shared" si="14"/>
        <v>0</v>
      </c>
      <c r="I54" s="47">
        <f t="shared" si="14"/>
        <v>993533.21600000001</v>
      </c>
      <c r="J54" s="47">
        <f t="shared" si="14"/>
        <v>0</v>
      </c>
      <c r="K54" s="47">
        <f t="shared" si="14"/>
        <v>1188113.3460000001</v>
      </c>
      <c r="L54" s="47">
        <f t="shared" si="14"/>
        <v>1289525.1509999998</v>
      </c>
      <c r="M54" s="47">
        <f t="shared" si="14"/>
        <v>1335270.5180000002</v>
      </c>
      <c r="N54" s="47">
        <f t="shared" si="14"/>
        <v>1392902.73</v>
      </c>
      <c r="O54" s="47">
        <f t="shared" si="14"/>
        <v>1429912.0959999999</v>
      </c>
      <c r="P54" s="47">
        <f t="shared" si="14"/>
        <v>1608350.9540000001</v>
      </c>
      <c r="Q54" s="47">
        <f t="shared" si="14"/>
        <v>1830559.1800000002</v>
      </c>
      <c r="R54" s="47">
        <f t="shared" si="14"/>
        <v>1894210.1240000003</v>
      </c>
      <c r="S54" s="47">
        <f t="shared" si="14"/>
        <v>2025835.4959999998</v>
      </c>
      <c r="T54" s="47">
        <f t="shared" si="14"/>
        <v>2195633.4189999998</v>
      </c>
      <c r="U54" s="47">
        <f t="shared" si="14"/>
        <v>2326404.8489999999</v>
      </c>
      <c r="V54" s="47">
        <f t="shared" si="14"/>
        <v>2976098.0460000001</v>
      </c>
      <c r="W54" s="47">
        <f t="shared" si="14"/>
        <v>3153144.0039999997</v>
      </c>
      <c r="X54" s="47">
        <f t="shared" si="14"/>
        <v>3233874.6320000002</v>
      </c>
      <c r="Y54" s="47">
        <f t="shared" si="14"/>
        <v>3265767.8720000004</v>
      </c>
      <c r="Z54" s="47">
        <f t="shared" si="14"/>
        <v>3480584.1069999998</v>
      </c>
      <c r="AA54" s="47">
        <f t="shared" si="14"/>
        <v>3729785.6129999999</v>
      </c>
      <c r="AB54" s="47">
        <f t="shared" si="14"/>
        <v>3984992.5920000002</v>
      </c>
      <c r="AC54" s="47">
        <f t="shared" si="14"/>
        <v>4140437.7880000002</v>
      </c>
      <c r="AD54" s="47">
        <f t="shared" ref="AD54:AE54" si="15">SUM(AD56:AD64)</f>
        <v>0</v>
      </c>
      <c r="AE54" s="47">
        <f t="shared" si="15"/>
        <v>4784144.8960000006</v>
      </c>
    </row>
    <row r="55" spans="1:31">
      <c r="A55" s="7" t="s">
        <v>97</v>
      </c>
      <c r="X55" s="1">
        <v>0</v>
      </c>
      <c r="Y55" s="1">
        <v>0</v>
      </c>
      <c r="AB55" s="1">
        <v>0</v>
      </c>
      <c r="AC55" s="1">
        <v>0</v>
      </c>
    </row>
    <row r="56" spans="1:31">
      <c r="A56" s="1" t="s">
        <v>70</v>
      </c>
      <c r="F56" s="41">
        <v>29819.544000000002</v>
      </c>
      <c r="I56" s="1">
        <v>42809.95</v>
      </c>
      <c r="K56" s="1">
        <v>46699.906000000003</v>
      </c>
      <c r="L56" s="1">
        <v>64244.993000000002</v>
      </c>
      <c r="M56" s="1">
        <v>73389.324999999997</v>
      </c>
      <c r="N56" s="1">
        <v>77904.206999999995</v>
      </c>
      <c r="O56" s="1">
        <v>88851.971999999994</v>
      </c>
      <c r="P56" s="1">
        <v>104276.586</v>
      </c>
      <c r="Q56" s="1">
        <v>116915.291</v>
      </c>
      <c r="R56" s="1">
        <v>125834.51</v>
      </c>
      <c r="S56" s="1">
        <v>140637.84899999999</v>
      </c>
      <c r="T56" s="1">
        <v>190679.04500000001</v>
      </c>
      <c r="U56" s="1">
        <v>204389.36300000001</v>
      </c>
      <c r="V56" s="1">
        <v>234756.277</v>
      </c>
      <c r="W56" s="1">
        <v>260648.48300000001</v>
      </c>
      <c r="X56" s="1">
        <v>261935.342</v>
      </c>
      <c r="Y56" s="1">
        <v>265902.25900000002</v>
      </c>
      <c r="Z56" s="1">
        <v>286403.495</v>
      </c>
      <c r="AA56" s="1">
        <v>306339.984</v>
      </c>
      <c r="AB56" s="1">
        <v>323662.54499999998</v>
      </c>
      <c r="AC56" s="1">
        <v>334933.59700000001</v>
      </c>
      <c r="AE56" s="1">
        <v>387367.55699999997</v>
      </c>
    </row>
    <row r="57" spans="1:31">
      <c r="A57" s="1" t="s">
        <v>71</v>
      </c>
      <c r="F57" s="41">
        <v>30992.032999999999</v>
      </c>
      <c r="I57" s="1">
        <v>34347.837</v>
      </c>
      <c r="K57" s="1">
        <v>39219.696000000004</v>
      </c>
      <c r="L57" s="1">
        <v>48771.569000000003</v>
      </c>
      <c r="M57" s="1">
        <v>51461.892</v>
      </c>
      <c r="N57" s="1">
        <v>68793.274000000005</v>
      </c>
      <c r="O57" s="1">
        <v>71702.021999999997</v>
      </c>
      <c r="P57" s="1">
        <v>71700.695000000007</v>
      </c>
      <c r="Q57" s="1">
        <v>72726.789000000004</v>
      </c>
      <c r="R57" s="1">
        <v>74733.467999999993</v>
      </c>
      <c r="S57" s="1">
        <v>74035.188999999998</v>
      </c>
      <c r="T57" s="1">
        <v>78598.811000000002</v>
      </c>
      <c r="U57" s="1">
        <v>86190.76</v>
      </c>
      <c r="V57" s="1">
        <v>101013.726</v>
      </c>
      <c r="W57" s="1">
        <v>112118.825</v>
      </c>
      <c r="X57" s="1">
        <v>113246.58900000001</v>
      </c>
      <c r="Y57" s="1">
        <v>109650.489</v>
      </c>
      <c r="Z57" s="1">
        <v>112978.05499999999</v>
      </c>
      <c r="AA57" s="1">
        <v>118703.129</v>
      </c>
      <c r="AB57" s="1">
        <v>130313.66499999999</v>
      </c>
      <c r="AC57" s="1">
        <v>131125.10699999999</v>
      </c>
      <c r="AE57" s="1">
        <v>153304.696</v>
      </c>
    </row>
    <row r="58" spans="1:31" s="11" customFormat="1">
      <c r="A58" s="1" t="s">
        <v>72</v>
      </c>
      <c r="B58" s="1"/>
      <c r="C58" s="1"/>
      <c r="D58" s="1"/>
      <c r="E58" s="1"/>
      <c r="F58" s="41">
        <v>74913.104999999996</v>
      </c>
      <c r="G58" s="1"/>
      <c r="H58" s="1"/>
      <c r="I58" s="1">
        <v>93468.286999999997</v>
      </c>
      <c r="J58" s="1"/>
      <c r="K58" s="1">
        <v>96714.94</v>
      </c>
      <c r="L58" s="1">
        <v>123410.80499999999</v>
      </c>
      <c r="M58" s="1">
        <v>122379.622</v>
      </c>
      <c r="N58" s="1">
        <v>126891.56</v>
      </c>
      <c r="O58" s="1">
        <v>116158.93799999999</v>
      </c>
      <c r="P58" s="1">
        <v>131106.32199999999</v>
      </c>
      <c r="Q58" s="1">
        <v>139349.155</v>
      </c>
      <c r="R58" s="1">
        <v>151318.28700000001</v>
      </c>
      <c r="S58" s="1">
        <v>169369.23</v>
      </c>
      <c r="T58" s="1">
        <v>185683.47700000001</v>
      </c>
      <c r="U58" s="1">
        <v>198724.166</v>
      </c>
      <c r="V58" s="1">
        <v>279856.70899999997</v>
      </c>
      <c r="W58" s="1">
        <v>285993.90500000003</v>
      </c>
      <c r="X58" s="1">
        <v>309101.33500000002</v>
      </c>
      <c r="Y58" s="1">
        <v>335275.69</v>
      </c>
      <c r="Z58" s="1">
        <v>352276.39799999999</v>
      </c>
      <c r="AA58" s="1">
        <v>371696.06599999999</v>
      </c>
      <c r="AB58" s="1">
        <v>400684.48800000001</v>
      </c>
      <c r="AC58" s="1">
        <v>451725.31199999998</v>
      </c>
      <c r="AD58" s="1"/>
      <c r="AE58" s="1">
        <v>516550.39399999997</v>
      </c>
    </row>
    <row r="59" spans="1:31">
      <c r="A59" s="1" t="s">
        <v>73</v>
      </c>
      <c r="F59" s="41">
        <v>23583.876</v>
      </c>
      <c r="I59" s="1">
        <v>35494.832000000002</v>
      </c>
      <c r="K59" s="1">
        <v>40593.877</v>
      </c>
      <c r="L59" s="1">
        <v>46614.044999999998</v>
      </c>
      <c r="M59" s="1">
        <v>50088.904000000002</v>
      </c>
      <c r="N59" s="1">
        <v>56162.245999999999</v>
      </c>
      <c r="O59" s="1">
        <v>56717.478999999999</v>
      </c>
      <c r="P59" s="1">
        <v>61202.300999999999</v>
      </c>
      <c r="Q59" s="1">
        <v>64254.09</v>
      </c>
      <c r="R59" s="1">
        <v>64905.53</v>
      </c>
      <c r="S59" s="1">
        <v>75152.241999999998</v>
      </c>
      <c r="T59" s="1">
        <v>84192.937999999995</v>
      </c>
      <c r="U59" s="1">
        <v>89257.18</v>
      </c>
      <c r="V59" s="1">
        <v>109271.841</v>
      </c>
      <c r="W59" s="1">
        <v>120707.57</v>
      </c>
      <c r="X59" s="1">
        <v>122023.712</v>
      </c>
      <c r="Y59" s="1">
        <v>131340.06899999999</v>
      </c>
      <c r="Z59" s="1">
        <v>139658.39199999999</v>
      </c>
      <c r="AA59" s="1">
        <v>144960.06</v>
      </c>
      <c r="AB59" s="1">
        <v>162503.52299999999</v>
      </c>
      <c r="AC59" s="1">
        <v>171601.97399999999</v>
      </c>
      <c r="AE59" s="1">
        <v>196767.37700000001</v>
      </c>
    </row>
    <row r="60" spans="1:31">
      <c r="A60" s="1" t="s">
        <v>74</v>
      </c>
      <c r="F60" s="41">
        <v>65051.341</v>
      </c>
      <c r="I60" s="1">
        <v>79604.705000000002</v>
      </c>
      <c r="K60" s="1">
        <v>169760.158</v>
      </c>
      <c r="L60" s="1">
        <v>118596.84</v>
      </c>
      <c r="M60" s="1">
        <v>126588.393</v>
      </c>
      <c r="N60" s="1">
        <v>141824.72</v>
      </c>
      <c r="O60" s="1">
        <v>162706.50399999999</v>
      </c>
      <c r="P60" s="1">
        <v>182186.84400000001</v>
      </c>
      <c r="Q60" s="1">
        <v>339473.37099999998</v>
      </c>
      <c r="R60" s="1">
        <v>352875.212</v>
      </c>
      <c r="S60" s="1">
        <v>374327.92</v>
      </c>
      <c r="T60" s="1">
        <v>397275.413</v>
      </c>
      <c r="U60" s="1">
        <v>442039.33399999997</v>
      </c>
      <c r="V60" s="1">
        <v>559402.74</v>
      </c>
      <c r="W60" s="1">
        <v>584830.353</v>
      </c>
      <c r="X60" s="1">
        <v>598765.99</v>
      </c>
      <c r="Y60" s="1">
        <v>608273.12300000002</v>
      </c>
      <c r="Z60" s="1">
        <v>656088.75100000005</v>
      </c>
      <c r="AA60" s="1">
        <v>696069.96799999999</v>
      </c>
      <c r="AB60" s="1">
        <v>738271.31299999997</v>
      </c>
      <c r="AC60" s="1">
        <v>783354.52300000004</v>
      </c>
      <c r="AE60" s="1">
        <v>910091.34699999995</v>
      </c>
    </row>
    <row r="61" spans="1:31">
      <c r="A61" s="1" t="s">
        <v>75</v>
      </c>
      <c r="F61" s="41">
        <v>323062.51699999999</v>
      </c>
      <c r="I61" s="1">
        <v>417485.19699999999</v>
      </c>
      <c r="K61" s="1">
        <v>463655.42800000001</v>
      </c>
      <c r="L61" s="1">
        <v>472724.07799999998</v>
      </c>
      <c r="M61" s="1">
        <v>526413.67000000004</v>
      </c>
      <c r="N61" s="1">
        <v>582362.18500000006</v>
      </c>
      <c r="O61" s="1">
        <v>661736.77800000005</v>
      </c>
      <c r="P61" s="1">
        <v>776447.72499999998</v>
      </c>
      <c r="Q61" s="1">
        <v>807106.41500000004</v>
      </c>
      <c r="R61" s="1">
        <v>820142.27500000002</v>
      </c>
      <c r="S61" s="1">
        <v>856576.304</v>
      </c>
      <c r="T61" s="1">
        <v>889614.17700000003</v>
      </c>
      <c r="U61" s="1">
        <v>925501.97499999998</v>
      </c>
      <c r="V61" s="1">
        <v>1209994.7579999999</v>
      </c>
      <c r="W61" s="1">
        <v>1269688.5160000001</v>
      </c>
      <c r="X61" s="1">
        <v>1290636.03</v>
      </c>
      <c r="Y61" s="1">
        <v>1286114.3740000001</v>
      </c>
      <c r="Z61" s="1">
        <v>1372267.25</v>
      </c>
      <c r="AA61" s="1">
        <v>1516853.997</v>
      </c>
      <c r="AB61" s="1">
        <v>1639089.764</v>
      </c>
      <c r="AC61" s="1">
        <v>1659394.2390000001</v>
      </c>
      <c r="AE61" s="1">
        <v>1969384.0390000001</v>
      </c>
    </row>
    <row r="62" spans="1:31">
      <c r="A62" s="1" t="s">
        <v>76</v>
      </c>
      <c r="F62" s="41">
        <v>207067.39199999999</v>
      </c>
      <c r="I62" s="1">
        <v>241387.834</v>
      </c>
      <c r="K62" s="1">
        <v>273218.30699999997</v>
      </c>
      <c r="L62" s="1">
        <v>340221.74900000001</v>
      </c>
      <c r="M62" s="1">
        <v>304116.14799999999</v>
      </c>
      <c r="N62" s="1">
        <v>253318.31599999999</v>
      </c>
      <c r="O62" s="1">
        <v>173883.73300000001</v>
      </c>
      <c r="P62" s="1">
        <v>178125.215</v>
      </c>
      <c r="Q62" s="1">
        <v>178900.72500000001</v>
      </c>
      <c r="R62" s="1">
        <v>186774.72500000001</v>
      </c>
      <c r="S62" s="1">
        <v>206275.51199999999</v>
      </c>
      <c r="T62" s="1">
        <v>220824.36</v>
      </c>
      <c r="U62" s="1">
        <v>216484.34299999999</v>
      </c>
      <c r="V62" s="1">
        <v>277354.44300000003</v>
      </c>
      <c r="W62" s="1">
        <v>289960.70400000003</v>
      </c>
      <c r="X62" s="1">
        <v>301569.57400000002</v>
      </c>
      <c r="Y62" s="1">
        <v>287146.549</v>
      </c>
      <c r="Z62" s="1">
        <v>297130.04100000003</v>
      </c>
      <c r="AA62" s="1">
        <v>300451.90299999999</v>
      </c>
      <c r="AB62" s="1">
        <v>299376.67099999997</v>
      </c>
      <c r="AC62" s="1">
        <v>299880.52799999999</v>
      </c>
      <c r="AE62" s="1">
        <v>306813.03600000002</v>
      </c>
    </row>
    <row r="63" spans="1:31">
      <c r="A63" s="1" t="s">
        <v>77</v>
      </c>
      <c r="F63" s="41">
        <v>18846.61</v>
      </c>
      <c r="I63" s="1">
        <v>25702.088</v>
      </c>
      <c r="K63" s="1">
        <v>29729.465</v>
      </c>
      <c r="L63" s="1">
        <v>33581.868999999999</v>
      </c>
      <c r="M63" s="1">
        <v>35946.756999999998</v>
      </c>
      <c r="N63" s="1">
        <v>39269.033000000003</v>
      </c>
      <c r="O63" s="1">
        <v>43041.752999999997</v>
      </c>
      <c r="P63" s="1">
        <v>45538.284</v>
      </c>
      <c r="Q63" s="1">
        <v>49120.773000000001</v>
      </c>
      <c r="R63" s="1">
        <v>52668.067999999999</v>
      </c>
      <c r="S63" s="1">
        <v>60037.8</v>
      </c>
      <c r="T63" s="1">
        <v>70983.661999999997</v>
      </c>
      <c r="U63" s="1">
        <v>78879.072</v>
      </c>
      <c r="V63" s="1">
        <v>93476.437000000005</v>
      </c>
      <c r="W63" s="1">
        <v>110217.287</v>
      </c>
      <c r="X63" s="1">
        <v>118650.44100000001</v>
      </c>
      <c r="Y63" s="1">
        <v>123948.361</v>
      </c>
      <c r="Z63" s="1">
        <v>138127.152</v>
      </c>
      <c r="AA63" s="1">
        <v>145388.19099999999</v>
      </c>
      <c r="AB63" s="1">
        <v>151147.52299999999</v>
      </c>
      <c r="AC63" s="1">
        <v>156286.44899999999</v>
      </c>
      <c r="AE63" s="1">
        <v>165800.011</v>
      </c>
    </row>
    <row r="64" spans="1:31">
      <c r="A64" s="23" t="s">
        <v>78</v>
      </c>
      <c r="B64" s="23"/>
      <c r="C64" s="23"/>
      <c r="D64" s="23"/>
      <c r="E64" s="23"/>
      <c r="F64" s="44">
        <v>20582.541000000001</v>
      </c>
      <c r="G64" s="23"/>
      <c r="H64" s="23"/>
      <c r="I64" s="23">
        <v>23232.486000000001</v>
      </c>
      <c r="J64" s="23"/>
      <c r="K64" s="23">
        <v>28521.569</v>
      </c>
      <c r="L64" s="23">
        <v>41359.203000000001</v>
      </c>
      <c r="M64" s="23">
        <v>44885.807000000001</v>
      </c>
      <c r="N64" s="23">
        <v>46377.188999999998</v>
      </c>
      <c r="O64" s="23">
        <v>55112.917000000001</v>
      </c>
      <c r="P64" s="23">
        <v>57766.982000000004</v>
      </c>
      <c r="Q64" s="23">
        <v>62712.571000000004</v>
      </c>
      <c r="R64" s="23">
        <v>64958.048999999999</v>
      </c>
      <c r="S64" s="23">
        <v>69423.45</v>
      </c>
      <c r="T64" s="23">
        <v>77781.535999999993</v>
      </c>
      <c r="U64" s="23">
        <v>84938.656000000003</v>
      </c>
      <c r="V64" s="23">
        <v>110971.11500000001</v>
      </c>
      <c r="W64" s="23">
        <v>118978.361</v>
      </c>
      <c r="X64" s="23">
        <v>117945.61900000001</v>
      </c>
      <c r="Y64" s="23">
        <v>118116.958</v>
      </c>
      <c r="Z64" s="23">
        <v>125654.573</v>
      </c>
      <c r="AA64" s="23">
        <v>129322.315</v>
      </c>
      <c r="AB64" s="23">
        <v>139943.1</v>
      </c>
      <c r="AC64" s="23">
        <v>152136.05900000001</v>
      </c>
      <c r="AD64" s="23"/>
      <c r="AE64" s="23">
        <v>178066.43900000001</v>
      </c>
    </row>
    <row r="65" spans="1:31">
      <c r="A65" s="45" t="s">
        <v>79</v>
      </c>
      <c r="B65" s="45"/>
      <c r="C65" s="45"/>
      <c r="D65" s="45"/>
      <c r="E65" s="45"/>
      <c r="F65" s="46">
        <v>3252.2139999999999</v>
      </c>
      <c r="G65" s="45"/>
      <c r="H65" s="45"/>
      <c r="I65" s="45">
        <v>3410.777</v>
      </c>
      <c r="J65" s="45"/>
      <c r="K65" s="45">
        <v>4125.33932</v>
      </c>
      <c r="L65" s="45">
        <v>3691.6880000000001</v>
      </c>
      <c r="M65" s="45">
        <v>7927.8969999999999</v>
      </c>
      <c r="N65" s="45">
        <v>7286.6719999999996</v>
      </c>
      <c r="O65" s="45">
        <v>6792.884</v>
      </c>
      <c r="P65" s="45">
        <v>7398.7250000000004</v>
      </c>
      <c r="Q65" s="45">
        <v>11067.237999999999</v>
      </c>
      <c r="R65" s="45">
        <v>9485.5339999999997</v>
      </c>
      <c r="S65" s="45">
        <v>9423.3019999999997</v>
      </c>
      <c r="T65" s="45">
        <v>11928.102000000001</v>
      </c>
      <c r="U65" s="45">
        <v>14240.303</v>
      </c>
      <c r="V65" s="45">
        <v>29079.039000000001</v>
      </c>
      <c r="W65" s="45">
        <v>27398.077000000001</v>
      </c>
      <c r="X65" s="23">
        <v>26061.366000000002</v>
      </c>
      <c r="Y65" s="23">
        <v>23277.508999999998</v>
      </c>
      <c r="Z65" s="23">
        <v>20455.456999999999</v>
      </c>
      <c r="AA65" s="23">
        <v>21676.45</v>
      </c>
      <c r="AB65" s="23">
        <v>22902.793000000001</v>
      </c>
      <c r="AC65" s="23">
        <v>21375.360000000001</v>
      </c>
      <c r="AD65" s="23"/>
      <c r="AE65" s="23">
        <v>19472.705000000002</v>
      </c>
    </row>
    <row r="67" spans="1:31">
      <c r="I67" s="19" t="s">
        <v>99</v>
      </c>
      <c r="J67" s="19" t="s">
        <v>138</v>
      </c>
      <c r="K67" s="19"/>
      <c r="L67" s="19" t="s">
        <v>101</v>
      </c>
      <c r="M67" s="19"/>
      <c r="N67" s="19"/>
      <c r="O67" s="19" t="s">
        <v>99</v>
      </c>
      <c r="P67" s="19" t="s">
        <v>99</v>
      </c>
      <c r="Q67" s="19" t="s">
        <v>99</v>
      </c>
      <c r="R67" s="19" t="s">
        <v>99</v>
      </c>
      <c r="S67" s="19"/>
      <c r="T67" s="19"/>
      <c r="U67" s="19"/>
      <c r="V67" s="19"/>
      <c r="W67" s="19"/>
    </row>
    <row r="68" spans="1:31">
      <c r="I68" s="1" t="s">
        <v>102</v>
      </c>
      <c r="J68" s="1" t="s">
        <v>103</v>
      </c>
      <c r="L68" s="1" t="s">
        <v>104</v>
      </c>
      <c r="O68" s="1" t="s">
        <v>102</v>
      </c>
      <c r="P68" s="1" t="s">
        <v>102</v>
      </c>
      <c r="Q68" s="1" t="s">
        <v>102</v>
      </c>
      <c r="R68" s="1" t="s">
        <v>102</v>
      </c>
    </row>
    <row r="69" spans="1:31">
      <c r="I69" s="1" t="s">
        <v>105</v>
      </c>
      <c r="J69" s="1" t="s">
        <v>106</v>
      </c>
      <c r="O69" s="1" t="s">
        <v>105</v>
      </c>
      <c r="P69" s="1" t="s">
        <v>105</v>
      </c>
      <c r="Q69" s="1" t="s">
        <v>105</v>
      </c>
      <c r="R69" s="1" t="s">
        <v>105</v>
      </c>
    </row>
    <row r="70" spans="1:31">
      <c r="J70" s="1" t="s">
        <v>107</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2">
    <tabColor indexed="16"/>
  </sheetPr>
  <dimension ref="A1:AD84"/>
  <sheetViews>
    <sheetView showGridLines="0" tabSelected="1" view="pageBreakPreview" topLeftCell="T1" zoomScale="90" zoomScaleNormal="75" zoomScaleSheetLayoutView="90" workbookViewId="0">
      <selection activeCell="A70" sqref="A70"/>
    </sheetView>
  </sheetViews>
  <sheetFormatPr defaultColWidth="12.42578125" defaultRowHeight="12.75"/>
  <cols>
    <col min="1" max="1" width="8.140625" customWidth="1"/>
    <col min="3" max="4" width="10.140625" customWidth="1"/>
    <col min="5" max="5" width="9.140625" customWidth="1"/>
    <col min="6" max="6" width="13.5703125" customWidth="1"/>
    <col min="7" max="7" width="12.7109375" customWidth="1"/>
    <col min="8" max="8" width="9.85546875" customWidth="1"/>
    <col min="9" max="10" width="10.140625" customWidth="1"/>
    <col min="11" max="11" width="9" customWidth="1"/>
    <col min="12" max="12" width="13.42578125" customWidth="1"/>
    <col min="13" max="13" width="12.85546875" customWidth="1"/>
    <col min="14" max="14" width="8.85546875" customWidth="1"/>
    <col min="15" max="16" width="12.42578125" style="18"/>
    <col min="17" max="17" width="8.85546875" style="18" customWidth="1"/>
    <col min="18" max="18" width="9.5703125" style="18" customWidth="1"/>
    <col min="19" max="19" width="13.28515625" style="18" customWidth="1"/>
    <col min="20" max="20" width="14.85546875" style="18" customWidth="1"/>
    <col min="21" max="21" width="12.42578125" style="18"/>
    <col min="22" max="22" width="8.85546875" style="18" customWidth="1"/>
    <col min="23" max="23" width="4" style="18" customWidth="1"/>
    <col min="24" max="24" width="8" customWidth="1"/>
    <col min="25" max="25" width="6.85546875" customWidth="1"/>
  </cols>
  <sheetData>
    <row r="1" spans="1:30">
      <c r="A1" s="7" t="s">
        <v>86</v>
      </c>
      <c r="B1" s="7"/>
      <c r="C1" s="2"/>
      <c r="D1" s="2"/>
      <c r="E1" s="2"/>
      <c r="F1" s="2"/>
      <c r="G1" s="2"/>
      <c r="H1" s="2"/>
      <c r="J1" s="2"/>
      <c r="K1" s="4"/>
      <c r="L1" s="4"/>
      <c r="M1" s="4"/>
      <c r="N1" s="4"/>
      <c r="O1" s="8"/>
      <c r="P1" s="8"/>
      <c r="Q1" s="8"/>
      <c r="R1" s="8"/>
      <c r="S1" s="8"/>
      <c r="T1" s="8"/>
      <c r="U1" s="8"/>
      <c r="V1" s="8"/>
      <c r="W1" s="8"/>
      <c r="X1" s="1"/>
      <c r="Y1" s="2"/>
      <c r="Z1" s="1"/>
      <c r="AA1" s="1"/>
      <c r="AB1" s="1"/>
      <c r="AC1" s="1"/>
      <c r="AD1" s="1"/>
    </row>
    <row r="2" spans="1:30" ht="14.25">
      <c r="A2" s="7" t="s">
        <v>1</v>
      </c>
      <c r="B2" s="7"/>
      <c r="C2" s="2"/>
      <c r="D2" s="2"/>
      <c r="E2" s="2"/>
      <c r="F2" s="2"/>
      <c r="G2" s="2"/>
      <c r="H2" s="2"/>
      <c r="I2" s="2"/>
      <c r="J2" s="2"/>
      <c r="K2" s="4"/>
      <c r="L2" s="4"/>
      <c r="M2" s="4"/>
      <c r="N2" s="4"/>
      <c r="O2" s="8"/>
      <c r="P2" s="8"/>
      <c r="Q2" s="8"/>
      <c r="R2" s="8"/>
      <c r="S2" s="8"/>
      <c r="T2" s="8"/>
      <c r="U2" s="8"/>
      <c r="V2" s="8"/>
      <c r="W2" s="8"/>
      <c r="X2" s="1"/>
      <c r="Y2" s="2"/>
      <c r="Z2" s="1"/>
      <c r="AA2" s="1"/>
      <c r="AB2" s="1"/>
      <c r="AC2" s="1"/>
      <c r="AD2" s="1"/>
    </row>
    <row r="3" spans="1:30">
      <c r="A3" s="1" t="s">
        <v>87</v>
      </c>
      <c r="B3" s="7"/>
      <c r="C3" s="2"/>
      <c r="D3" s="1"/>
      <c r="E3" s="1"/>
      <c r="F3" s="1"/>
      <c r="G3" s="2"/>
      <c r="H3" s="1"/>
      <c r="I3" s="1"/>
      <c r="J3" s="2"/>
      <c r="K3" s="4"/>
      <c r="L3" s="4"/>
      <c r="M3" s="4"/>
      <c r="N3" s="4"/>
      <c r="O3" s="8"/>
      <c r="P3" s="8"/>
      <c r="Q3" s="8"/>
      <c r="R3" s="8"/>
      <c r="S3" s="8"/>
      <c r="T3" s="8"/>
      <c r="U3" s="8"/>
      <c r="V3" s="8"/>
      <c r="W3" s="8"/>
      <c r="X3" s="1"/>
      <c r="Y3" s="1"/>
      <c r="Z3" s="1"/>
      <c r="AA3" s="1"/>
      <c r="AB3" s="1"/>
      <c r="AC3" s="1"/>
      <c r="AD3" s="1"/>
    </row>
    <row r="4" spans="1:30">
      <c r="A4" s="1"/>
      <c r="B4" s="1"/>
      <c r="C4" s="1"/>
      <c r="D4" s="1"/>
      <c r="E4" s="1"/>
      <c r="F4" s="1"/>
      <c r="G4" s="1"/>
      <c r="H4" s="1"/>
      <c r="I4" s="1"/>
      <c r="J4" s="1"/>
      <c r="K4" s="1"/>
      <c r="L4" s="1"/>
      <c r="M4" s="1"/>
      <c r="N4" s="1"/>
      <c r="O4" s="8"/>
      <c r="X4" s="1"/>
      <c r="Y4" s="1"/>
      <c r="Z4" s="1"/>
      <c r="AA4" s="1"/>
      <c r="AB4" s="1"/>
      <c r="AC4" s="1"/>
      <c r="AD4" s="1"/>
    </row>
    <row r="5" spans="1:30">
      <c r="A5" s="20"/>
      <c r="B5" s="20"/>
      <c r="C5" s="3" t="s">
        <v>3</v>
      </c>
      <c r="D5" s="3"/>
      <c r="E5" s="3"/>
      <c r="F5" s="3"/>
      <c r="G5" s="3"/>
      <c r="H5" s="3"/>
      <c r="I5" s="57" t="s">
        <v>4</v>
      </c>
      <c r="J5" s="3"/>
      <c r="K5" s="3"/>
      <c r="L5" s="3"/>
      <c r="M5" s="3"/>
      <c r="N5" s="3"/>
      <c r="O5" s="15"/>
      <c r="P5" s="3" t="s">
        <v>5</v>
      </c>
      <c r="Q5" s="3"/>
      <c r="R5" s="3"/>
      <c r="S5" s="3"/>
      <c r="T5" s="3"/>
      <c r="U5" s="3"/>
      <c r="V5" s="3"/>
      <c r="W5" s="2"/>
      <c r="X5" s="1" t="s">
        <v>6</v>
      </c>
      <c r="Y5" s="1"/>
      <c r="Z5" s="2"/>
      <c r="AA5" s="2"/>
      <c r="AB5" s="1"/>
      <c r="AC5" s="1"/>
      <c r="AD5" s="1"/>
    </row>
    <row r="6" spans="1:30" ht="42" customHeight="1">
      <c r="A6" s="5"/>
      <c r="B6" s="5"/>
      <c r="C6" s="2"/>
      <c r="D6" s="2"/>
      <c r="E6" s="2" t="s">
        <v>7</v>
      </c>
      <c r="F6" s="78" t="s">
        <v>8</v>
      </c>
      <c r="G6" s="73" t="s">
        <v>9</v>
      </c>
      <c r="H6" s="4" t="s">
        <v>10</v>
      </c>
      <c r="I6" s="58"/>
      <c r="J6" s="2"/>
      <c r="K6" s="2" t="s">
        <v>7</v>
      </c>
      <c r="L6" s="78" t="s">
        <v>8</v>
      </c>
      <c r="M6" s="73" t="s">
        <v>9</v>
      </c>
      <c r="N6" s="4" t="s">
        <v>10</v>
      </c>
      <c r="O6" s="15"/>
      <c r="P6" s="2"/>
      <c r="Q6" s="2"/>
      <c r="R6" s="2" t="s">
        <v>7</v>
      </c>
      <c r="S6" s="78" t="s">
        <v>8</v>
      </c>
      <c r="T6" s="73" t="s">
        <v>88</v>
      </c>
      <c r="U6" s="73" t="s">
        <v>9</v>
      </c>
      <c r="V6" s="4" t="s">
        <v>10</v>
      </c>
      <c r="W6" s="4"/>
      <c r="X6" s="1"/>
      <c r="Y6" s="1"/>
      <c r="Z6" s="2"/>
      <c r="AA6" s="2"/>
      <c r="AB6" s="1"/>
      <c r="AC6" s="1"/>
      <c r="AD6" s="1"/>
    </row>
    <row r="7" spans="1:30" ht="14.25">
      <c r="A7" s="5"/>
      <c r="B7" s="5"/>
      <c r="C7" s="24" t="s">
        <v>12</v>
      </c>
      <c r="D7" s="24" t="s">
        <v>13</v>
      </c>
      <c r="E7" s="24" t="s">
        <v>14</v>
      </c>
      <c r="F7" s="24" t="s">
        <v>15</v>
      </c>
      <c r="G7" s="24" t="s">
        <v>16</v>
      </c>
      <c r="H7" s="25" t="s">
        <v>17</v>
      </c>
      <c r="I7" s="59" t="s">
        <v>12</v>
      </c>
      <c r="J7" s="24" t="s">
        <v>13</v>
      </c>
      <c r="K7" s="24" t="s">
        <v>14</v>
      </c>
      <c r="L7" s="24" t="s">
        <v>15</v>
      </c>
      <c r="M7" s="24" t="s">
        <v>16</v>
      </c>
      <c r="N7" s="25" t="s">
        <v>17</v>
      </c>
      <c r="O7" s="15"/>
      <c r="P7" s="24" t="s">
        <v>12</v>
      </c>
      <c r="Q7" s="24" t="s">
        <v>13</v>
      </c>
      <c r="R7" s="24" t="s">
        <v>14</v>
      </c>
      <c r="S7" s="24" t="s">
        <v>15</v>
      </c>
      <c r="T7" s="79" t="s">
        <v>89</v>
      </c>
      <c r="U7" s="24" t="s">
        <v>16</v>
      </c>
      <c r="V7" s="25" t="s">
        <v>17</v>
      </c>
      <c r="W7" s="4"/>
      <c r="X7" s="13" t="s">
        <v>23</v>
      </c>
      <c r="Y7" s="1"/>
      <c r="Z7" s="2"/>
      <c r="AA7" s="2"/>
      <c r="AB7" s="1"/>
      <c r="AC7" s="1"/>
      <c r="AD7" s="1"/>
    </row>
    <row r="8" spans="1:30">
      <c r="A8" s="54" t="s">
        <v>24</v>
      </c>
      <c r="B8" s="54"/>
      <c r="C8" s="60">
        <f>('INSTRUCTION-2YR'!AE6)/('T E&amp;G 2YR'!AE6)*100</f>
        <v>38.357821551047579</v>
      </c>
      <c r="D8" s="104">
        <f>IF((('RESEARCH 2yr'!AE6/'T E&amp;G 2YR'!AE6)*100)=0,('RESEARCH 2yr'!AE6/'T E&amp;G 2YR'!AE6)*100,IF((('RESEARCH 2yr'!AE6/'T E&amp;G 2YR'!AE6)*100)&gt;=0.005,('RESEARCH 2yr'!AE6/'T E&amp;G 2YR'!AE6)*100,"*"))</f>
        <v>4.9158837797236996E-2</v>
      </c>
      <c r="E8" s="60">
        <f>'PUBLIC SERVICE 2yr'!AE6/'T E&amp;G 2YR'!AE6*100</f>
        <v>1.2807813377982467</v>
      </c>
      <c r="F8" s="60">
        <f>'ASptISptSSv 2yr'!AE6/'T E&amp;G 2YR'!AE6*100</f>
        <v>33.034307801564132</v>
      </c>
      <c r="G8" s="60">
        <f>'SCHOLAR FELLOW 2yr'!AE6/'T E&amp;G 2YR'!AE6*100</f>
        <v>19.109238534950247</v>
      </c>
      <c r="H8" s="60">
        <f>('All Other 2yr'!AE6/'T E&amp;G 2YR'!AE6)*100</f>
        <v>8.1686919368425723</v>
      </c>
      <c r="I8" s="61">
        <f t="shared" ref="I8:L9" si="0">IF((C8-P8)=0,(C8-P8),IF((C8-P8)&gt;=0.005,(C8-P8),IF((C8-P8&lt;=-0.005),(C8-P8),"*")))</f>
        <v>-1.4347719049658991</v>
      </c>
      <c r="J8" s="104">
        <f t="shared" si="0"/>
        <v>-1.3442672584816226E-2</v>
      </c>
      <c r="K8" s="60">
        <f t="shared" si="0"/>
        <v>-0.13695670175078156</v>
      </c>
      <c r="L8" s="60">
        <f t="shared" si="0"/>
        <v>1.0135727658127749</v>
      </c>
      <c r="M8" s="60">
        <f>IF((G8-U8)=0,(G8-U8),IF((G8-U8)&gt;=0.005,(G8-U8),IF((G8-U8&lt;=-0.005),(G8-U8),"*")))</f>
        <v>-4.4755545638771572</v>
      </c>
      <c r="N8" s="60">
        <f>IF((H8-V8)=0,(H8-V8),IF((H8-V8)&gt;=0.005,(H8-V8),IF((H8-V8&lt;=-0.005),(H8-V8),"*")))</f>
        <v>5.0471530773658948</v>
      </c>
      <c r="O8" s="22"/>
      <c r="P8" s="37">
        <f>'INSTRUCTION-2YR'!Z6/'T E&amp;G 2YR'!Z6*100</f>
        <v>39.792593456013478</v>
      </c>
      <c r="Q8" s="37">
        <f>('RESEARCH 2yr'!Z6/'T E&amp;G 2YR'!Z6)*100</f>
        <v>6.2601510382053221E-2</v>
      </c>
      <c r="R8" s="37">
        <f>'PUBLIC SERVICE 2yr'!Z6/'T E&amp;G 2YR'!Z6*100</f>
        <v>1.4177380395490282</v>
      </c>
      <c r="S8" s="37">
        <f>'ASptISptSSv 2yr'!Z6/'T E&amp;G 2YR'!Z6*100</f>
        <v>32.020735035751358</v>
      </c>
      <c r="T8" s="38">
        <f>'PLANT OPER MAIN 2yr'!Z6/'T E&amp;G 2YR'!Z6*100</f>
        <v>0</v>
      </c>
      <c r="U8" s="37">
        <f>'SCHOLAR FELLOW 2yr'!Z6/'T E&amp;G 2YR'!Z6*100</f>
        <v>23.584793098827404</v>
      </c>
      <c r="V8" s="36">
        <f>IF((('All Other 2yr'!Z6/'T E&amp;G 2YR'!Z6)*100)&gt;=0.005,('All Other 2yr'!Z6/'T E&amp;G 2YR'!Z6)*100,"*")</f>
        <v>3.1215388594766771</v>
      </c>
      <c r="W8" s="36"/>
      <c r="X8" s="27">
        <f>SUM(P8:V8)</f>
        <v>100</v>
      </c>
      <c r="Y8" s="27">
        <f>SUM(C8:H8)</f>
        <v>100.00000000000001</v>
      </c>
      <c r="Z8" s="1"/>
      <c r="AA8" s="1"/>
      <c r="AB8" s="1"/>
      <c r="AC8" s="1"/>
      <c r="AD8" s="1"/>
    </row>
    <row r="9" spans="1:30">
      <c r="A9" s="53" t="s">
        <v>25</v>
      </c>
      <c r="B9" s="53"/>
      <c r="C9" s="62">
        <f>('INSTRUCTION-2YR'!AE7)/('T E&amp;G 2YR'!AE7)*100</f>
        <v>37.367798936561798</v>
      </c>
      <c r="D9" s="105">
        <f>IF((('RESEARCH 2yr'!AE7/'T E&amp;G 2YR'!AE7)*100)=0,('RESEARCH 2yr'!AE7/'T E&amp;G 2YR'!AE7)*100,IF((('RESEARCH 2yr'!AE7/'T E&amp;G 2YR'!AE7)*100)&gt;=0.005,('RESEARCH 2yr'!AE7/'T E&amp;G 2YR'!AE7)*100,"*"))</f>
        <v>6.1565188161539965E-3</v>
      </c>
      <c r="E9" s="62">
        <f>'PUBLIC SERVICE 2yr'!AE7/'T E&amp;G 2YR'!AE7*100</f>
        <v>0.93614463340859855</v>
      </c>
      <c r="F9" s="62">
        <f>'ASptISptSSv 2yr'!AE7/'T E&amp;G 2YR'!AE7*100</f>
        <v>32.443078511918578</v>
      </c>
      <c r="G9" s="62">
        <f>'SCHOLAR FELLOW 2yr'!AE7/'T E&amp;G 2YR'!AE7*100</f>
        <v>23.20695952164526</v>
      </c>
      <c r="H9" s="62">
        <f>('All Other 2yr'!AE7/'T E&amp;G 2YR'!AE7)*100</f>
        <v>6.0398618776496198</v>
      </c>
      <c r="I9" s="63">
        <f t="shared" si="0"/>
        <v>-2.151949238869868</v>
      </c>
      <c r="J9" s="62" t="str">
        <f t="shared" si="0"/>
        <v>*</v>
      </c>
      <c r="K9" s="62">
        <f t="shared" si="0"/>
        <v>-0.13735765494659957</v>
      </c>
      <c r="L9" s="62">
        <f t="shared" si="0"/>
        <v>1.0597168375705515</v>
      </c>
      <c r="M9" s="62">
        <f>IF((G9-U9)=0,(G9-U9),IF((G9-U9)&gt;=0.005,(G9-U9),IF((G9-U9&lt;=-0.005),(G9-U9),"*")))</f>
        <v>-3.0506204742490937</v>
      </c>
      <c r="N9" s="62">
        <f>IF((H9-V9)=0,(H9-V9),IF((H9-V9)&gt;=0.005,(H9-V9),IF((H9-V9&lt;=-0.005),(H9-V9),"*")))</f>
        <v>4.2829004725462338</v>
      </c>
      <c r="O9" s="22"/>
      <c r="P9" s="37">
        <f>'INSTRUCTION-2YR'!Z7/'T E&amp;G 2YR'!Z7*100</f>
        <v>39.519748175431666</v>
      </c>
      <c r="Q9" s="37">
        <f>('RESEARCH 2yr'!Z7/'T E&amp;G 2YR'!Z7)*100</f>
        <v>8.8464608673985042E-3</v>
      </c>
      <c r="R9" s="37">
        <f>'PUBLIC SERVICE 2yr'!Z7/'T E&amp;G 2YR'!Z7*100</f>
        <v>1.0735022883551981</v>
      </c>
      <c r="S9" s="37">
        <f>'ASptISptSSv 2yr'!Z7/'T E&amp;G 2YR'!Z7*100</f>
        <v>31.383361674348027</v>
      </c>
      <c r="T9" s="38">
        <f>'PLANT OPER MAIN 2yr'!Z7/'T E&amp;G 2YR'!Z7*100</f>
        <v>0</v>
      </c>
      <c r="U9" s="37">
        <f>'SCHOLAR FELLOW 2yr'!Z7/'T E&amp;G 2YR'!Z7*100</f>
        <v>26.257579995894353</v>
      </c>
      <c r="V9" s="36">
        <f>IF((('All Other 2yr'!Z7/'T E&amp;G 2YR'!Z7)*100)&gt;=0.005,('All Other 2yr'!Z7/'T E&amp;G 2YR'!Z7)*100,"*")</f>
        <v>1.7569614051033859</v>
      </c>
      <c r="W9" s="36"/>
      <c r="X9" s="27">
        <f t="shared" ref="X9:X66" si="1">SUM(P9:V9)</f>
        <v>100.00000000000001</v>
      </c>
      <c r="Y9" s="27">
        <f>SUM(C9:H9)</f>
        <v>100</v>
      </c>
      <c r="Z9" s="1"/>
      <c r="AA9" s="1"/>
      <c r="AB9" s="1"/>
      <c r="AC9" s="1"/>
      <c r="AD9" s="1"/>
    </row>
    <row r="10" spans="1:30">
      <c r="A10" s="53"/>
      <c r="B10" s="53"/>
      <c r="C10" s="62"/>
      <c r="D10" s="62"/>
      <c r="E10" s="62"/>
      <c r="F10" s="62"/>
      <c r="G10" s="62"/>
      <c r="H10" s="62"/>
      <c r="I10" s="63"/>
      <c r="J10" s="62"/>
      <c r="K10" s="62"/>
      <c r="L10" s="62"/>
      <c r="M10" s="62"/>
      <c r="N10" s="62"/>
      <c r="O10" s="8"/>
      <c r="P10" s="37"/>
      <c r="Q10" s="37"/>
      <c r="R10" s="37"/>
      <c r="S10" s="37"/>
      <c r="T10" s="38"/>
      <c r="U10" s="37"/>
      <c r="V10" s="36"/>
      <c r="W10" s="35"/>
      <c r="X10" s="27"/>
      <c r="Y10" s="27"/>
      <c r="Z10" s="1"/>
      <c r="AA10" s="1"/>
      <c r="AB10" s="1"/>
      <c r="AC10" s="1"/>
      <c r="AD10" s="1"/>
    </row>
    <row r="11" spans="1:30">
      <c r="A11" s="52" t="s">
        <v>26</v>
      </c>
      <c r="B11" s="52"/>
      <c r="C11" s="64">
        <f>('INSTRUCTION-2YR'!AE9)/('T E&amp;G 2YR'!AE9)*100</f>
        <v>34.301732689013029</v>
      </c>
      <c r="D11" s="64">
        <f>IF((('RESEARCH 2yr'!AE9/'T E&amp;G 2YR'!AE9)*100)=0,('RESEARCH 2yr'!AE9/'T E&amp;G 2YR'!AE9)*100,IF((('RESEARCH 2yr'!AE9/'T E&amp;G 2YR'!AE9)*100)&gt;=0.005,('RESEARCH 2yr'!AE9/'T E&amp;G 2YR'!AE9)*100,"*"))</f>
        <v>0</v>
      </c>
      <c r="E11" s="64">
        <f>'PUBLIC SERVICE 2yr'!AE9/'T E&amp;G 2YR'!AE9*100</f>
        <v>0.33661497334743407</v>
      </c>
      <c r="F11" s="64">
        <f>'ASptISptSSv 2yr'!AE9/'T E&amp;G 2YR'!AE9*100</f>
        <v>29.396889964887141</v>
      </c>
      <c r="G11" s="64">
        <f>'SCHOLAR FELLOW 2yr'!AE9/'T E&amp;G 2YR'!AE9*100</f>
        <v>25.912886393548622</v>
      </c>
      <c r="H11" s="64">
        <f>('All Other 2yr'!AE9/'T E&amp;G 2YR'!AE9)*100</f>
        <v>10.051875979203771</v>
      </c>
      <c r="I11" s="65">
        <f t="shared" ref="I11:I27" si="2">IF((C11-P11)=0,(C11-P11),IF((C11-P11)&gt;=0.005,(C11-P11),IF((C11-P11&lt;=-0.005),(C11-P11),"*")))</f>
        <v>-4.9057038986314154</v>
      </c>
      <c r="J11" s="64">
        <f t="shared" ref="J11:J27" si="3">IF((D11-Q11)=0,(D11-Q11),IF((D11-Q11)&gt;=0.005,(D11-Q11),IF((D11-Q11&lt;=-0.005),(D11-Q11),"*")))</f>
        <v>0</v>
      </c>
      <c r="K11" s="64">
        <f t="shared" ref="K11:K27" si="4">IF((E11-R11)=0,(E11-R11),IF((E11-R11)&gt;=0.005,(E11-R11),IF((E11-R11&lt;=-0.005),(E11-R11),"*")))</f>
        <v>-0.5233264788322145</v>
      </c>
      <c r="L11" s="64">
        <f t="shared" ref="L11:L27" si="5">IF((F11-S11)=0,(F11-S11),IF((F11-S11)&gt;=0.005,(F11-S11),IF((F11-S11&lt;=-0.005),(F11-S11),"*")))</f>
        <v>-2.3962632431829434</v>
      </c>
      <c r="M11" s="64">
        <f t="shared" ref="M11:M27" si="6">IF((G11-U11)=0,(G11-U11),IF((G11-U11)&gt;=0.005,(G11-U11),IF((G11-U11&lt;=-0.005),(G11-U11),"*")))</f>
        <v>-1.3608740790265443</v>
      </c>
      <c r="N11" s="64">
        <f t="shared" ref="N11:N27" si="7">IF((H11-V11)=0,(H11-V11),IF((H11-V11)&gt;=0.005,(H11-V11),IF((H11-V11&lt;=-0.005),(H11-V11),"*")))</f>
        <v>9.1861676996731187</v>
      </c>
      <c r="O11" s="8"/>
      <c r="P11" s="37">
        <f>'INSTRUCTION-2YR'!Z9/'T E&amp;G 2YR'!Z9*100</f>
        <v>39.207436587644445</v>
      </c>
      <c r="Q11" s="37">
        <f>('RESEARCH 2yr'!Z9/'T E&amp;G 2YR'!Z9)*100</f>
        <v>0</v>
      </c>
      <c r="R11" s="37">
        <f>'PUBLIC SERVICE 2yr'!Z9/'T E&amp;G 2YR'!Z9*100</f>
        <v>0.85994145217964857</v>
      </c>
      <c r="S11" s="37">
        <f>'ASptISptSSv 2yr'!Z9/'T E&amp;G 2YR'!Z9*100</f>
        <v>31.793153208070084</v>
      </c>
      <c r="T11" s="38">
        <f>'PLANT OPER MAIN 2yr'!Z9/'T E&amp;G 2YR'!Z9*100</f>
        <v>0</v>
      </c>
      <c r="U11" s="37">
        <f>'SCHOLAR FELLOW 2yr'!Z9/'T E&amp;G 2YR'!Z9*100</f>
        <v>27.273760472575166</v>
      </c>
      <c r="V11" s="36">
        <f>IF((('All Other 2yr'!Z9/'T E&amp;G 2YR'!Z9)*100)&gt;=0.005,('All Other 2yr'!Z9/'T E&amp;G 2YR'!Z9)*100,"*")</f>
        <v>0.8657082795306531</v>
      </c>
      <c r="W11" s="35"/>
      <c r="X11" s="27">
        <f t="shared" si="1"/>
        <v>99.999999999999986</v>
      </c>
      <c r="Y11" s="27">
        <f t="shared" ref="Y11:Y27" si="8">SUM(C11:H11)</f>
        <v>100</v>
      </c>
      <c r="Z11" s="1"/>
      <c r="AA11" s="1"/>
      <c r="AB11" s="1"/>
      <c r="AC11" s="1"/>
      <c r="AD11" s="1"/>
    </row>
    <row r="12" spans="1:30">
      <c r="A12" s="52" t="s">
        <v>27</v>
      </c>
      <c r="B12" s="52"/>
      <c r="C12" s="64">
        <f>('INSTRUCTION-2YR'!AE10)/('T E&amp;G 2YR'!AE10)*100</f>
        <v>36.887885556936702</v>
      </c>
      <c r="D12" s="64">
        <f>IF((('RESEARCH 2yr'!AE10/'T E&amp;G 2YR'!AE10)*100)=0,('RESEARCH 2yr'!AE10/'T E&amp;G 2YR'!AE10)*100,IF((('RESEARCH 2yr'!AE10/'T E&amp;G 2YR'!AE10)*100)&gt;=0.005,('RESEARCH 2yr'!AE10/'T E&amp;G 2YR'!AE10)*100,"*"))</f>
        <v>0</v>
      </c>
      <c r="E12" s="64">
        <f>'PUBLIC SERVICE 2yr'!AE10/'T E&amp;G 2YR'!AE10*100</f>
        <v>1.4883479145174068</v>
      </c>
      <c r="F12" s="64">
        <f>'ASptISptSSv 2yr'!AE10/'T E&amp;G 2YR'!AE10*100</f>
        <v>33.360168512827457</v>
      </c>
      <c r="G12" s="64">
        <f>'SCHOLAR FELLOW 2yr'!AE10/'T E&amp;G 2YR'!AE10*100</f>
        <v>22.462579405418481</v>
      </c>
      <c r="H12" s="64">
        <f>('All Other 2yr'!AE10/'T E&amp;G 2YR'!AE10)*100</f>
        <v>5.8010186102999501</v>
      </c>
      <c r="I12" s="65">
        <f t="shared" si="2"/>
        <v>0.91369790861178757</v>
      </c>
      <c r="J12" s="64">
        <f t="shared" si="3"/>
        <v>0</v>
      </c>
      <c r="K12" s="64">
        <f t="shared" si="4"/>
        <v>-7.3725961544071072E-2</v>
      </c>
      <c r="L12" s="64">
        <f t="shared" si="5"/>
        <v>0.85976938808752834</v>
      </c>
      <c r="M12" s="64">
        <f t="shared" si="6"/>
        <v>-4.6777649510447148</v>
      </c>
      <c r="N12" s="64">
        <f t="shared" si="7"/>
        <v>2.9780236158894651</v>
      </c>
      <c r="O12" s="8"/>
      <c r="P12" s="37">
        <f>'INSTRUCTION-2YR'!Z10/'T E&amp;G 2YR'!Z10*100</f>
        <v>35.974187648324914</v>
      </c>
      <c r="Q12" s="37">
        <f>('RESEARCH 2yr'!Z10/'T E&amp;G 2YR'!Z10)*100</f>
        <v>0</v>
      </c>
      <c r="R12" s="37">
        <f>'PUBLIC SERVICE 2yr'!Z10/'T E&amp;G 2YR'!Z10*100</f>
        <v>1.5620738760614779</v>
      </c>
      <c r="S12" s="37">
        <f>'ASptISptSSv 2yr'!Z10/'T E&amp;G 2YR'!Z10*100</f>
        <v>32.500399124739928</v>
      </c>
      <c r="T12" s="38">
        <f>'PLANT OPER MAIN 2yr'!Z10/'T E&amp;G 2YR'!Z10*100</f>
        <v>0</v>
      </c>
      <c r="U12" s="37">
        <f>'SCHOLAR FELLOW 2yr'!Z10/'T E&amp;G 2YR'!Z10*100</f>
        <v>27.140344356463196</v>
      </c>
      <c r="V12" s="36">
        <f>IF((('All Other 2yr'!Z10/'T E&amp;G 2YR'!Z10)*100)&gt;=0.005,('All Other 2yr'!Z10/'T E&amp;G 2YR'!Z10)*100,"*")</f>
        <v>2.8229949944104851</v>
      </c>
      <c r="W12" s="35"/>
      <c r="X12" s="27">
        <f t="shared" si="1"/>
        <v>99.999999999999986</v>
      </c>
      <c r="Y12" s="27">
        <f t="shared" si="8"/>
        <v>100</v>
      </c>
      <c r="Z12" s="1"/>
      <c r="AA12" s="1"/>
      <c r="AB12" s="1"/>
      <c r="AC12" s="1"/>
      <c r="AD12" s="1"/>
    </row>
    <row r="13" spans="1:30">
      <c r="A13" s="52" t="s">
        <v>28</v>
      </c>
      <c r="B13" s="52"/>
      <c r="C13" s="64">
        <f>('INSTRUCTION-2YR'!AE11)/('T E&amp;G 2YR'!AE11)*100</f>
        <v>51.849162922100213</v>
      </c>
      <c r="D13" s="64">
        <f>IF((('RESEARCH 2yr'!AE11/'T E&amp;G 2YR'!AE11)*100)=0,('RESEARCH 2yr'!AE11/'T E&amp;G 2YR'!AE11)*100,IF((('RESEARCH 2yr'!AE11/'T E&amp;G 2YR'!AE11)*100)&gt;=0.005,('RESEARCH 2yr'!AE11/'T E&amp;G 2YR'!AE11)*100,"*"))</f>
        <v>0</v>
      </c>
      <c r="E13" s="64">
        <f>'PUBLIC SERVICE 2yr'!AE11/'T E&amp;G 2YR'!AE11*100</f>
        <v>2.9835548495772062</v>
      </c>
      <c r="F13" s="64">
        <f>'ASptISptSSv 2yr'!AE11/'T E&amp;G 2YR'!AE11*100</f>
        <v>29.938243272219989</v>
      </c>
      <c r="G13" s="64">
        <f>'SCHOLAR FELLOW 2yr'!AE11/'T E&amp;G 2YR'!AE11*100</f>
        <v>15.229038956102592</v>
      </c>
      <c r="H13" s="64">
        <f>('All Other 2yr'!AE11/'T E&amp;G 2YR'!AE11)*100</f>
        <v>0</v>
      </c>
      <c r="I13" s="65">
        <f t="shared" si="2"/>
        <v>0.37406620950277869</v>
      </c>
      <c r="J13" s="64">
        <f t="shared" si="3"/>
        <v>0</v>
      </c>
      <c r="K13" s="64">
        <f t="shared" si="4"/>
        <v>0.86947292795258901</v>
      </c>
      <c r="L13" s="64">
        <f t="shared" si="5"/>
        <v>-1.6975532092797394</v>
      </c>
      <c r="M13" s="64">
        <f t="shared" si="6"/>
        <v>0.45401407182438547</v>
      </c>
      <c r="N13" s="64">
        <f t="shared" si="7"/>
        <v>0</v>
      </c>
      <c r="O13" s="8"/>
      <c r="P13" s="37">
        <f>'INSTRUCTION-2YR'!Z11/'T E&amp;G 2YR'!Z11*100</f>
        <v>51.475096712597434</v>
      </c>
      <c r="Q13" s="37">
        <f>('RESEARCH 2yr'!Z11/'T E&amp;G 2YR'!Z11)*100</f>
        <v>0</v>
      </c>
      <c r="R13" s="37">
        <f>'PUBLIC SERVICE 2yr'!Z11/'T E&amp;G 2YR'!Z11*100</f>
        <v>2.1140819216246172</v>
      </c>
      <c r="S13" s="37">
        <f>'ASptISptSSv 2yr'!Z11/'T E&amp;G 2YR'!Z11*100</f>
        <v>31.635796481499728</v>
      </c>
      <c r="T13" s="38">
        <f>'PLANT OPER MAIN 2yr'!Z11/'T E&amp;G 2YR'!Z11*100</f>
        <v>0</v>
      </c>
      <c r="U13" s="37">
        <f>'SCHOLAR FELLOW 2yr'!Z11/'T E&amp;G 2YR'!Z11*100</f>
        <v>14.775024884278206</v>
      </c>
      <c r="V13" s="36" t="str">
        <f>IF((('All Other 2yr'!Z11/'T E&amp;G 2YR'!Z11)*100)&gt;=0.005,('All Other 2yr'!Z11/'T E&amp;G 2YR'!Z11)*100,"*")</f>
        <v>*</v>
      </c>
      <c r="W13" s="35"/>
      <c r="X13" s="27">
        <f t="shared" si="1"/>
        <v>99.999999999999986</v>
      </c>
      <c r="Y13" s="27">
        <f t="shared" si="8"/>
        <v>100</v>
      </c>
      <c r="Z13" s="1"/>
      <c r="AA13" s="1"/>
      <c r="AB13" s="1"/>
      <c r="AC13" s="1"/>
      <c r="AD13" s="1"/>
    </row>
    <row r="14" spans="1:30">
      <c r="A14" s="52" t="s">
        <v>29</v>
      </c>
      <c r="B14" s="52"/>
      <c r="C14" s="64">
        <f>('INSTRUCTION-2YR'!AE12)/('T E&amp;G 2YR'!AE12)*100</f>
        <v>34.085136377206013</v>
      </c>
      <c r="D14" s="64">
        <f>IF((('RESEARCH 2yr'!AE12/'T E&amp;G 2YR'!AE12)*100)=0,('RESEARCH 2yr'!AE12/'T E&amp;G 2YR'!AE12)*100,IF((('RESEARCH 2yr'!AE12/'T E&amp;G 2YR'!AE12)*100)&gt;=0.005,('RESEARCH 2yr'!AE12/'T E&amp;G 2YR'!AE12)*100,"*"))</f>
        <v>0</v>
      </c>
      <c r="E14" s="64">
        <f>'PUBLIC SERVICE 2yr'!AE12/'T E&amp;G 2YR'!AE12*100</f>
        <v>0.82511592595923977</v>
      </c>
      <c r="F14" s="64">
        <f>'ASptISptSSv 2yr'!AE12/'T E&amp;G 2YR'!AE12*100</f>
        <v>34.766354498369992</v>
      </c>
      <c r="G14" s="64">
        <f>'SCHOLAR FELLOW 2yr'!AE12/'T E&amp;G 2YR'!AE12*100</f>
        <v>26.8132331142723</v>
      </c>
      <c r="H14" s="64">
        <f>('All Other 2yr'!AE12/'T E&amp;G 2YR'!AE12)*100</f>
        <v>3.5101600841924476</v>
      </c>
      <c r="I14" s="65">
        <f t="shared" si="2"/>
        <v>-1.18206864885736</v>
      </c>
      <c r="J14" s="64">
        <f t="shared" si="3"/>
        <v>0</v>
      </c>
      <c r="K14" s="64">
        <f t="shared" si="4"/>
        <v>-0.37177125758125906</v>
      </c>
      <c r="L14" s="64">
        <f t="shared" si="5"/>
        <v>0.62474710784167087</v>
      </c>
      <c r="M14" s="64">
        <f t="shared" si="6"/>
        <v>-2.5488627962256807</v>
      </c>
      <c r="N14" s="64">
        <f t="shared" si="7"/>
        <v>3.4779555948226131</v>
      </c>
      <c r="O14" s="8"/>
      <c r="P14" s="37">
        <f>'INSTRUCTION-2YR'!Z12/'T E&amp;G 2YR'!Z12*100</f>
        <v>35.267205026063372</v>
      </c>
      <c r="Q14" s="37">
        <f>('RESEARCH 2yr'!Z12/'T E&amp;G 2YR'!Z12)*100</f>
        <v>0</v>
      </c>
      <c r="R14" s="37">
        <f>'PUBLIC SERVICE 2yr'!Z12/'T E&amp;G 2YR'!Z12*100</f>
        <v>1.1968871835404988</v>
      </c>
      <c r="S14" s="37">
        <f>'ASptISptSSv 2yr'!Z12/'T E&amp;G 2YR'!Z12*100</f>
        <v>34.141607390528321</v>
      </c>
      <c r="T14" s="38">
        <f>'PLANT OPER MAIN 2yr'!Z12/'T E&amp;G 2YR'!Z12*100</f>
        <v>0</v>
      </c>
      <c r="U14" s="37">
        <f>'SCHOLAR FELLOW 2yr'!Z12/'T E&amp;G 2YR'!Z12*100</f>
        <v>29.362095910497981</v>
      </c>
      <c r="V14" s="103">
        <f>IF((('All Other 2yr'!Z12/'T E&amp;G 2YR'!Z12)*100)&gt;=0.005,('All Other 2yr'!Z12/'T E&amp;G 2YR'!Z12)*100,"*")</f>
        <v>3.2204489369834645E-2</v>
      </c>
      <c r="W14" s="35"/>
      <c r="X14" s="27">
        <f t="shared" si="1"/>
        <v>100.00000000000001</v>
      </c>
      <c r="Y14" s="27">
        <f t="shared" si="8"/>
        <v>100</v>
      </c>
      <c r="Z14" s="1"/>
      <c r="AA14" s="1"/>
      <c r="AB14" s="1"/>
      <c r="AC14" s="1"/>
      <c r="AD14" s="1"/>
    </row>
    <row r="15" spans="1:30">
      <c r="A15" s="53" t="s">
        <v>30</v>
      </c>
      <c r="B15" s="53"/>
      <c r="C15" s="62">
        <f>('INSTRUCTION-2YR'!AE13)/('T E&amp;G 2YR'!AE13)*100</f>
        <v>28.950933370495569</v>
      </c>
      <c r="D15" s="62">
        <f>IF((('RESEARCH 2yr'!AE13/'T E&amp;G 2YR'!AE13)*100)=0,('RESEARCH 2yr'!AE13/'T E&amp;G 2YR'!AE13)*100,IF((('RESEARCH 2yr'!AE13/'T E&amp;G 2YR'!AE13)*100)&gt;=0.005,('RESEARCH 2yr'!AE13/'T E&amp;G 2YR'!AE13)*100,"*"))</f>
        <v>0</v>
      </c>
      <c r="E15" s="62">
        <f>'PUBLIC SERVICE 2yr'!AE13/'T E&amp;G 2YR'!AE13*100</f>
        <v>1.0131374157375851E-3</v>
      </c>
      <c r="F15" s="62">
        <f>'ASptISptSSv 2yr'!AE13/'T E&amp;G 2YR'!AE13*100</f>
        <v>32.426533676236744</v>
      </c>
      <c r="G15" s="62">
        <f>'SCHOLAR FELLOW 2yr'!AE13/'T E&amp;G 2YR'!AE13*100</f>
        <v>31.403811110070222</v>
      </c>
      <c r="H15" s="62">
        <f>('All Other 2yr'!AE13/'T E&amp;G 2YR'!AE13)*100</f>
        <v>7.2177087057817291</v>
      </c>
      <c r="I15" s="63">
        <f t="shared" si="2"/>
        <v>-4.4418147074353769</v>
      </c>
      <c r="J15" s="105">
        <f t="shared" si="3"/>
        <v>-7.470479382619152E-3</v>
      </c>
      <c r="K15" s="62">
        <f t="shared" si="4"/>
        <v>-0.77164588628863395</v>
      </c>
      <c r="L15" s="105">
        <f t="shared" si="5"/>
        <v>4.0853978050215289E-2</v>
      </c>
      <c r="M15" s="62">
        <f t="shared" si="6"/>
        <v>1.1917502202157415</v>
      </c>
      <c r="N15" s="62">
        <f t="shared" si="7"/>
        <v>3.9883268748406682</v>
      </c>
      <c r="O15" s="22"/>
      <c r="P15" s="37">
        <f>'INSTRUCTION-2YR'!Z13/'T E&amp;G 2YR'!Z13*100</f>
        <v>33.392748077930946</v>
      </c>
      <c r="Q15" s="37">
        <f>('RESEARCH 2yr'!Z13/'T E&amp;G 2YR'!Z13)*100</f>
        <v>7.470479382619152E-3</v>
      </c>
      <c r="R15" s="37">
        <f>'PUBLIC SERVICE 2yr'!Z13/'T E&amp;G 2YR'!Z13*100</f>
        <v>0.77265902370437156</v>
      </c>
      <c r="S15" s="37">
        <f>'ASptISptSSv 2yr'!Z13/'T E&amp;G 2YR'!Z13*100</f>
        <v>32.385679698186529</v>
      </c>
      <c r="T15" s="38">
        <f>'PLANT OPER MAIN 2yr'!Z13/'T E&amp;G 2YR'!Z13*100</f>
        <v>0</v>
      </c>
      <c r="U15" s="37">
        <f>'SCHOLAR FELLOW 2yr'!Z13/'T E&amp;G 2YR'!Z13*100</f>
        <v>30.212060889854481</v>
      </c>
      <c r="V15" s="36">
        <f>IF((('All Other 2yr'!Z13/'T E&amp;G 2YR'!Z13)*100)&gt;=0.005,('All Other 2yr'!Z13/'T E&amp;G 2YR'!Z13)*100,"*")</f>
        <v>3.2293818309410609</v>
      </c>
      <c r="W15" s="36"/>
      <c r="X15" s="27">
        <f t="shared" si="1"/>
        <v>100.00000000000001</v>
      </c>
      <c r="Y15" s="27">
        <f t="shared" si="8"/>
        <v>100</v>
      </c>
      <c r="Z15" s="1"/>
      <c r="AA15" s="1"/>
      <c r="AB15" s="1"/>
      <c r="AC15" s="1"/>
      <c r="AD15" s="1"/>
    </row>
    <row r="16" spans="1:30">
      <c r="A16" s="53" t="s">
        <v>31</v>
      </c>
      <c r="B16" s="53"/>
      <c r="C16" s="62">
        <f>('INSTRUCTION-2YR'!AE14)/('T E&amp;G 2YR'!AE14)*100</f>
        <v>32.813666545111694</v>
      </c>
      <c r="D16" s="62">
        <f>IF((('RESEARCH 2yr'!AE14/'T E&amp;G 2YR'!AE14)*100)=0,('RESEARCH 2yr'!AE14/'T E&amp;G 2YR'!AE14)*100,IF((('RESEARCH 2yr'!AE14/'T E&amp;G 2YR'!AE14)*100)&gt;=0.005,('RESEARCH 2yr'!AE14/'T E&amp;G 2YR'!AE14)*100,"*"))</f>
        <v>0</v>
      </c>
      <c r="E16" s="62">
        <f>'PUBLIC SERVICE 2yr'!AE14/'T E&amp;G 2YR'!AE14*100</f>
        <v>0.64782994697474439</v>
      </c>
      <c r="F16" s="62">
        <f>'ASptISptSSv 2yr'!AE14/'T E&amp;G 2YR'!AE14*100</f>
        <v>24.650818146226154</v>
      </c>
      <c r="G16" s="62">
        <f>'SCHOLAR FELLOW 2yr'!AE14/'T E&amp;G 2YR'!AE14*100</f>
        <v>37.106137903411266</v>
      </c>
      <c r="H16" s="62">
        <f>('All Other 2yr'!AE14/'T E&amp;G 2YR'!AE14)*100</f>
        <v>4.7815474582761412</v>
      </c>
      <c r="I16" s="63">
        <f t="shared" si="2"/>
        <v>-3.6953998058760007</v>
      </c>
      <c r="J16" s="62">
        <f t="shared" si="3"/>
        <v>0</v>
      </c>
      <c r="K16" s="62">
        <f t="shared" si="4"/>
        <v>-0.44669336486875255</v>
      </c>
      <c r="L16" s="62">
        <f t="shared" si="5"/>
        <v>-2.0644416509908012</v>
      </c>
      <c r="M16" s="62">
        <f t="shared" si="6"/>
        <v>1.5310824126714024</v>
      </c>
      <c r="N16" s="62">
        <f t="shared" si="7"/>
        <v>4.6754524090641505</v>
      </c>
      <c r="O16" s="22"/>
      <c r="P16" s="37">
        <f>'INSTRUCTION-2YR'!Z14/'T E&amp;G 2YR'!Z14*100</f>
        <v>36.509066350987695</v>
      </c>
      <c r="Q16" s="37">
        <f>('RESEARCH 2yr'!Z14/'T E&amp;G 2YR'!Z14)*100</f>
        <v>0</v>
      </c>
      <c r="R16" s="37">
        <f>'PUBLIC SERVICE 2yr'!Z14/'T E&amp;G 2YR'!Z14*100</f>
        <v>1.0945233118434969</v>
      </c>
      <c r="S16" s="37">
        <f>'ASptISptSSv 2yr'!Z14/'T E&amp;G 2YR'!Z14*100</f>
        <v>26.715259797216955</v>
      </c>
      <c r="T16" s="38">
        <f>'PLANT OPER MAIN 2yr'!Z14/'T E&amp;G 2YR'!Z14*100</f>
        <v>0</v>
      </c>
      <c r="U16" s="37">
        <f>'SCHOLAR FELLOW 2yr'!Z14/'T E&amp;G 2YR'!Z14*100</f>
        <v>35.575055490739864</v>
      </c>
      <c r="V16" s="36">
        <f>IF((('All Other 2yr'!Z14/'T E&amp;G 2YR'!Z14)*100)&gt;=0.005,('All Other 2yr'!Z14/'T E&amp;G 2YR'!Z14)*100,"*")</f>
        <v>0.10609504921199112</v>
      </c>
      <c r="W16" s="36"/>
      <c r="X16" s="27">
        <f t="shared" si="1"/>
        <v>99.999999999999986</v>
      </c>
      <c r="Y16" s="27">
        <f t="shared" si="8"/>
        <v>100</v>
      </c>
      <c r="Z16" s="1"/>
      <c r="AA16" s="1"/>
      <c r="AB16" s="1"/>
      <c r="AC16" s="1"/>
      <c r="AD16" s="1"/>
    </row>
    <row r="17" spans="1:30">
      <c r="A17" s="53" t="s">
        <v>32</v>
      </c>
      <c r="B17" s="53"/>
      <c r="C17" s="62">
        <f>('INSTRUCTION-2YR'!AE15)/('T E&amp;G 2YR'!AE15)*100</f>
        <v>32.700090380476624</v>
      </c>
      <c r="D17" s="62" t="str">
        <f>IF((('RESEARCH 2yr'!AE15/'T E&amp;G 2YR'!AE15)*100)=0,('RESEARCH 2yr'!AE15/'T E&amp;G 2YR'!AE15)*100,IF((('RESEARCH 2yr'!AE15/'T E&amp;G 2YR'!AE15)*100)&gt;=0.005,('RESEARCH 2yr'!AE15/'T E&amp;G 2YR'!AE15)*100,"*"))</f>
        <v>*</v>
      </c>
      <c r="E17" s="62">
        <f>'PUBLIC SERVICE 2yr'!AE15/'T E&amp;G 2YR'!AE15*100</f>
        <v>1.5419004092818427</v>
      </c>
      <c r="F17" s="62">
        <f>'ASptISptSSv 2yr'!AE15/'T E&amp;G 2YR'!AE15*100</f>
        <v>29.232996488077973</v>
      </c>
      <c r="G17" s="62">
        <f>'SCHOLAR FELLOW 2yr'!AE15/'T E&amp;G 2YR'!AE15*100</f>
        <v>30.764226062609801</v>
      </c>
      <c r="H17" s="62">
        <f>('All Other 2yr'!AE15/'T E&amp;G 2YR'!AE15)*100</f>
        <v>5.758238828985851</v>
      </c>
      <c r="I17" s="63">
        <f t="shared" si="2"/>
        <v>-3.7061672535740939</v>
      </c>
      <c r="J17" s="62">
        <f t="shared" si="3"/>
        <v>-0.10149753040699896</v>
      </c>
      <c r="K17" s="62">
        <f t="shared" si="4"/>
        <v>1.1710955527352127</v>
      </c>
      <c r="L17" s="62">
        <f t="shared" si="5"/>
        <v>3.2407173297046938</v>
      </c>
      <c r="M17" s="62">
        <f t="shared" si="6"/>
        <v>-0.45379799596608095</v>
      </c>
      <c r="N17" s="62">
        <f t="shared" si="7"/>
        <v>-0.15289793306063704</v>
      </c>
      <c r="O17" s="22"/>
      <c r="P17" s="37">
        <f>'INSTRUCTION-2YR'!Z15/'T E&amp;G 2YR'!Z15*100</f>
        <v>36.406257634050718</v>
      </c>
      <c r="Q17" s="37">
        <f>('RESEARCH 2yr'!Z15/'T E&amp;G 2YR'!Z15)*100</f>
        <v>0.10149753040699896</v>
      </c>
      <c r="R17" s="37">
        <f>'PUBLIC SERVICE 2yr'!Z15/'T E&amp;G 2YR'!Z15*100</f>
        <v>0.37080485654663004</v>
      </c>
      <c r="S17" s="37">
        <f>'ASptISptSSv 2yr'!Z15/'T E&amp;G 2YR'!Z15*100</f>
        <v>25.992279158373279</v>
      </c>
      <c r="T17" s="38">
        <f>'PLANT OPER MAIN 2yr'!Z15/'T E&amp;G 2YR'!Z15*100</f>
        <v>0</v>
      </c>
      <c r="U17" s="37">
        <f>'SCHOLAR FELLOW 2yr'!Z15/'T E&amp;G 2YR'!Z15*100</f>
        <v>31.218024058575882</v>
      </c>
      <c r="V17" s="36">
        <f>IF((('All Other 2yr'!Z15/'T E&amp;G 2YR'!Z15)*100)&gt;=0.005,('All Other 2yr'!Z15/'T E&amp;G 2YR'!Z15)*100,"*")</f>
        <v>5.9111367620464881</v>
      </c>
      <c r="W17" s="36"/>
      <c r="X17" s="27">
        <f t="shared" si="1"/>
        <v>99.999999999999986</v>
      </c>
      <c r="Y17" s="27">
        <f t="shared" si="8"/>
        <v>99.997452169432094</v>
      </c>
      <c r="Z17" s="1"/>
      <c r="AA17" s="1"/>
      <c r="AB17" s="1"/>
      <c r="AC17" s="1"/>
      <c r="AD17" s="1"/>
    </row>
    <row r="18" spans="1:30">
      <c r="A18" s="53" t="s">
        <v>33</v>
      </c>
      <c r="B18" s="53"/>
      <c r="C18" s="62">
        <f>('INSTRUCTION-2YR'!AE16)/('T E&amp;G 2YR'!AE16)*100</f>
        <v>38.128457813174393</v>
      </c>
      <c r="D18" s="105">
        <f>IF((('RESEARCH 2yr'!AE16/'T E&amp;G 2YR'!AE16)*100)=0,('RESEARCH 2yr'!AE16/'T E&amp;G 2YR'!AE16)*100,IF((('RESEARCH 2yr'!AE16/'T E&amp;G 2YR'!AE16)*100)&gt;=0.005,('RESEARCH 2yr'!AE16/'T E&amp;G 2YR'!AE16)*100,"*"))</f>
        <v>2.6731262159480667E-2</v>
      </c>
      <c r="E18" s="62">
        <f>'PUBLIC SERVICE 2yr'!AE16/'T E&amp;G 2YR'!AE16*100</f>
        <v>0.35682161233830761</v>
      </c>
      <c r="F18" s="62">
        <f>'ASptISptSSv 2yr'!AE16/'T E&amp;G 2YR'!AE16*100</f>
        <v>38.932195952616937</v>
      </c>
      <c r="G18" s="62">
        <f>'SCHOLAR FELLOW 2yr'!AE16/'T E&amp;G 2YR'!AE16*100</f>
        <v>11.692261829899524</v>
      </c>
      <c r="H18" s="62">
        <f>('All Other 2yr'!AE16/'T E&amp;G 2YR'!AE16)*100</f>
        <v>10.863531529811359</v>
      </c>
      <c r="I18" s="63">
        <f t="shared" si="2"/>
        <v>-3.3226269118618674</v>
      </c>
      <c r="J18" s="105">
        <f t="shared" si="3"/>
        <v>1.7501793867470535E-2</v>
      </c>
      <c r="K18" s="62" t="str">
        <f t="shared" si="4"/>
        <v>*</v>
      </c>
      <c r="L18" s="62" t="str">
        <f t="shared" si="5"/>
        <v>*</v>
      </c>
      <c r="M18" s="62">
        <f t="shared" si="6"/>
        <v>-2.8647923148290584</v>
      </c>
      <c r="N18" s="62">
        <f t="shared" si="7"/>
        <v>6.1651655951523558</v>
      </c>
      <c r="O18" s="22"/>
      <c r="P18" s="37">
        <f>'INSTRUCTION-2YR'!Z16/'T E&amp;G 2YR'!Z16*100</f>
        <v>41.45108472503626</v>
      </c>
      <c r="Q18" s="37">
        <f>('RESEARCH 2yr'!Z16/'T E&amp;G 2YR'!Z16)*100</f>
        <v>9.2294682920101307E-3</v>
      </c>
      <c r="R18" s="37">
        <f>'PUBLIC SERVICE 2yr'!Z16/'T E&amp;G 2YR'!Z16*100</f>
        <v>0.35457889185307967</v>
      </c>
      <c r="S18" s="37">
        <f>'ASptISptSSv 2yr'!Z16/'T E&amp;G 2YR'!Z16*100</f>
        <v>38.92968683543107</v>
      </c>
      <c r="T18" s="38">
        <f>'PLANT OPER MAIN 2yr'!Z16/'T E&amp;G 2YR'!Z16*100</f>
        <v>0</v>
      </c>
      <c r="U18" s="37">
        <f>'SCHOLAR FELLOW 2yr'!Z16/'T E&amp;G 2YR'!Z16*100</f>
        <v>14.557054144728582</v>
      </c>
      <c r="V18" s="36">
        <f>IF((('All Other 2yr'!Z16/'T E&amp;G 2YR'!Z16)*100)&gt;=0.005,('All Other 2yr'!Z16/'T E&amp;G 2YR'!Z16)*100,"*")</f>
        <v>4.6983659346590034</v>
      </c>
      <c r="W18" s="36"/>
      <c r="X18" s="27">
        <f t="shared" si="1"/>
        <v>100.00000000000001</v>
      </c>
      <c r="Y18" s="27">
        <f t="shared" si="8"/>
        <v>99.999999999999986</v>
      </c>
      <c r="Z18" s="1"/>
      <c r="AA18" s="1"/>
      <c r="AB18" s="1"/>
      <c r="AC18" s="1"/>
      <c r="AD18" s="1"/>
    </row>
    <row r="19" spans="1:30">
      <c r="A19" s="52" t="s">
        <v>34</v>
      </c>
      <c r="B19" s="52"/>
      <c r="C19" s="64">
        <f>('INSTRUCTION-2YR'!AE17)/('T E&amp;G 2YR'!AE17)*100</f>
        <v>36.386469708534335</v>
      </c>
      <c r="D19" s="64">
        <f>IF((('RESEARCH 2yr'!AE17/'T E&amp;G 2YR'!AE17)*100)=0,('RESEARCH 2yr'!AE17/'T E&amp;G 2YR'!AE17)*100,IF((('RESEARCH 2yr'!AE17/'T E&amp;G 2YR'!AE17)*100)&gt;=0.005,('RESEARCH 2yr'!AE17/'T E&amp;G 2YR'!AE17)*100,"*"))</f>
        <v>0</v>
      </c>
      <c r="E19" s="64">
        <f>'PUBLIC SERVICE 2yr'!AE17/'T E&amp;G 2YR'!AE17*100</f>
        <v>9.928012878381591E-2</v>
      </c>
      <c r="F19" s="64">
        <f>'ASptISptSSv 2yr'!AE17/'T E&amp;G 2YR'!AE17*100</f>
        <v>22.50706056735746</v>
      </c>
      <c r="G19" s="64">
        <f>'SCHOLAR FELLOW 2yr'!AE17/'T E&amp;G 2YR'!AE17*100</f>
        <v>26.666029479639501</v>
      </c>
      <c r="H19" s="64">
        <f>('All Other 2yr'!AE17/'T E&amp;G 2YR'!AE17)*100</f>
        <v>14.341160115684879</v>
      </c>
      <c r="I19" s="65">
        <f t="shared" si="2"/>
        <v>-6.7909948150464672</v>
      </c>
      <c r="J19" s="64">
        <f t="shared" si="3"/>
        <v>0</v>
      </c>
      <c r="K19" s="106">
        <f t="shared" si="4"/>
        <v>-3.7737993227665481E-2</v>
      </c>
      <c r="L19" s="64">
        <f t="shared" si="5"/>
        <v>-1.7845318167086681</v>
      </c>
      <c r="M19" s="64">
        <f t="shared" si="6"/>
        <v>-3.8806662511962351</v>
      </c>
      <c r="N19" s="64">
        <f t="shared" si="7"/>
        <v>12.493930876179039</v>
      </c>
      <c r="O19" s="8"/>
      <c r="P19" s="37">
        <f>'INSTRUCTION-2YR'!Z17/'T E&amp;G 2YR'!Z17*100</f>
        <v>43.177464523580802</v>
      </c>
      <c r="Q19" s="37">
        <f>('RESEARCH 2yr'!Z17/'T E&amp;G 2YR'!Z17)*100</f>
        <v>0</v>
      </c>
      <c r="R19" s="37">
        <f>'PUBLIC SERVICE 2yr'!Z17/'T E&amp;G 2YR'!Z17*100</f>
        <v>0.13701812201148139</v>
      </c>
      <c r="S19" s="37">
        <f>'ASptISptSSv 2yr'!Z17/'T E&amp;G 2YR'!Z17*100</f>
        <v>24.291592384066128</v>
      </c>
      <c r="T19" s="38">
        <f>'PLANT OPER MAIN 2yr'!Z17/'T E&amp;G 2YR'!Z17*100</f>
        <v>0</v>
      </c>
      <c r="U19" s="37">
        <f>'SCHOLAR FELLOW 2yr'!Z17/'T E&amp;G 2YR'!Z17*100</f>
        <v>30.546695730835737</v>
      </c>
      <c r="V19" s="36">
        <f>IF((('All Other 2yr'!Z17/'T E&amp;G 2YR'!Z17)*100)&gt;=0.005,('All Other 2yr'!Z17/'T E&amp;G 2YR'!Z17)*100,"*")</f>
        <v>1.8472292395058405</v>
      </c>
      <c r="W19" s="35"/>
      <c r="X19" s="27">
        <f t="shared" si="1"/>
        <v>99.999999999999986</v>
      </c>
      <c r="Y19" s="27">
        <f t="shared" si="8"/>
        <v>100</v>
      </c>
      <c r="Z19" s="1"/>
      <c r="AA19" s="1"/>
      <c r="AB19" s="1"/>
      <c r="AC19" s="1"/>
      <c r="AD19" s="1"/>
    </row>
    <row r="20" spans="1:30">
      <c r="A20" s="52" t="s">
        <v>35</v>
      </c>
      <c r="B20" s="52"/>
      <c r="C20" s="64">
        <f>('INSTRUCTION-2YR'!AE18)/('T E&amp;G 2YR'!AE18)*100</f>
        <v>43.194332759353522</v>
      </c>
      <c r="D20" s="64" t="str">
        <f>IF((('RESEARCH 2yr'!AE18/'T E&amp;G 2YR'!AE18)*100)=0,('RESEARCH 2yr'!AE18/'T E&amp;G 2YR'!AE18)*100,IF((('RESEARCH 2yr'!AE18/'T E&amp;G 2YR'!AE18)*100)&gt;=0.005,('RESEARCH 2yr'!AE18/'T E&amp;G 2YR'!AE18)*100,"*"))</f>
        <v>*</v>
      </c>
      <c r="E20" s="64">
        <f>'PUBLIC SERVICE 2yr'!AE18/'T E&amp;G 2YR'!AE18*100</f>
        <v>0.29844775582513311</v>
      </c>
      <c r="F20" s="64">
        <f>'ASptISptSSv 2yr'!AE18/'T E&amp;G 2YR'!AE18*100</f>
        <v>32.122508677655162</v>
      </c>
      <c r="G20" s="64">
        <f>'SCHOLAR FELLOW 2yr'!AE18/'T E&amp;G 2YR'!AE18*100</f>
        <v>17.610995483266048</v>
      </c>
      <c r="H20" s="64">
        <f>('All Other 2yr'!AE18/'T E&amp;G 2YR'!AE18)*100</f>
        <v>6.7727522593692537</v>
      </c>
      <c r="I20" s="65">
        <f t="shared" si="2"/>
        <v>-0.55936196378043235</v>
      </c>
      <c r="J20" s="64" t="str">
        <f t="shared" si="3"/>
        <v>*</v>
      </c>
      <c r="K20" s="106">
        <f t="shared" si="4"/>
        <v>-1.4302196923027199E-2</v>
      </c>
      <c r="L20" s="64">
        <f t="shared" si="5"/>
        <v>3.2438069790956732</v>
      </c>
      <c r="M20" s="64">
        <f t="shared" si="6"/>
        <v>-6.3460638726100598</v>
      </c>
      <c r="N20" s="64">
        <f t="shared" si="7"/>
        <v>3.6788509506964417</v>
      </c>
      <c r="O20" s="8"/>
      <c r="P20" s="37">
        <f>'INSTRUCTION-2YR'!Z18/'T E&amp;G 2YR'!Z18*100</f>
        <v>43.753694723133954</v>
      </c>
      <c r="Q20" s="37">
        <f>('RESEARCH 2yr'!Z18/'T E&amp;G 2YR'!Z18)*100</f>
        <v>3.8929610094566398E-3</v>
      </c>
      <c r="R20" s="37">
        <f>'PUBLIC SERVICE 2yr'!Z18/'T E&amp;G 2YR'!Z18*100</f>
        <v>0.31274995274816031</v>
      </c>
      <c r="S20" s="37">
        <f>'ASptISptSSv 2yr'!Z18/'T E&amp;G 2YR'!Z18*100</f>
        <v>28.878701698559489</v>
      </c>
      <c r="T20" s="38">
        <f>'PLANT OPER MAIN 2yr'!Z18/'T E&amp;G 2YR'!Z18*100</f>
        <v>0</v>
      </c>
      <c r="U20" s="37">
        <f>'SCHOLAR FELLOW 2yr'!Z18/'T E&amp;G 2YR'!Z18*100</f>
        <v>23.957059355876108</v>
      </c>
      <c r="V20" s="36">
        <f>IF((('All Other 2yr'!Z18/'T E&amp;G 2YR'!Z18)*100)&gt;=0.005,('All Other 2yr'!Z18/'T E&amp;G 2YR'!Z18)*100,"*")</f>
        <v>3.093901308672812</v>
      </c>
      <c r="W20" s="35"/>
      <c r="X20" s="27">
        <f t="shared" si="1"/>
        <v>99.999999999999986</v>
      </c>
      <c r="Y20" s="27">
        <f t="shared" si="8"/>
        <v>99.999036935469121</v>
      </c>
      <c r="Z20" s="1"/>
      <c r="AA20" s="1"/>
      <c r="AB20" s="1"/>
      <c r="AC20" s="1"/>
      <c r="AD20" s="1"/>
    </row>
    <row r="21" spans="1:30">
      <c r="A21" s="52" t="s">
        <v>36</v>
      </c>
      <c r="B21" s="52"/>
      <c r="C21" s="64">
        <f>('INSTRUCTION-2YR'!AE19)/('T E&amp;G 2YR'!AE19)*100</f>
        <v>40.032808059688222</v>
      </c>
      <c r="D21" s="106">
        <f>IF((('RESEARCH 2yr'!AE19/'T E&amp;G 2YR'!AE19)*100)=0,('RESEARCH 2yr'!AE19/'T E&amp;G 2YR'!AE19)*100,IF((('RESEARCH 2yr'!AE19/'T E&amp;G 2YR'!AE19)*100)&gt;=0.005,('RESEARCH 2yr'!AE19/'T E&amp;G 2YR'!AE19)*100,"*"))</f>
        <v>2.8477129488048581E-2</v>
      </c>
      <c r="E21" s="64">
        <f>'PUBLIC SERVICE 2yr'!AE19/'T E&amp;G 2YR'!AE19*100</f>
        <v>0.68709227405554463</v>
      </c>
      <c r="F21" s="64">
        <f>'ASptISptSSv 2yr'!AE19/'T E&amp;G 2YR'!AE19*100</f>
        <v>28.542248469637233</v>
      </c>
      <c r="G21" s="64">
        <f>'SCHOLAR FELLOW 2yr'!AE19/'T E&amp;G 2YR'!AE19*100</f>
        <v>26.708684575314333</v>
      </c>
      <c r="H21" s="64">
        <f>('All Other 2yr'!AE19/'T E&amp;G 2YR'!AE19)*100</f>
        <v>4.000689491816626</v>
      </c>
      <c r="I21" s="65">
        <f t="shared" si="2"/>
        <v>-4.4519037086064515</v>
      </c>
      <c r="J21" s="64">
        <f t="shared" si="3"/>
        <v>-4.9550487654617351E-2</v>
      </c>
      <c r="K21" s="106">
        <f t="shared" si="4"/>
        <v>-1.4652584252338952E-2</v>
      </c>
      <c r="L21" s="64">
        <f t="shared" si="5"/>
        <v>2.0936667736270138</v>
      </c>
      <c r="M21" s="64">
        <f t="shared" si="6"/>
        <v>1.2060444234621528</v>
      </c>
      <c r="N21" s="64">
        <f t="shared" si="7"/>
        <v>1.2163955834242404</v>
      </c>
      <c r="O21" s="8"/>
      <c r="P21" s="37">
        <f>'INSTRUCTION-2YR'!Z19/'T E&amp;G 2YR'!Z19*100</f>
        <v>44.484711768294673</v>
      </c>
      <c r="Q21" s="37">
        <f>('RESEARCH 2yr'!Z19/'T E&amp;G 2YR'!Z19)*100</f>
        <v>7.8027617142665928E-2</v>
      </c>
      <c r="R21" s="37">
        <f>'PUBLIC SERVICE 2yr'!Z19/'T E&amp;G 2YR'!Z19*100</f>
        <v>0.70174485830788358</v>
      </c>
      <c r="S21" s="37">
        <f>'ASptISptSSv 2yr'!Z19/'T E&amp;G 2YR'!Z19*100</f>
        <v>26.448581696010219</v>
      </c>
      <c r="T21" s="38">
        <f>'PLANT OPER MAIN 2yr'!Z19/'T E&amp;G 2YR'!Z19*100</f>
        <v>0</v>
      </c>
      <c r="U21" s="37">
        <f>'SCHOLAR FELLOW 2yr'!Z19/'T E&amp;G 2YR'!Z19*100</f>
        <v>25.50264015185218</v>
      </c>
      <c r="V21" s="36">
        <f>IF((('All Other 2yr'!Z19/'T E&amp;G 2YR'!Z19)*100)&gt;=0.005,('All Other 2yr'!Z19/'T E&amp;G 2YR'!Z19)*100,"*")</f>
        <v>2.7842939083923857</v>
      </c>
      <c r="W21" s="35"/>
      <c r="X21" s="27">
        <f t="shared" si="1"/>
        <v>100</v>
      </c>
      <c r="Y21" s="27">
        <f t="shared" si="8"/>
        <v>100.00000000000001</v>
      </c>
      <c r="Z21" s="1"/>
      <c r="AA21" s="1"/>
      <c r="AB21" s="1"/>
      <c r="AC21" s="1"/>
      <c r="AD21" s="1"/>
    </row>
    <row r="22" spans="1:30">
      <c r="A22" s="52" t="s">
        <v>37</v>
      </c>
      <c r="B22" s="52"/>
      <c r="C22" s="64">
        <f>('INSTRUCTION-2YR'!AE20)/('T E&amp;G 2YR'!AE20)*100</f>
        <v>36.281758005593552</v>
      </c>
      <c r="D22" s="106">
        <f>IF((('RESEARCH 2yr'!AE20/'T E&amp;G 2YR'!AE20)*100)=0,('RESEARCH 2yr'!AE20/'T E&amp;G 2YR'!AE20)*100,IF((('RESEARCH 2yr'!AE20/'T E&amp;G 2YR'!AE20)*100)&gt;=0.005,('RESEARCH 2yr'!AE20/'T E&amp;G 2YR'!AE20)*100,"*"))</f>
        <v>1.6173691549284466E-2</v>
      </c>
      <c r="E22" s="106">
        <f>'PUBLIC SERVICE 2yr'!AE20/'T E&amp;G 2YR'!AE20*100</f>
        <v>4.1456738704633275E-2</v>
      </c>
      <c r="F22" s="64">
        <f>'ASptISptSSv 2yr'!AE20/'T E&amp;G 2YR'!AE20*100</f>
        <v>29.356487468530378</v>
      </c>
      <c r="G22" s="64">
        <f>'SCHOLAR FELLOW 2yr'!AE20/'T E&amp;G 2YR'!AE20*100</f>
        <v>29.446187973839251</v>
      </c>
      <c r="H22" s="64">
        <f>('All Other 2yr'!AE20/'T E&amp;G 2YR'!AE20)*100</f>
        <v>4.8579361217829025</v>
      </c>
      <c r="I22" s="65" t="str">
        <f t="shared" si="2"/>
        <v>*</v>
      </c>
      <c r="J22" s="106">
        <f t="shared" si="3"/>
        <v>-1.7550008807103671E-2</v>
      </c>
      <c r="K22" s="64">
        <f t="shared" si="4"/>
        <v>-8.1422444128172136E-2</v>
      </c>
      <c r="L22" s="64">
        <f t="shared" si="5"/>
        <v>0.92215053460156682</v>
      </c>
      <c r="M22" s="64">
        <f t="shared" si="6"/>
        <v>-4.9217642820111323</v>
      </c>
      <c r="N22" s="64">
        <f t="shared" si="7"/>
        <v>4.0948357472526586</v>
      </c>
      <c r="O22" s="8"/>
      <c r="P22" s="37">
        <f>'INSTRUCTION-2YR'!Z20/'T E&amp;G 2YR'!Z20*100</f>
        <v>36.278007552501364</v>
      </c>
      <c r="Q22" s="37">
        <f>('RESEARCH 2yr'!Z20/'T E&amp;G 2YR'!Z20)*100</f>
        <v>3.3723700356388137E-2</v>
      </c>
      <c r="R22" s="37">
        <f>'PUBLIC SERVICE 2yr'!Z20/'T E&amp;G 2YR'!Z20*100</f>
        <v>0.12287918283280541</v>
      </c>
      <c r="S22" s="37">
        <f>'ASptISptSSv 2yr'!Z20/'T E&amp;G 2YR'!Z20*100</f>
        <v>28.434336933928812</v>
      </c>
      <c r="T22" s="38">
        <f>'PLANT OPER MAIN 2yr'!Z20/'T E&amp;G 2YR'!Z20*100</f>
        <v>0</v>
      </c>
      <c r="U22" s="37">
        <f>'SCHOLAR FELLOW 2yr'!Z20/'T E&amp;G 2YR'!Z20*100</f>
        <v>34.367952255850383</v>
      </c>
      <c r="V22" s="36">
        <f>IF((('All Other 2yr'!Z20/'T E&amp;G 2YR'!Z20)*100)&gt;=0.005,('All Other 2yr'!Z20/'T E&amp;G 2YR'!Z20)*100,"*")</f>
        <v>0.76310037453024415</v>
      </c>
      <c r="W22" s="35"/>
      <c r="X22" s="27">
        <f t="shared" si="1"/>
        <v>100</v>
      </c>
      <c r="Y22" s="27">
        <f t="shared" si="8"/>
        <v>100</v>
      </c>
      <c r="Z22" s="1"/>
      <c r="AA22" s="1"/>
      <c r="AB22" s="1"/>
      <c r="AC22" s="1"/>
      <c r="AD22" s="1"/>
    </row>
    <row r="23" spans="1:30">
      <c r="A23" s="53" t="s">
        <v>38</v>
      </c>
      <c r="B23" s="53"/>
      <c r="C23" s="62">
        <f>('INSTRUCTION-2YR'!AE21)/('T E&amp;G 2YR'!AE21)*100</f>
        <v>34.234889768363729</v>
      </c>
      <c r="D23" s="62">
        <f>IF((('RESEARCH 2yr'!AE21/'T E&amp;G 2YR'!AE21)*100)=0,('RESEARCH 2yr'!AE21/'T E&amp;G 2YR'!AE21)*100,IF((('RESEARCH 2yr'!AE21/'T E&amp;G 2YR'!AE21)*100)&gt;=0.005,('RESEARCH 2yr'!AE21/'T E&amp;G 2YR'!AE21)*100,"*"))</f>
        <v>0</v>
      </c>
      <c r="E23" s="62">
        <f>'PUBLIC SERVICE 2yr'!AE21/'T E&amp;G 2YR'!AE21*100</f>
        <v>1.0693995220274306</v>
      </c>
      <c r="F23" s="62">
        <f>'ASptISptSSv 2yr'!AE21/'T E&amp;G 2YR'!AE21*100</f>
        <v>24.222832722775973</v>
      </c>
      <c r="G23" s="62">
        <f>'SCHOLAR FELLOW 2yr'!AE21/'T E&amp;G 2YR'!AE21*100</f>
        <v>32.737564062145189</v>
      </c>
      <c r="H23" s="62">
        <f>('All Other 2yr'!AE21/'T E&amp;G 2YR'!AE21)*100</f>
        <v>7.7353139246876781</v>
      </c>
      <c r="I23" s="63">
        <f t="shared" si="2"/>
        <v>-5.0664032237881429</v>
      </c>
      <c r="J23" s="105">
        <f t="shared" si="3"/>
        <v>-6.4964894243120129E-3</v>
      </c>
      <c r="K23" s="62">
        <f t="shared" si="4"/>
        <v>-0.66924261690159503</v>
      </c>
      <c r="L23" s="62">
        <f t="shared" si="5"/>
        <v>-4.1463559493941879</v>
      </c>
      <c r="M23" s="62">
        <f t="shared" si="6"/>
        <v>3.1324653497188208</v>
      </c>
      <c r="N23" s="62">
        <f t="shared" si="7"/>
        <v>6.7560329297894146</v>
      </c>
      <c r="O23" s="22"/>
      <c r="P23" s="37">
        <f>'INSTRUCTION-2YR'!Z21/'T E&amp;G 2YR'!Z21*100</f>
        <v>39.301292992151872</v>
      </c>
      <c r="Q23" s="37">
        <f>('RESEARCH 2yr'!Z21/'T E&amp;G 2YR'!Z21)*100</f>
        <v>6.4964894243120129E-3</v>
      </c>
      <c r="R23" s="37">
        <f>'PUBLIC SERVICE 2yr'!Z21/'T E&amp;G 2YR'!Z21*100</f>
        <v>1.7386421389290256</v>
      </c>
      <c r="S23" s="37">
        <f>'ASptISptSSv 2yr'!Z21/'T E&amp;G 2YR'!Z21*100</f>
        <v>28.369188672170161</v>
      </c>
      <c r="T23" s="38">
        <f>'PLANT OPER MAIN 2yr'!Z21/'T E&amp;G 2YR'!Z21*100</f>
        <v>0</v>
      </c>
      <c r="U23" s="37">
        <f>'SCHOLAR FELLOW 2yr'!Z21/'T E&amp;G 2YR'!Z21*100</f>
        <v>29.605098712426368</v>
      </c>
      <c r="V23" s="36">
        <f>IF((('All Other 2yr'!Z21/'T E&amp;G 2YR'!Z21)*100)&gt;=0.005,('All Other 2yr'!Z21/'T E&amp;G 2YR'!Z21)*100,"*")</f>
        <v>0.97928099489826315</v>
      </c>
      <c r="W23" s="36"/>
      <c r="X23" s="27">
        <f t="shared" si="1"/>
        <v>100</v>
      </c>
      <c r="Y23" s="27">
        <f t="shared" si="8"/>
        <v>99.999999999999986</v>
      </c>
      <c r="Z23" s="1"/>
      <c r="AA23" s="1"/>
      <c r="AB23" s="1"/>
      <c r="AC23" s="1"/>
      <c r="AD23" s="1"/>
    </row>
    <row r="24" spans="1:30">
      <c r="A24" s="53" t="s">
        <v>39</v>
      </c>
      <c r="B24" s="53"/>
      <c r="C24" s="62">
        <f>('INSTRUCTION-2YR'!AE22)/('T E&amp;G 2YR'!AE22)*100</f>
        <v>38.132131244724071</v>
      </c>
      <c r="D24" s="105">
        <f>IF((('RESEARCH 2yr'!AE22/'T E&amp;G 2YR'!AE22)*100)=0,('RESEARCH 2yr'!AE22/'T E&amp;G 2YR'!AE22)*100,IF((('RESEARCH 2yr'!AE22/'T E&amp;G 2YR'!AE22)*100)&gt;=0.005,('RESEARCH 2yr'!AE22/'T E&amp;G 2YR'!AE22)*100,"*"))</f>
        <v>8.8405220717472834E-3</v>
      </c>
      <c r="E24" s="62">
        <f>'PUBLIC SERVICE 2yr'!AE22/'T E&amp;G 2YR'!AE22*100</f>
        <v>1.6324262217548717</v>
      </c>
      <c r="F24" s="62">
        <f>'ASptISptSSv 2yr'!AE22/'T E&amp;G 2YR'!AE22*100</f>
        <v>34.010842100310484</v>
      </c>
      <c r="G24" s="62">
        <f>'SCHOLAR FELLOW 2yr'!AE22/'T E&amp;G 2YR'!AE22*100</f>
        <v>20.76795683526786</v>
      </c>
      <c r="H24" s="62">
        <f>('All Other 2yr'!AE22/'T E&amp;G 2YR'!AE22)*100</f>
        <v>5.4478030758709641</v>
      </c>
      <c r="I24" s="63">
        <f t="shared" si="2"/>
        <v>-2.1894233544929875</v>
      </c>
      <c r="J24" s="62" t="str">
        <f t="shared" si="3"/>
        <v>*</v>
      </c>
      <c r="K24" s="62">
        <f t="shared" si="4"/>
        <v>-0.2791780480547319</v>
      </c>
      <c r="L24" s="62">
        <f t="shared" si="5"/>
        <v>2.2386807832004898</v>
      </c>
      <c r="M24" s="62">
        <f t="shared" si="6"/>
        <v>-3.5877083342395366</v>
      </c>
      <c r="N24" s="62">
        <f t="shared" si="7"/>
        <v>3.813608254305263</v>
      </c>
      <c r="O24" s="22"/>
      <c r="P24" s="37">
        <f>'INSTRUCTION-2YR'!Z22/'T E&amp;G 2YR'!Z22*100</f>
        <v>40.321554599217059</v>
      </c>
      <c r="Q24" s="37">
        <f>('RESEARCH 2yr'!Z22/'T E&amp;G 2YR'!Z22)*100</f>
        <v>4.8198227902430642E-3</v>
      </c>
      <c r="R24" s="37">
        <f>'PUBLIC SERVICE 2yr'!Z22/'T E&amp;G 2YR'!Z22*100</f>
        <v>1.9116042698096036</v>
      </c>
      <c r="S24" s="37">
        <f>'ASptISptSSv 2yr'!Z22/'T E&amp;G 2YR'!Z22*100</f>
        <v>31.772161317109994</v>
      </c>
      <c r="T24" s="38">
        <f>'PLANT OPER MAIN 2yr'!Z22/'T E&amp;G 2YR'!Z22*100</f>
        <v>0</v>
      </c>
      <c r="U24" s="37">
        <f>'SCHOLAR FELLOW 2yr'!Z22/'T E&amp;G 2YR'!Z22*100</f>
        <v>24.355665169507397</v>
      </c>
      <c r="V24" s="36">
        <f>IF((('All Other 2yr'!Z22/'T E&amp;G 2YR'!Z22)*100)&gt;=0.005,('All Other 2yr'!Z22/'T E&amp;G 2YR'!Z22)*100,"*")</f>
        <v>1.6341948215657012</v>
      </c>
      <c r="W24" s="36"/>
      <c r="X24" s="27">
        <f t="shared" si="1"/>
        <v>100</v>
      </c>
      <c r="Y24" s="27">
        <f t="shared" si="8"/>
        <v>99.999999999999986</v>
      </c>
      <c r="Z24" s="1"/>
      <c r="AA24" s="1"/>
      <c r="AB24" s="1"/>
      <c r="AC24" s="1"/>
      <c r="AD24" s="1"/>
    </row>
    <row r="25" spans="1:30">
      <c r="A25" s="53" t="s">
        <v>40</v>
      </c>
      <c r="B25" s="53"/>
      <c r="C25" s="62">
        <f>('INSTRUCTION-2YR'!AE23)/('T E&amp;G 2YR'!AE23)*100</f>
        <v>41.450986411686166</v>
      </c>
      <c r="D25" s="62">
        <f>IF((('RESEARCH 2yr'!AE23/'T E&amp;G 2YR'!AE23)*100)=0,('RESEARCH 2yr'!AE23/'T E&amp;G 2YR'!AE23)*100,IF((('RESEARCH 2yr'!AE23/'T E&amp;G 2YR'!AE23)*100)&gt;=0.005,('RESEARCH 2yr'!AE23/'T E&amp;G 2YR'!AE23)*100,"*"))</f>
        <v>0</v>
      </c>
      <c r="E25" s="62">
        <f>'PUBLIC SERVICE 2yr'!AE23/'T E&amp;G 2YR'!AE23*100</f>
        <v>0.99764643111933216</v>
      </c>
      <c r="F25" s="62">
        <f>'ASptISptSSv 2yr'!AE23/'T E&amp;G 2YR'!AE23*100</f>
        <v>33.498822935459707</v>
      </c>
      <c r="G25" s="62">
        <f>'SCHOLAR FELLOW 2yr'!AE23/'T E&amp;G 2YR'!AE23*100</f>
        <v>22.119602334747775</v>
      </c>
      <c r="H25" s="62">
        <f>('All Other 2yr'!AE23/'T E&amp;G 2YR'!AE23)*100</f>
        <v>1.9329418869870298</v>
      </c>
      <c r="I25" s="63">
        <f t="shared" si="2"/>
        <v>-1.2370397672482838</v>
      </c>
      <c r="J25" s="62">
        <f t="shared" si="3"/>
        <v>0</v>
      </c>
      <c r="K25" s="62">
        <f t="shared" si="4"/>
        <v>0.41752014134610504</v>
      </c>
      <c r="L25" s="62">
        <f t="shared" si="5"/>
        <v>1.1163238238451214</v>
      </c>
      <c r="M25" s="62">
        <f t="shared" si="6"/>
        <v>-2.0983621588169576</v>
      </c>
      <c r="N25" s="62">
        <f t="shared" si="7"/>
        <v>1.80155796087403</v>
      </c>
      <c r="O25" s="22"/>
      <c r="P25" s="37">
        <f>'INSTRUCTION-2YR'!Z23/'T E&amp;G 2YR'!Z23*100</f>
        <v>42.68802617893445</v>
      </c>
      <c r="Q25" s="37">
        <f>('RESEARCH 2yr'!Z23/'T E&amp;G 2YR'!Z23)*100</f>
        <v>0</v>
      </c>
      <c r="R25" s="37">
        <f>'PUBLIC SERVICE 2yr'!Z23/'T E&amp;G 2YR'!Z23*100</f>
        <v>0.58012628977322711</v>
      </c>
      <c r="S25" s="37">
        <f>'ASptISptSSv 2yr'!Z23/'T E&amp;G 2YR'!Z23*100</f>
        <v>32.382499111614585</v>
      </c>
      <c r="T25" s="38">
        <f>'PLANT OPER MAIN 2yr'!Z23/'T E&amp;G 2YR'!Z23*100</f>
        <v>0</v>
      </c>
      <c r="U25" s="37">
        <f>'SCHOLAR FELLOW 2yr'!Z23/'T E&amp;G 2YR'!Z23*100</f>
        <v>24.217964493564732</v>
      </c>
      <c r="V25" s="36">
        <f>IF((('All Other 2yr'!Z23/'T E&amp;G 2YR'!Z23)*100)&gt;=0.005,('All Other 2yr'!Z23/'T E&amp;G 2YR'!Z23)*100,"*")</f>
        <v>0.13138392611299995</v>
      </c>
      <c r="W25" s="36"/>
      <c r="X25" s="27">
        <f t="shared" si="1"/>
        <v>100</v>
      </c>
      <c r="Y25" s="27">
        <f t="shared" si="8"/>
        <v>100.00000000000001</v>
      </c>
      <c r="Z25" s="1"/>
      <c r="AA25" s="1"/>
      <c r="AB25" s="1"/>
      <c r="AC25" s="1"/>
      <c r="AD25" s="1"/>
    </row>
    <row r="26" spans="1:30">
      <c r="A26" s="54" t="s">
        <v>41</v>
      </c>
      <c r="B26" s="54"/>
      <c r="C26" s="60">
        <f>('INSTRUCTION-2YR'!AE24)/('T E&amp;G 2YR'!AE24)*100</f>
        <v>34.400200118823953</v>
      </c>
      <c r="D26" s="60">
        <f>IF((('RESEARCH 2yr'!AE24/'T E&amp;G 2YR'!AE24)*100)=0,('RESEARCH 2yr'!AE24/'T E&amp;G 2YR'!AE24)*100,IF((('RESEARCH 2yr'!AE24/'T E&amp;G 2YR'!AE24)*100)&gt;=0.005,('RESEARCH 2yr'!AE24/'T E&amp;G 2YR'!AE24)*100,"*"))</f>
        <v>0</v>
      </c>
      <c r="E26" s="60">
        <f>'PUBLIC SERVICE 2yr'!AE24/'T E&amp;G 2YR'!AE24*100</f>
        <v>1.4270154384112472</v>
      </c>
      <c r="F26" s="60">
        <f>'ASptISptSSv 2yr'!AE24/'T E&amp;G 2YR'!AE24*100</f>
        <v>30.956823339388144</v>
      </c>
      <c r="G26" s="60">
        <f>'SCHOLAR FELLOW 2yr'!AE24/'T E&amp;G 2YR'!AE24*100</f>
        <v>23.379315481397452</v>
      </c>
      <c r="H26" s="97">
        <f>('All Other 2yr'!AE24/'T E&amp;G 2YR'!AE24)*100</f>
        <v>9.8366456219792049</v>
      </c>
      <c r="I26" s="61">
        <f t="shared" si="2"/>
        <v>1.6655820420395884</v>
      </c>
      <c r="J26" s="60">
        <f t="shared" si="3"/>
        <v>0</v>
      </c>
      <c r="K26" s="60">
        <f t="shared" si="4"/>
        <v>-0.1205677419324076</v>
      </c>
      <c r="L26" s="60">
        <f t="shared" si="5"/>
        <v>3.3567788057119721</v>
      </c>
      <c r="M26" s="60">
        <f t="shared" si="6"/>
        <v>-7.2508270273146422</v>
      </c>
      <c r="N26" s="60">
        <f t="shared" si="7"/>
        <v>2.3490339214954883</v>
      </c>
      <c r="O26" s="22"/>
      <c r="P26" s="37">
        <f>'INSTRUCTION-2YR'!Z24/'T E&amp;G 2YR'!Z24*100</f>
        <v>32.734618076784365</v>
      </c>
      <c r="Q26" s="37">
        <f>('RESEARCH 2yr'!Z24/'T E&amp;G 2YR'!Z24)*100</f>
        <v>0</v>
      </c>
      <c r="R26" s="37">
        <f>'PUBLIC SERVICE 2yr'!Z24/'T E&amp;G 2YR'!Z24*100</f>
        <v>1.5475831803436548</v>
      </c>
      <c r="S26" s="37">
        <f>'ASptISptSSv 2yr'!Z24/'T E&amp;G 2YR'!Z24*100</f>
        <v>27.600044533676172</v>
      </c>
      <c r="T26" s="38">
        <f>'PLANT OPER MAIN 2yr'!Z24/'T E&amp;G 2YR'!Z24*100</f>
        <v>0</v>
      </c>
      <c r="U26" s="37">
        <f>'SCHOLAR FELLOW 2yr'!Z24/'T E&amp;G 2YR'!Z24*100</f>
        <v>30.630142508712094</v>
      </c>
      <c r="V26" s="36">
        <f>IF((('All Other 2yr'!Z24/'T E&amp;G 2YR'!Z24)*100)&gt;=0.005,('All Other 2yr'!Z24/'T E&amp;G 2YR'!Z24)*100,"*")</f>
        <v>7.4876117004837166</v>
      </c>
      <c r="W26" s="36"/>
      <c r="X26" s="27">
        <f t="shared" si="1"/>
        <v>100</v>
      </c>
      <c r="Y26" s="27">
        <f t="shared" si="8"/>
        <v>100</v>
      </c>
      <c r="Z26" s="1"/>
      <c r="AA26" s="1"/>
      <c r="AB26" s="1"/>
      <c r="AC26" s="1"/>
      <c r="AD26" s="1"/>
    </row>
    <row r="27" spans="1:30">
      <c r="A27" s="53" t="s">
        <v>42</v>
      </c>
      <c r="B27" s="53"/>
      <c r="C27" s="62">
        <f>('INSTRUCTION-2YR'!AE25)/('T E&amp;G 2YR'!AE25)*100</f>
        <v>37.038703891664653</v>
      </c>
      <c r="D27" s="62">
        <f>IF((('RESEARCH 2yr'!AE25/'T E&amp;G 2YR'!AE25)*100)=0,('RESEARCH 2yr'!AE25/'T E&amp;G 2YR'!AE25)*100,IF((('RESEARCH 2yr'!AE25/'T E&amp;G 2YR'!AE25)*100)&gt;=0.005,('RESEARCH 2yr'!AE25/'T E&amp;G 2YR'!AE25)*100,"*"))</f>
        <v>7.6767862158067537E-2</v>
      </c>
      <c r="E27" s="62">
        <f>'PUBLIC SERVICE 2yr'!AE25/'T E&amp;G 2YR'!AE25*100</f>
        <v>1.2648421939903947</v>
      </c>
      <c r="F27" s="62">
        <f>'ASptISptSSv 2yr'!AE25/'T E&amp;G 2YR'!AE25*100</f>
        <v>32.683329266544924</v>
      </c>
      <c r="G27" s="62">
        <f>'SCHOLAR FELLOW 2yr'!AE25/'T E&amp;G 2YR'!AE25*100</f>
        <v>17.217526456894891</v>
      </c>
      <c r="H27" s="62">
        <f>('All Other 2yr'!AE25/'T E&amp;G 2YR'!AE25)*100</f>
        <v>11.718830328747066</v>
      </c>
      <c r="I27" s="63">
        <f t="shared" si="2"/>
        <v>-2.2445911522618971</v>
      </c>
      <c r="J27" s="105">
        <f t="shared" si="3"/>
        <v>-1.6879866214114567E-2</v>
      </c>
      <c r="K27" s="62">
        <f t="shared" si="4"/>
        <v>-0.17971115403521165</v>
      </c>
      <c r="L27" s="62">
        <f t="shared" si="5"/>
        <v>1.5823916461220691</v>
      </c>
      <c r="M27" s="62">
        <f t="shared" si="6"/>
        <v>-5.1724683144257533</v>
      </c>
      <c r="N27" s="62">
        <f t="shared" si="7"/>
        <v>6.0312588408149148</v>
      </c>
      <c r="O27" s="8"/>
      <c r="P27" s="37">
        <f>'INSTRUCTION-2YR'!Z25/'T E&amp;G 2YR'!Z25*100</f>
        <v>39.28329504392655</v>
      </c>
      <c r="Q27" s="37">
        <f>('RESEARCH 2yr'!Z25/'T E&amp;G 2YR'!Z25)*100</f>
        <v>9.3647728372182104E-2</v>
      </c>
      <c r="R27" s="37">
        <f>'PUBLIC SERVICE 2yr'!Z25/'T E&amp;G 2YR'!Z25*100</f>
        <v>1.4445533480256063</v>
      </c>
      <c r="S27" s="37">
        <f>'ASptISptSSv 2yr'!Z25/'T E&amp;G 2YR'!Z25*100</f>
        <v>31.100937620422854</v>
      </c>
      <c r="T27" s="38">
        <f>'PLANT OPER MAIN 2yr'!Z25/'T E&amp;G 2YR'!Z25*100</f>
        <v>0</v>
      </c>
      <c r="U27" s="37">
        <f>'SCHOLAR FELLOW 2yr'!Z25/'T E&amp;G 2YR'!Z25*100</f>
        <v>22.389994771320644</v>
      </c>
      <c r="V27" s="36">
        <f>IF((('All Other 2yr'!Z25/'T E&amp;G 2YR'!Z25)*100)&gt;=0.005,('All Other 2yr'!Z25/'T E&amp;G 2YR'!Z25)*100,"*")</f>
        <v>5.6875714879321508</v>
      </c>
      <c r="W27" s="8"/>
      <c r="X27" s="27">
        <f t="shared" si="1"/>
        <v>99.999999999999986</v>
      </c>
      <c r="Y27" s="27">
        <f t="shared" si="8"/>
        <v>99.999999999999986</v>
      </c>
      <c r="Z27" s="1"/>
      <c r="AA27" s="1"/>
      <c r="AB27" s="1"/>
      <c r="AC27" s="1"/>
      <c r="AD27" s="1"/>
    </row>
    <row r="28" spans="1:30" s="30" customFormat="1">
      <c r="A28" s="53"/>
      <c r="B28" s="53"/>
      <c r="C28" s="62"/>
      <c r="D28" s="62"/>
      <c r="E28" s="62"/>
      <c r="F28" s="62"/>
      <c r="G28" s="62"/>
      <c r="H28" s="62"/>
      <c r="I28" s="63"/>
      <c r="J28" s="62"/>
      <c r="K28" s="62"/>
      <c r="L28" s="62"/>
      <c r="M28" s="62"/>
      <c r="N28" s="62"/>
      <c r="O28" s="16"/>
      <c r="P28" s="37"/>
      <c r="Q28" s="37"/>
      <c r="R28" s="37"/>
      <c r="S28" s="37"/>
      <c r="T28" s="38"/>
      <c r="U28" s="37"/>
      <c r="V28" s="36"/>
      <c r="W28" s="16"/>
      <c r="X28" s="27"/>
      <c r="Y28" s="27"/>
      <c r="Z28" s="29"/>
      <c r="AA28" s="29"/>
      <c r="AB28" s="29"/>
      <c r="AC28" s="29"/>
      <c r="AD28" s="29"/>
    </row>
    <row r="29" spans="1:30" s="30" customFormat="1">
      <c r="A29" s="52" t="s">
        <v>43</v>
      </c>
      <c r="B29" s="52"/>
      <c r="C29" s="64">
        <f>('INSTRUCTION-2YR'!AE27)/('T E&amp;G 2YR'!AE27)*100</f>
        <v>33.387915719559764</v>
      </c>
      <c r="D29" s="64">
        <f>IF((('RESEARCH 2yr'!AE27/'T E&amp;G 2YR'!AE27)*100)=0,('RESEARCH 2yr'!AE27/'T E&amp;G 2YR'!AE27)*100,IF((('RESEARCH 2yr'!AE27/'T E&amp;G 2YR'!AE27)*100)&gt;=0.005,('RESEARCH 2yr'!AE27/'T E&amp;G 2YR'!AE27)*100,"*"))</f>
        <v>0</v>
      </c>
      <c r="E29" s="64">
        <f>'PUBLIC SERVICE 2yr'!AE27/'T E&amp;G 2YR'!AE27*100</f>
        <v>0</v>
      </c>
      <c r="F29" s="64">
        <f>'ASptISptSSv 2yr'!AE27/'T E&amp;G 2YR'!AE27*100</f>
        <v>61.986029257583496</v>
      </c>
      <c r="G29" s="64">
        <f>'SCHOLAR FELLOW 2yr'!AE27/'T E&amp;G 2YR'!AE27*100</f>
        <v>0.7952377440694568</v>
      </c>
      <c r="H29" s="64">
        <f>('All Other 2yr'!AE27/'T E&amp;G 2YR'!AE27)*100</f>
        <v>3.8308172787872907</v>
      </c>
      <c r="I29" s="65" t="s">
        <v>90</v>
      </c>
      <c r="J29" s="64" t="s">
        <v>90</v>
      </c>
      <c r="K29" s="64" t="s">
        <v>90</v>
      </c>
      <c r="L29" s="64" t="s">
        <v>90</v>
      </c>
      <c r="M29" s="64" t="s">
        <v>90</v>
      </c>
      <c r="N29" s="64" t="s">
        <v>90</v>
      </c>
      <c r="O29" s="16"/>
      <c r="P29" s="37" t="e">
        <f>'INSTRUCTION-2YR'!Z27/'T E&amp;G 2YR'!Z27*100</f>
        <v>#DIV/0!</v>
      </c>
      <c r="Q29" s="37" t="e">
        <f>('RESEARCH 2yr'!Z27/'T E&amp;G 2YR'!Z27)*100</f>
        <v>#DIV/0!</v>
      </c>
      <c r="R29" s="37" t="e">
        <f>'PUBLIC SERVICE 2yr'!Z27/'T E&amp;G 2YR'!Z27*100</f>
        <v>#DIV/0!</v>
      </c>
      <c r="S29" s="37" t="e">
        <f>'ASptISptSSv 2yr'!Z27/'T E&amp;G 2YR'!Z27*100</f>
        <v>#DIV/0!</v>
      </c>
      <c r="T29" s="38" t="e">
        <f>'PLANT OPER MAIN 2yr'!Z27/'T E&amp;G 2YR'!Z27*100</f>
        <v>#DIV/0!</v>
      </c>
      <c r="U29" s="37" t="e">
        <f>'SCHOLAR FELLOW 2yr'!Z27/'T E&amp;G 2YR'!Z27*100</f>
        <v>#DIV/0!</v>
      </c>
      <c r="V29" s="36" t="e">
        <f>IF((('All Other 2yr'!Z27/'T E&amp;G 2YR'!Z27)*100)&gt;=0.005,('All Other 2yr'!Z27/'T E&amp;G 2YR'!Z27)*100,"*")</f>
        <v>#DIV/0!</v>
      </c>
      <c r="W29" s="16"/>
      <c r="X29" s="27" t="e">
        <f t="shared" si="1"/>
        <v>#DIV/0!</v>
      </c>
      <c r="Y29" s="27">
        <f t="shared" ref="Y29:Y42" si="9">SUM(C29:H29)</f>
        <v>100</v>
      </c>
      <c r="Z29" s="29"/>
      <c r="AA29" s="29"/>
      <c r="AB29" s="29"/>
      <c r="AC29" s="29"/>
      <c r="AD29" s="29"/>
    </row>
    <row r="30" spans="1:30" s="30" customFormat="1">
      <c r="A30" s="52" t="s">
        <v>44</v>
      </c>
      <c r="B30" s="52"/>
      <c r="C30" s="64">
        <f>('INSTRUCTION-2YR'!AE28)/('T E&amp;G 2YR'!AE28)*100</f>
        <v>38.746508194111946</v>
      </c>
      <c r="D30" s="64">
        <f>IF((('RESEARCH 2yr'!AE28/'T E&amp;G 2YR'!AE28)*100)=0,('RESEARCH 2yr'!AE28/'T E&amp;G 2YR'!AE28)*100,IF((('RESEARCH 2yr'!AE28/'T E&amp;G 2YR'!AE28)*100)&gt;=0.005,('RESEARCH 2yr'!AE28/'T E&amp;G 2YR'!AE28)*100,"*"))</f>
        <v>0.11335674854902711</v>
      </c>
      <c r="E30" s="64">
        <f>'PUBLIC SERVICE 2yr'!AE28/'T E&amp;G 2YR'!AE28*100</f>
        <v>1.4718516853314367</v>
      </c>
      <c r="F30" s="64">
        <f>'ASptISptSSv 2yr'!AE28/'T E&amp;G 2YR'!AE28*100</f>
        <v>39.139136723690306</v>
      </c>
      <c r="G30" s="64">
        <f>'SCHOLAR FELLOW 2yr'!AE28/'T E&amp;G 2YR'!AE28*100</f>
        <v>18.542448598223984</v>
      </c>
      <c r="H30" s="64">
        <f>('All Other 2yr'!AE28/'T E&amp;G 2YR'!AE28)*100</f>
        <v>1.9866980500933062</v>
      </c>
      <c r="I30" s="65">
        <f t="shared" ref="I30:I42" si="10">IF((C30-P30)=0,(C30-P30),IF((C30-P30)&gt;=0.005,(C30-P30),IF((C30-P30&lt;=-0.005),(C30-P30),"*")))</f>
        <v>-2.901028614987986</v>
      </c>
      <c r="J30" s="64">
        <f t="shared" ref="J30:J42" si="11">IF((D30-Q30)=0,(D30-Q30),IF((D30-Q30)&gt;=0.005,(D30-Q30),IF((D30-Q30&lt;=-0.005),(D30-Q30),"*")))</f>
        <v>6.2146252206603629E-2</v>
      </c>
      <c r="K30" s="64">
        <f t="shared" ref="K30:K42" si="12">IF((E30-R30)=0,(E30-R30),IF((E30-R30)&gt;=0.005,(E30-R30),IF((E30-R30&lt;=-0.005),(E30-R30),"*")))</f>
        <v>0.76966290364616674</v>
      </c>
      <c r="L30" s="64">
        <f t="shared" ref="L30:L42" si="13">IF((F30-S30)=0,(F30-S30),IF((F30-S30)&gt;=0.005,(F30-S30),IF((F30-S30&lt;=-0.005),(F30-S30),"*")))</f>
        <v>3.7367517778009613</v>
      </c>
      <c r="M30" s="64">
        <f t="shared" ref="M30:M42" si="14">IF((G30-U30)=0,(G30-U30),IF((G30-U30)&gt;=0.005,(G30-U30),IF((G30-U30&lt;=-0.005),(G30-U30),"*")))</f>
        <v>-2.7476106667602522</v>
      </c>
      <c r="N30" s="64">
        <f t="shared" ref="N30:N42" si="15">IF((H30-V30)=0,(H30-V30),IF((H30-V30)&gt;=0.005,(H30-V30),IF((H30-V30&lt;=-0.005),(H30-V30),"*")))</f>
        <v>1.0800783480945113</v>
      </c>
      <c r="O30" s="16"/>
      <c r="P30" s="37">
        <f>'INSTRUCTION-2YR'!Z28/'T E&amp;G 2YR'!Z28*100</f>
        <v>41.647536809099932</v>
      </c>
      <c r="Q30" s="37">
        <f>('RESEARCH 2yr'!Z28/'T E&amp;G 2YR'!Z28)*100</f>
        <v>5.121049634242348E-2</v>
      </c>
      <c r="R30" s="37">
        <f>'PUBLIC SERVICE 2yr'!Z28/'T E&amp;G 2YR'!Z28*100</f>
        <v>0.70218878168526999</v>
      </c>
      <c r="S30" s="37">
        <f>'ASptISptSSv 2yr'!Z28/'T E&amp;G 2YR'!Z28*100</f>
        <v>35.402384945889345</v>
      </c>
      <c r="T30" s="38">
        <f>'PLANT OPER MAIN 2yr'!Z28/'T E&amp;G 2YR'!Z28*100</f>
        <v>0</v>
      </c>
      <c r="U30" s="37">
        <f>'SCHOLAR FELLOW 2yr'!Z28/'T E&amp;G 2YR'!Z28*100</f>
        <v>21.290059264984237</v>
      </c>
      <c r="V30" s="36">
        <f>IF((('All Other 2yr'!Z28/'T E&amp;G 2YR'!Z28)*100)&gt;=0.005,('All Other 2yr'!Z28/'T E&amp;G 2YR'!Z28)*100,"*")</f>
        <v>0.90661970199879505</v>
      </c>
      <c r="W30" s="16"/>
      <c r="X30" s="27">
        <f t="shared" si="1"/>
        <v>100</v>
      </c>
      <c r="Y30" s="27">
        <f t="shared" si="9"/>
        <v>100.00000000000001</v>
      </c>
      <c r="Z30" s="29"/>
      <c r="AA30" s="29"/>
      <c r="AB30" s="29"/>
      <c r="AC30" s="29"/>
      <c r="AD30" s="29"/>
    </row>
    <row r="31" spans="1:30" s="30" customFormat="1">
      <c r="A31" s="52" t="s">
        <v>45</v>
      </c>
      <c r="B31" s="52"/>
      <c r="C31" s="64">
        <f>('INSTRUCTION-2YR'!AE29)/('T E&amp;G 2YR'!AE29)*100</f>
        <v>35.499786199090309</v>
      </c>
      <c r="D31" s="64">
        <f>IF((('RESEARCH 2yr'!AE29/'T E&amp;G 2YR'!AE29)*100)=0,('RESEARCH 2yr'!AE29/'T E&amp;G 2YR'!AE29)*100,IF((('RESEARCH 2yr'!AE29/'T E&amp;G 2YR'!AE29)*100)&gt;=0.005,('RESEARCH 2yr'!AE29/'T E&amp;G 2YR'!AE29)*100,"*"))</f>
        <v>7.106331677499951E-2</v>
      </c>
      <c r="E31" s="64">
        <f>'PUBLIC SERVICE 2yr'!AE29/'T E&amp;G 2YR'!AE29*100</f>
        <v>1.1706702997524598</v>
      </c>
      <c r="F31" s="64">
        <f>'ASptISptSSv 2yr'!AE29/'T E&amp;G 2YR'!AE29*100</f>
        <v>31.934419973576066</v>
      </c>
      <c r="G31" s="64">
        <f>'SCHOLAR FELLOW 2yr'!AE29/'T E&amp;G 2YR'!AE29*100</f>
        <v>17.500330848299704</v>
      </c>
      <c r="H31" s="64">
        <f>('All Other 2yr'!AE29/'T E&amp;G 2YR'!AE29)*100</f>
        <v>13.823729362506453</v>
      </c>
      <c r="I31" s="65">
        <f t="shared" si="10"/>
        <v>-2.0421413426608197</v>
      </c>
      <c r="J31" s="106">
        <f t="shared" si="11"/>
        <v>1.2984669502656504E-2</v>
      </c>
      <c r="K31" s="64">
        <f t="shared" si="12"/>
        <v>-1.4617522149785955E-2</v>
      </c>
      <c r="L31" s="64">
        <f t="shared" si="13"/>
        <v>1.1571508617990673</v>
      </c>
      <c r="M31" s="64">
        <f t="shared" si="14"/>
        <v>-5.8091740159450964</v>
      </c>
      <c r="N31" s="64">
        <f t="shared" si="15"/>
        <v>6.6957973494539686</v>
      </c>
      <c r="O31" s="16"/>
      <c r="P31" s="37">
        <f>'INSTRUCTION-2YR'!Z29/'T E&amp;G 2YR'!Z29*100</f>
        <v>37.541927541751129</v>
      </c>
      <c r="Q31" s="37">
        <f>('RESEARCH 2yr'!Z29/'T E&amp;G 2YR'!Z29)*100</f>
        <v>5.8078647272343006E-2</v>
      </c>
      <c r="R31" s="37">
        <f>'PUBLIC SERVICE 2yr'!Z29/'T E&amp;G 2YR'!Z29*100</f>
        <v>1.1852878219022458</v>
      </c>
      <c r="S31" s="37">
        <f>'ASptISptSSv 2yr'!Z29/'T E&amp;G 2YR'!Z29*100</f>
        <v>30.777269111776999</v>
      </c>
      <c r="T31" s="38">
        <f>'PLANT OPER MAIN 2yr'!Z29/'T E&amp;G 2YR'!Z29*100</f>
        <v>0</v>
      </c>
      <c r="U31" s="37">
        <f>'SCHOLAR FELLOW 2yr'!Z29/'T E&amp;G 2YR'!Z29*100</f>
        <v>23.309504864244801</v>
      </c>
      <c r="V31" s="36">
        <f>IF((('All Other 2yr'!Z29/'T E&amp;G 2YR'!Z29)*100)&gt;=0.005,('All Other 2yr'!Z29/'T E&amp;G 2YR'!Z29)*100,"*")</f>
        <v>7.1279320130524848</v>
      </c>
      <c r="W31" s="16"/>
      <c r="X31" s="27">
        <f t="shared" si="1"/>
        <v>100</v>
      </c>
      <c r="Y31" s="27">
        <f t="shared" si="9"/>
        <v>99.999999999999986</v>
      </c>
      <c r="Z31" s="29"/>
      <c r="AA31" s="29"/>
      <c r="AB31" s="29"/>
      <c r="AC31" s="29"/>
      <c r="AD31" s="29"/>
    </row>
    <row r="32" spans="1:30" s="30" customFormat="1">
      <c r="A32" s="52" t="s">
        <v>46</v>
      </c>
      <c r="B32" s="52"/>
      <c r="C32" s="64">
        <f>('INSTRUCTION-2YR'!AE30)/('T E&amp;G 2YR'!AE30)*100</f>
        <v>38.892318870850119</v>
      </c>
      <c r="D32" s="64">
        <f>IF((('RESEARCH 2yr'!AE30/'T E&amp;G 2YR'!AE30)*100)=0,('RESEARCH 2yr'!AE30/'T E&amp;G 2YR'!AE30)*100,IF((('RESEARCH 2yr'!AE30/'T E&amp;G 2YR'!AE30)*100)&gt;=0.005,('RESEARCH 2yr'!AE30/'T E&amp;G 2YR'!AE30)*100,"*"))</f>
        <v>0</v>
      </c>
      <c r="E32" s="64">
        <f>'PUBLIC SERVICE 2yr'!AE30/'T E&amp;G 2YR'!AE30*100</f>
        <v>0.72523815478644993</v>
      </c>
      <c r="F32" s="64">
        <f>'ASptISptSSv 2yr'!AE30/'T E&amp;G 2YR'!AE30*100</f>
        <v>29.571072685505186</v>
      </c>
      <c r="G32" s="64">
        <f>'SCHOLAR FELLOW 2yr'!AE30/'T E&amp;G 2YR'!AE30*100</f>
        <v>20.326292421630317</v>
      </c>
      <c r="H32" s="64">
        <f>('All Other 2yr'!AE30/'T E&amp;G 2YR'!AE30)*100</f>
        <v>10.485077867227929</v>
      </c>
      <c r="I32" s="65">
        <f t="shared" si="10"/>
        <v>0.83717752667254075</v>
      </c>
      <c r="J32" s="64">
        <f t="shared" si="11"/>
        <v>0</v>
      </c>
      <c r="K32" s="64">
        <f t="shared" si="12"/>
        <v>0.20692336464829886</v>
      </c>
      <c r="L32" s="64">
        <f t="shared" si="13"/>
        <v>-4.1931042119053785</v>
      </c>
      <c r="M32" s="64">
        <f t="shared" si="14"/>
        <v>-3.9748421095469695</v>
      </c>
      <c r="N32" s="64">
        <f t="shared" si="15"/>
        <v>7.1238454301315208</v>
      </c>
      <c r="O32" s="16"/>
      <c r="P32" s="37">
        <f>'INSTRUCTION-2YR'!Z30/'T E&amp;G 2YR'!Z30*100</f>
        <v>38.055141344177578</v>
      </c>
      <c r="Q32" s="37">
        <f>('RESEARCH 2yr'!Z30/'T E&amp;G 2YR'!Z30)*100</f>
        <v>0</v>
      </c>
      <c r="R32" s="37">
        <f>'PUBLIC SERVICE 2yr'!Z30/'T E&amp;G 2YR'!Z30*100</f>
        <v>0.51831479013815107</v>
      </c>
      <c r="S32" s="37">
        <f>'ASptISptSSv 2yr'!Z30/'T E&amp;G 2YR'!Z30*100</f>
        <v>33.764176897410564</v>
      </c>
      <c r="T32" s="38">
        <f>'PLANT OPER MAIN 2yr'!Z30/'T E&amp;G 2YR'!Z30*100</f>
        <v>0</v>
      </c>
      <c r="U32" s="37">
        <f>'SCHOLAR FELLOW 2yr'!Z30/'T E&amp;G 2YR'!Z30*100</f>
        <v>24.301134531177286</v>
      </c>
      <c r="V32" s="36">
        <f>IF((('All Other 2yr'!Z30/'T E&amp;G 2YR'!Z30)*100)&gt;=0.005,('All Other 2yr'!Z30/'T E&amp;G 2YR'!Z30)*100,"*")</f>
        <v>3.3612324370964077</v>
      </c>
      <c r="W32" s="16"/>
      <c r="X32" s="27">
        <f t="shared" si="1"/>
        <v>99.999999999999972</v>
      </c>
      <c r="Y32" s="27">
        <f t="shared" si="9"/>
        <v>100</v>
      </c>
      <c r="Z32" s="29"/>
      <c r="AA32" s="29"/>
      <c r="AB32" s="29"/>
      <c r="AC32" s="29"/>
      <c r="AD32" s="29"/>
    </row>
    <row r="33" spans="1:26" s="30" customFormat="1">
      <c r="A33" s="53" t="s">
        <v>47</v>
      </c>
      <c r="B33" s="53"/>
      <c r="C33" s="62">
        <f>('INSTRUCTION-2YR'!AE31)/('T E&amp;G 2YR'!AE31)*100</f>
        <v>50.913885909595017</v>
      </c>
      <c r="D33" s="62">
        <f>IF((('RESEARCH 2yr'!AE31/'T E&amp;G 2YR'!AE31)*100)=0,('RESEARCH 2yr'!AE31/'T E&amp;G 2YR'!AE31)*100,IF((('RESEARCH 2yr'!AE31/'T E&amp;G 2YR'!AE31)*100)&gt;=0.005,('RESEARCH 2yr'!AE31/'T E&amp;G 2YR'!AE31)*100,"*"))</f>
        <v>0.30953725114518782</v>
      </c>
      <c r="E33" s="62">
        <f>'PUBLIC SERVICE 2yr'!AE31/'T E&amp;G 2YR'!AE31*100</f>
        <v>3.874651994111558</v>
      </c>
      <c r="F33" s="62">
        <f>'ASptISptSSv 2yr'!AE31/'T E&amp;G 2YR'!AE31*100</f>
        <v>26.057920512262907</v>
      </c>
      <c r="G33" s="62">
        <f>'SCHOLAR FELLOW 2yr'!AE31/'T E&amp;G 2YR'!AE31*100</f>
        <v>9.9560656093240727</v>
      </c>
      <c r="H33" s="62">
        <f>('All Other 2yr'!AE31/'T E&amp;G 2YR'!AE31)*100</f>
        <v>8.8879387235612679</v>
      </c>
      <c r="I33" s="63">
        <f t="shared" si="10"/>
        <v>1.0169769272144364</v>
      </c>
      <c r="J33" s="62">
        <f t="shared" si="11"/>
        <v>-1.3562343024050159</v>
      </c>
      <c r="K33" s="62">
        <f t="shared" si="12"/>
        <v>-0.40148339529418431</v>
      </c>
      <c r="L33" s="62">
        <f t="shared" si="13"/>
        <v>-2.290678408142238</v>
      </c>
      <c r="M33" s="62">
        <f t="shared" si="14"/>
        <v>-5.606533870641849</v>
      </c>
      <c r="N33" s="62">
        <f t="shared" si="15"/>
        <v>8.637953049268857</v>
      </c>
      <c r="O33" s="16"/>
      <c r="P33" s="37">
        <f>'INSTRUCTION-2YR'!Z31/'T E&amp;G 2YR'!Z31*100</f>
        <v>49.89690898238058</v>
      </c>
      <c r="Q33" s="37">
        <f>('RESEARCH 2yr'!Z31/'T E&amp;G 2YR'!Z31)*100</f>
        <v>1.6657715535502036</v>
      </c>
      <c r="R33" s="37">
        <f>'PUBLIC SERVICE 2yr'!Z31/'T E&amp;G 2YR'!Z31*100</f>
        <v>4.2761353894057423</v>
      </c>
      <c r="S33" s="37">
        <f>'ASptISptSSv 2yr'!Z31/'T E&amp;G 2YR'!Z31*100</f>
        <v>28.348598920405145</v>
      </c>
      <c r="T33" s="38">
        <f>'PLANT OPER MAIN 2yr'!Z31/'T E&amp;G 2YR'!Z31*100</f>
        <v>0</v>
      </c>
      <c r="U33" s="37">
        <f>'SCHOLAR FELLOW 2yr'!Z31/'T E&amp;G 2YR'!Z31*100</f>
        <v>15.562599479965922</v>
      </c>
      <c r="V33" s="36">
        <f>IF((('All Other 2yr'!Z31/'T E&amp;G 2YR'!Z31)*100)&gt;=0.005,('All Other 2yr'!Z31/'T E&amp;G 2YR'!Z31)*100,"*")</f>
        <v>0.24998567429241136</v>
      </c>
      <c r="W33" s="16"/>
      <c r="X33" s="27">
        <f t="shared" si="1"/>
        <v>100.00000000000001</v>
      </c>
      <c r="Y33" s="27">
        <f t="shared" si="9"/>
        <v>100</v>
      </c>
      <c r="Z33" s="29"/>
    </row>
    <row r="34" spans="1:26" s="30" customFormat="1">
      <c r="A34" s="53" t="s">
        <v>48</v>
      </c>
      <c r="B34" s="53"/>
      <c r="C34" s="62">
        <f>('INSTRUCTION-2YR'!AE32)/('T E&amp;G 2YR'!AE32)*100</f>
        <v>36.300861875397658</v>
      </c>
      <c r="D34" s="62">
        <f>IF((('RESEARCH 2yr'!AE32/'T E&amp;G 2YR'!AE32)*100)=0,('RESEARCH 2yr'!AE32/'T E&amp;G 2YR'!AE32)*100,IF((('RESEARCH 2yr'!AE32/'T E&amp;G 2YR'!AE32)*100)&gt;=0.005,('RESEARCH 2yr'!AE32/'T E&amp;G 2YR'!AE32)*100,"*"))</f>
        <v>0</v>
      </c>
      <c r="E34" s="62">
        <f>'PUBLIC SERVICE 2yr'!AE32/'T E&amp;G 2YR'!AE32*100</f>
        <v>8.9843377348300812</v>
      </c>
      <c r="F34" s="62">
        <f>'ASptISptSSv 2yr'!AE32/'T E&amp;G 2YR'!AE32*100</f>
        <v>30.692431880986103</v>
      </c>
      <c r="G34" s="62">
        <f>'SCHOLAR FELLOW 2yr'!AE32/'T E&amp;G 2YR'!AE32*100</f>
        <v>13.784189798630939</v>
      </c>
      <c r="H34" s="62">
        <f>('All Other 2yr'!AE32/'T E&amp;G 2YR'!AE32)*100</f>
        <v>10.238178710155225</v>
      </c>
      <c r="I34" s="63">
        <f t="shared" si="10"/>
        <v>1.1225556508862695</v>
      </c>
      <c r="J34" s="62">
        <f t="shared" si="11"/>
        <v>0</v>
      </c>
      <c r="K34" s="62">
        <f t="shared" si="12"/>
        <v>-1.1874723382234951</v>
      </c>
      <c r="L34" s="62">
        <f t="shared" si="13"/>
        <v>5.6328552457593801</v>
      </c>
      <c r="M34" s="62">
        <f t="shared" si="14"/>
        <v>-8.7115797999763753</v>
      </c>
      <c r="N34" s="62">
        <f t="shared" si="15"/>
        <v>3.1436412415542163</v>
      </c>
      <c r="O34" s="16"/>
      <c r="P34" s="37">
        <f>'INSTRUCTION-2YR'!Z32/'T E&amp;G 2YR'!Z32*100</f>
        <v>35.178306224511388</v>
      </c>
      <c r="Q34" s="37">
        <f>('RESEARCH 2yr'!Z32/'T E&amp;G 2YR'!Z32)*100</f>
        <v>0</v>
      </c>
      <c r="R34" s="37">
        <f>'PUBLIC SERVICE 2yr'!Z32/'T E&amp;G 2YR'!Z32*100</f>
        <v>10.171810073053576</v>
      </c>
      <c r="S34" s="37">
        <f>'ASptISptSSv 2yr'!Z32/'T E&amp;G 2YR'!Z32*100</f>
        <v>25.059576635226723</v>
      </c>
      <c r="T34" s="38">
        <f>'PLANT OPER MAIN 2yr'!Z32/'T E&amp;G 2YR'!Z32*100</f>
        <v>0</v>
      </c>
      <c r="U34" s="37">
        <f>'SCHOLAR FELLOW 2yr'!Z32/'T E&amp;G 2YR'!Z32*100</f>
        <v>22.495769598607314</v>
      </c>
      <c r="V34" s="36">
        <f>IF((('All Other 2yr'!Z32/'T E&amp;G 2YR'!Z32)*100)&gt;=0.005,('All Other 2yr'!Z32/'T E&amp;G 2YR'!Z32)*100,"*")</f>
        <v>7.0945374686010085</v>
      </c>
      <c r="W34" s="16"/>
      <c r="X34" s="27">
        <f t="shared" si="1"/>
        <v>100</v>
      </c>
      <c r="Y34" s="27">
        <f t="shared" si="9"/>
        <v>100</v>
      </c>
      <c r="Z34" s="29"/>
    </row>
    <row r="35" spans="1:26" s="30" customFormat="1">
      <c r="A35" s="53" t="s">
        <v>49</v>
      </c>
      <c r="B35" s="53"/>
      <c r="C35" s="62">
        <f>('INSTRUCTION-2YR'!AE33)/('T E&amp;G 2YR'!AE33)*100</f>
        <v>34.752480988514847</v>
      </c>
      <c r="D35" s="62">
        <f>IF((('RESEARCH 2yr'!AE33/'T E&amp;G 2YR'!AE33)*100)=0,('RESEARCH 2yr'!AE33/'T E&amp;G 2YR'!AE33)*100,IF((('RESEARCH 2yr'!AE33/'T E&amp;G 2YR'!AE33)*100)&gt;=0.005,('RESEARCH 2yr'!AE33/'T E&amp;G 2YR'!AE33)*100,"*"))</f>
        <v>0.479812995153723</v>
      </c>
      <c r="E35" s="62">
        <f>'PUBLIC SERVICE 2yr'!AE33/'T E&amp;G 2YR'!AE33*100</f>
        <v>2.697812340535628</v>
      </c>
      <c r="F35" s="62">
        <f>'ASptISptSSv 2yr'!AE33/'T E&amp;G 2YR'!AE33*100</f>
        <v>36.767084249697092</v>
      </c>
      <c r="G35" s="62">
        <f>'SCHOLAR FELLOW 2yr'!AE33/'T E&amp;G 2YR'!AE33*100</f>
        <v>14.784109979590568</v>
      </c>
      <c r="H35" s="62">
        <f>('All Other 2yr'!AE33/'T E&amp;G 2YR'!AE33)*100</f>
        <v>10.518699446508144</v>
      </c>
      <c r="I35" s="63">
        <f t="shared" si="10"/>
        <v>3.6355525002889166</v>
      </c>
      <c r="J35" s="62">
        <f t="shared" si="11"/>
        <v>-5.9694917753340793E-2</v>
      </c>
      <c r="K35" s="62">
        <f t="shared" si="12"/>
        <v>1.3178350596460762</v>
      </c>
      <c r="L35" s="62">
        <f t="shared" si="13"/>
        <v>-0.54460796284154611</v>
      </c>
      <c r="M35" s="62">
        <f t="shared" si="14"/>
        <v>-3.2774379049663587</v>
      </c>
      <c r="N35" s="62">
        <f t="shared" si="15"/>
        <v>-1.0716467743737503</v>
      </c>
      <c r="O35" s="16"/>
      <c r="P35" s="37">
        <f>'INSTRUCTION-2YR'!Z33/'T E&amp;G 2YR'!Z33*100</f>
        <v>31.11692848822593</v>
      </c>
      <c r="Q35" s="37">
        <f>('RESEARCH 2yr'!Z33/'T E&amp;G 2YR'!Z33)*100</f>
        <v>0.53950791290706379</v>
      </c>
      <c r="R35" s="37">
        <f>'PUBLIC SERVICE 2yr'!Z33/'T E&amp;G 2YR'!Z33*100</f>
        <v>1.3799772808895518</v>
      </c>
      <c r="S35" s="37">
        <f>'ASptISptSSv 2yr'!Z33/'T E&amp;G 2YR'!Z33*100</f>
        <v>37.311692212538638</v>
      </c>
      <c r="T35" s="38">
        <f>'PLANT OPER MAIN 2yr'!Z33/'T E&amp;G 2YR'!Z33*100</f>
        <v>0</v>
      </c>
      <c r="U35" s="37">
        <f>'SCHOLAR FELLOW 2yr'!Z33/'T E&amp;G 2YR'!Z33*100</f>
        <v>18.061547884556926</v>
      </c>
      <c r="V35" s="36">
        <f>IF((('All Other 2yr'!Z33/'T E&amp;G 2YR'!Z33)*100)&gt;=0.005,('All Other 2yr'!Z33/'T E&amp;G 2YR'!Z33)*100,"*")</f>
        <v>11.590346220881894</v>
      </c>
      <c r="W35" s="16"/>
      <c r="X35" s="27">
        <f t="shared" si="1"/>
        <v>100</v>
      </c>
      <c r="Y35" s="27">
        <f t="shared" si="9"/>
        <v>100</v>
      </c>
      <c r="Z35" s="29"/>
    </row>
    <row r="36" spans="1:26" s="30" customFormat="1">
      <c r="A36" s="53" t="s">
        <v>50</v>
      </c>
      <c r="B36" s="53"/>
      <c r="C36" s="62">
        <f>('INSTRUCTION-2YR'!AE34)/('T E&amp;G 2YR'!AE34)*100</f>
        <v>47.917103737271432</v>
      </c>
      <c r="D36" s="62">
        <f>IF((('RESEARCH 2yr'!AE34/'T E&amp;G 2YR'!AE34)*100)=0,('RESEARCH 2yr'!AE34/'T E&amp;G 2YR'!AE34)*100,IF((('RESEARCH 2yr'!AE34/'T E&amp;G 2YR'!AE34)*100)&gt;=0.005,('RESEARCH 2yr'!AE34/'T E&amp;G 2YR'!AE34)*100,"*"))</f>
        <v>6.2871223233031695E-2</v>
      </c>
      <c r="E36" s="62">
        <f>'PUBLIC SERVICE 2yr'!AE34/'T E&amp;G 2YR'!AE34*100</f>
        <v>0.25113031959624166</v>
      </c>
      <c r="F36" s="62">
        <f>'ASptISptSSv 2yr'!AE34/'T E&amp;G 2YR'!AE34*100</f>
        <v>29.001621189217026</v>
      </c>
      <c r="G36" s="62">
        <f>'SCHOLAR FELLOW 2yr'!AE34/'T E&amp;G 2YR'!AE34*100</f>
        <v>20.066356325315063</v>
      </c>
      <c r="H36" s="62">
        <f>('All Other 2yr'!AE34/'T E&amp;G 2YR'!AE34)*100</f>
        <v>2.7009172053672037</v>
      </c>
      <c r="I36" s="63">
        <f t="shared" si="10"/>
        <v>2.4669320539238342</v>
      </c>
      <c r="J36" s="105">
        <f t="shared" si="11"/>
        <v>6.5439379196408284E-3</v>
      </c>
      <c r="K36" s="62">
        <f t="shared" si="12"/>
        <v>0.10486742848973288</v>
      </c>
      <c r="L36" s="62">
        <f t="shared" si="13"/>
        <v>-0.82215949857030068</v>
      </c>
      <c r="M36" s="62">
        <f t="shared" si="14"/>
        <v>-2.1298672483025172</v>
      </c>
      <c r="N36" s="62">
        <f t="shared" si="15"/>
        <v>0.37368332653960934</v>
      </c>
      <c r="O36" s="16"/>
      <c r="P36" s="37">
        <f>'INSTRUCTION-2YR'!Z34/'T E&amp;G 2YR'!Z34*100</f>
        <v>45.450171683347598</v>
      </c>
      <c r="Q36" s="37">
        <f>('RESEARCH 2yr'!Z34/'T E&amp;G 2YR'!Z34)*100</f>
        <v>5.6327285313390867E-2</v>
      </c>
      <c r="R36" s="37">
        <f>'PUBLIC SERVICE 2yr'!Z34/'T E&amp;G 2YR'!Z34*100</f>
        <v>0.14626289110650878</v>
      </c>
      <c r="S36" s="37">
        <f>'ASptISptSSv 2yr'!Z34/'T E&amp;G 2YR'!Z34*100</f>
        <v>29.823780687787327</v>
      </c>
      <c r="T36" s="38">
        <f>'PLANT OPER MAIN 2yr'!Z34/'T E&amp;G 2YR'!Z34*100</f>
        <v>0</v>
      </c>
      <c r="U36" s="37">
        <f>'SCHOLAR FELLOW 2yr'!Z34/'T E&amp;G 2YR'!Z34*100</f>
        <v>22.19622357361758</v>
      </c>
      <c r="V36" s="36">
        <f>IF((('All Other 2yr'!Z34/'T E&amp;G 2YR'!Z34)*100)&gt;=0.005,('All Other 2yr'!Z34/'T E&amp;G 2YR'!Z34)*100,"*")</f>
        <v>2.3272338788275944</v>
      </c>
      <c r="W36" s="16"/>
      <c r="X36" s="27">
        <f t="shared" si="1"/>
        <v>100</v>
      </c>
      <c r="Y36" s="27">
        <f t="shared" si="9"/>
        <v>100</v>
      </c>
      <c r="Z36" s="29"/>
    </row>
    <row r="37" spans="1:26" s="30" customFormat="1">
      <c r="A37" s="52" t="s">
        <v>51</v>
      </c>
      <c r="B37" s="52"/>
      <c r="C37" s="64">
        <f>('INSTRUCTION-2YR'!AE35)/('T E&amp;G 2YR'!AE35)*100</f>
        <v>33.403316437000136</v>
      </c>
      <c r="D37" s="64">
        <f>IF((('RESEARCH 2yr'!AE35/'T E&amp;G 2YR'!AE35)*100)=0,('RESEARCH 2yr'!AE35/'T E&amp;G 2YR'!AE35)*100,IF((('RESEARCH 2yr'!AE35/'T E&amp;G 2YR'!AE35)*100)&gt;=0.005,('RESEARCH 2yr'!AE35/'T E&amp;G 2YR'!AE35)*100,"*"))</f>
        <v>7.7554536030972579E-2</v>
      </c>
      <c r="E37" s="64">
        <f>'PUBLIC SERVICE 2yr'!AE35/'T E&amp;G 2YR'!AE35*100</f>
        <v>3.8417189319020224</v>
      </c>
      <c r="F37" s="64">
        <f>'ASptISptSSv 2yr'!AE35/'T E&amp;G 2YR'!AE35*100</f>
        <v>29.450364256100929</v>
      </c>
      <c r="G37" s="64">
        <f>'SCHOLAR FELLOW 2yr'!AE35/'T E&amp;G 2YR'!AE35*100</f>
        <v>13.405134337842567</v>
      </c>
      <c r="H37" s="64">
        <f>('All Other 2yr'!AE35/'T E&amp;G 2YR'!AE35)*100</f>
        <v>19.821911501123374</v>
      </c>
      <c r="I37" s="65">
        <f t="shared" si="10"/>
        <v>-5.4820194769573405</v>
      </c>
      <c r="J37" s="106">
        <f t="shared" si="11"/>
        <v>-4.8254228556910542E-2</v>
      </c>
      <c r="K37" s="64">
        <f t="shared" si="12"/>
        <v>0.33133479217728867</v>
      </c>
      <c r="L37" s="64">
        <f t="shared" si="13"/>
        <v>-3.5189195512043447</v>
      </c>
      <c r="M37" s="64">
        <f t="shared" si="14"/>
        <v>-7.0179237365151632</v>
      </c>
      <c r="N37" s="64">
        <f t="shared" si="15"/>
        <v>15.73578220105647</v>
      </c>
      <c r="O37" s="16"/>
      <c r="P37" s="37">
        <f>'INSTRUCTION-2YR'!Z35/'T E&amp;G 2YR'!Z35*100</f>
        <v>38.885335913957476</v>
      </c>
      <c r="Q37" s="37">
        <f>('RESEARCH 2yr'!Z35/'T E&amp;G 2YR'!Z35)*100</f>
        <v>0.12580876458788312</v>
      </c>
      <c r="R37" s="37">
        <f>'PUBLIC SERVICE 2yr'!Z35/'T E&amp;G 2YR'!Z35*100</f>
        <v>3.5103841397247337</v>
      </c>
      <c r="S37" s="37">
        <f>'ASptISptSSv 2yr'!Z35/'T E&amp;G 2YR'!Z35*100</f>
        <v>32.969283807305274</v>
      </c>
      <c r="T37" s="38">
        <f>'PLANT OPER MAIN 2yr'!Z35/'T E&amp;G 2YR'!Z35*100</f>
        <v>0</v>
      </c>
      <c r="U37" s="37">
        <f>'SCHOLAR FELLOW 2yr'!Z35/'T E&amp;G 2YR'!Z35*100</f>
        <v>20.42305807435773</v>
      </c>
      <c r="V37" s="36">
        <f>IF((('All Other 2yr'!Z35/'T E&amp;G 2YR'!Z35)*100)&gt;=0.005,('All Other 2yr'!Z35/'T E&amp;G 2YR'!Z35)*100,"*")</f>
        <v>4.0861293000669052</v>
      </c>
      <c r="W37" s="16"/>
      <c r="X37" s="27">
        <f t="shared" si="1"/>
        <v>99.999999999999986</v>
      </c>
      <c r="Y37" s="27">
        <f t="shared" si="9"/>
        <v>100</v>
      </c>
      <c r="Z37" s="29"/>
    </row>
    <row r="38" spans="1:26" s="30" customFormat="1">
      <c r="A38" s="52" t="s">
        <v>52</v>
      </c>
      <c r="B38" s="52"/>
      <c r="C38" s="64">
        <f>('INSTRUCTION-2YR'!AE36)/('T E&amp;G 2YR'!AE36)*100</f>
        <v>38.85397647060686</v>
      </c>
      <c r="D38" s="64">
        <f>IF((('RESEARCH 2yr'!AE36/'T E&amp;G 2YR'!AE36)*100)=0,('RESEARCH 2yr'!AE36/'T E&amp;G 2YR'!AE36)*100,IF((('RESEARCH 2yr'!AE36/'T E&amp;G 2YR'!AE36)*100)&gt;=0.005,('RESEARCH 2yr'!AE36/'T E&amp;G 2YR'!AE36)*100,"*"))</f>
        <v>0.21115672560049406</v>
      </c>
      <c r="E38" s="64">
        <f>'PUBLIC SERVICE 2yr'!AE36/'T E&amp;G 2YR'!AE36*100</f>
        <v>1.2755344589318593</v>
      </c>
      <c r="F38" s="64">
        <f>'ASptISptSSv 2yr'!AE36/'T E&amp;G 2YR'!AE36*100</f>
        <v>34.767455882811213</v>
      </c>
      <c r="G38" s="64">
        <f>'SCHOLAR FELLOW 2yr'!AE36/'T E&amp;G 2YR'!AE36*100</f>
        <v>16.021779943544839</v>
      </c>
      <c r="H38" s="64">
        <f>('All Other 2yr'!AE36/'T E&amp;G 2YR'!AE36)*100</f>
        <v>8.8700965185047203</v>
      </c>
      <c r="I38" s="65">
        <f t="shared" si="10"/>
        <v>-2.42183216500311</v>
      </c>
      <c r="J38" s="64">
        <f t="shared" si="11"/>
        <v>0.14972685219497245</v>
      </c>
      <c r="K38" s="64">
        <f t="shared" si="12"/>
        <v>-1.2631454129866031</v>
      </c>
      <c r="L38" s="64">
        <f t="shared" si="13"/>
        <v>3.7460947330222609</v>
      </c>
      <c r="M38" s="64">
        <f t="shared" si="14"/>
        <v>-4.5702951600126376</v>
      </c>
      <c r="N38" s="64">
        <f t="shared" si="15"/>
        <v>4.359451152785093</v>
      </c>
      <c r="O38" s="16"/>
      <c r="P38" s="37">
        <f>'INSTRUCTION-2YR'!Z36/'T E&amp;G 2YR'!Z36*100</f>
        <v>41.27580863560997</v>
      </c>
      <c r="Q38" s="37">
        <f>('RESEARCH 2yr'!Z36/'T E&amp;G 2YR'!Z36)*100</f>
        <v>6.1429873405521612E-2</v>
      </c>
      <c r="R38" s="37">
        <f>'PUBLIC SERVICE 2yr'!Z36/'T E&amp;G 2YR'!Z36*100</f>
        <v>2.5386798719184624</v>
      </c>
      <c r="S38" s="37">
        <f>'ASptISptSSv 2yr'!Z36/'T E&amp;G 2YR'!Z36*100</f>
        <v>31.021361149788952</v>
      </c>
      <c r="T38" s="38">
        <f>'PLANT OPER MAIN 2yr'!Z36/'T E&amp;G 2YR'!Z36*100</f>
        <v>0</v>
      </c>
      <c r="U38" s="37">
        <f>'SCHOLAR FELLOW 2yr'!Z36/'T E&amp;G 2YR'!Z36*100</f>
        <v>20.592075103557477</v>
      </c>
      <c r="V38" s="36">
        <f>IF((('All Other 2yr'!Z36/'T E&amp;G 2YR'!Z36)*100)&gt;=0.005,('All Other 2yr'!Z36/'T E&amp;G 2YR'!Z36)*100,"*")</f>
        <v>4.5106453657196273</v>
      </c>
      <c r="W38" s="16"/>
      <c r="X38" s="27">
        <f t="shared" si="1"/>
        <v>100</v>
      </c>
      <c r="Y38" s="27">
        <f t="shared" si="9"/>
        <v>100</v>
      </c>
      <c r="Z38" s="29"/>
    </row>
    <row r="39" spans="1:26" s="30" customFormat="1">
      <c r="A39" s="52" t="s">
        <v>53</v>
      </c>
      <c r="B39" s="52"/>
      <c r="C39" s="64">
        <f>('INSTRUCTION-2YR'!AE37)/('T E&amp;G 2YR'!AE37)*100</f>
        <v>41.580927239943925</v>
      </c>
      <c r="D39" s="106">
        <f>IF((('RESEARCH 2yr'!AE37/'T E&amp;G 2YR'!AE37)*100)=0,('RESEARCH 2yr'!AE37/'T E&amp;G 2YR'!AE37)*100,IF((('RESEARCH 2yr'!AE37/'T E&amp;G 2YR'!AE37)*100)&gt;=0.005,('RESEARCH 2yr'!AE37/'T E&amp;G 2YR'!AE37)*100,"*"))</f>
        <v>1.2528143348240536E-2</v>
      </c>
      <c r="E39" s="64">
        <f>'PUBLIC SERVICE 2yr'!AE37/'T E&amp;G 2YR'!AE37*100</f>
        <v>0.79884773201966619</v>
      </c>
      <c r="F39" s="64">
        <f>'ASptISptSSv 2yr'!AE37/'T E&amp;G 2YR'!AE37*100</f>
        <v>40.364901616079045</v>
      </c>
      <c r="G39" s="64">
        <f>'SCHOLAR FELLOW 2yr'!AE37/'T E&amp;G 2YR'!AE37*100</f>
        <v>15.281220838733597</v>
      </c>
      <c r="H39" s="64">
        <f>('All Other 2yr'!AE37/'T E&amp;G 2YR'!AE37)*100</f>
        <v>1.9615744298755313</v>
      </c>
      <c r="I39" s="65">
        <f t="shared" si="10"/>
        <v>-0.53167058269785628</v>
      </c>
      <c r="J39" s="106">
        <f t="shared" si="11"/>
        <v>-2.8656651672118037E-2</v>
      </c>
      <c r="K39" s="64">
        <f t="shared" si="12"/>
        <v>-2.05006053899855</v>
      </c>
      <c r="L39" s="64">
        <f t="shared" si="13"/>
        <v>6.9111407933144662</v>
      </c>
      <c r="M39" s="64">
        <f t="shared" si="14"/>
        <v>-3.2497587907360117</v>
      </c>
      <c r="N39" s="64">
        <f t="shared" si="15"/>
        <v>-1.0509942292099264</v>
      </c>
      <c r="O39" s="16"/>
      <c r="P39" s="37">
        <f>'INSTRUCTION-2YR'!Z37/'T E&amp;G 2YR'!Z37*100</f>
        <v>42.112597822641781</v>
      </c>
      <c r="Q39" s="37">
        <f>('RESEARCH 2yr'!Z37/'T E&amp;G 2YR'!Z37)*100</f>
        <v>4.1184795020358572E-2</v>
      </c>
      <c r="R39" s="37">
        <f>'PUBLIC SERVICE 2yr'!Z37/'T E&amp;G 2YR'!Z37*100</f>
        <v>2.8489082710182161</v>
      </c>
      <c r="S39" s="37">
        <f>'ASptISptSSv 2yr'!Z37/'T E&amp;G 2YR'!Z37*100</f>
        <v>33.453760822764579</v>
      </c>
      <c r="T39" s="38">
        <f>'PLANT OPER MAIN 2yr'!Z37/'T E&amp;G 2YR'!Z37*100</f>
        <v>0</v>
      </c>
      <c r="U39" s="37">
        <f>'SCHOLAR FELLOW 2yr'!Z37/'T E&amp;G 2YR'!Z37*100</f>
        <v>18.530979629469609</v>
      </c>
      <c r="V39" s="36">
        <f>IF((('All Other 2yr'!Z37/'T E&amp;G 2YR'!Z37)*100)&gt;=0.005,('All Other 2yr'!Z37/'T E&amp;G 2YR'!Z37)*100,"*")</f>
        <v>3.0125686590854577</v>
      </c>
      <c r="W39" s="16"/>
      <c r="X39" s="27">
        <f t="shared" si="1"/>
        <v>100.00000000000001</v>
      </c>
      <c r="Y39" s="27">
        <f t="shared" si="9"/>
        <v>100.00000000000001</v>
      </c>
      <c r="Z39" s="29"/>
    </row>
    <row r="40" spans="1:26" s="30" customFormat="1">
      <c r="A40" s="52" t="s">
        <v>54</v>
      </c>
      <c r="B40" s="52"/>
      <c r="C40" s="64">
        <f>('INSTRUCTION-2YR'!AE38)/('T E&amp;G 2YR'!AE38)*100</f>
        <v>41.295389337575955</v>
      </c>
      <c r="D40" s="64">
        <f>IF((('RESEARCH 2yr'!AE38/'T E&amp;G 2YR'!AE38)*100)=0,('RESEARCH 2yr'!AE38/'T E&amp;G 2YR'!AE38)*100,IF((('RESEARCH 2yr'!AE38/'T E&amp;G 2YR'!AE38)*100)&gt;=0.005,('RESEARCH 2yr'!AE38/'T E&amp;G 2YR'!AE38)*100,"*"))</f>
        <v>0</v>
      </c>
      <c r="E40" s="64">
        <f>'PUBLIC SERVICE 2yr'!AE38/'T E&amp;G 2YR'!AE38*100</f>
        <v>0</v>
      </c>
      <c r="F40" s="64">
        <f>'ASptISptSSv 2yr'!AE38/'T E&amp;G 2YR'!AE38*100</f>
        <v>34.742880093766985</v>
      </c>
      <c r="G40" s="64">
        <f>'SCHOLAR FELLOW 2yr'!AE38/'T E&amp;G 2YR'!AE38*100</f>
        <v>17.552705817512518</v>
      </c>
      <c r="H40" s="64">
        <f>('All Other 2yr'!AE38/'T E&amp;G 2YR'!AE38)*100</f>
        <v>6.4090247511445462</v>
      </c>
      <c r="I40" s="65">
        <f t="shared" si="10"/>
        <v>-2.0037295126963741</v>
      </c>
      <c r="J40" s="64">
        <f t="shared" si="11"/>
        <v>0</v>
      </c>
      <c r="K40" s="64">
        <f t="shared" si="12"/>
        <v>0</v>
      </c>
      <c r="L40" s="64">
        <f t="shared" si="13"/>
        <v>4.344433025703502</v>
      </c>
      <c r="M40" s="64">
        <f t="shared" si="14"/>
        <v>-6.0425080224871195</v>
      </c>
      <c r="N40" s="64">
        <f t="shared" si="15"/>
        <v>3.7018045094799938</v>
      </c>
      <c r="O40" s="16"/>
      <c r="P40" s="37">
        <f>'INSTRUCTION-2YR'!Z38/'T E&amp;G 2YR'!Z38*100</f>
        <v>43.299118850272329</v>
      </c>
      <c r="Q40" s="37">
        <f>('RESEARCH 2yr'!Z38/'T E&amp;G 2YR'!Z38)*100</f>
        <v>0</v>
      </c>
      <c r="R40" s="37">
        <f>'PUBLIC SERVICE 2yr'!Z38/'T E&amp;G 2YR'!Z38*100</f>
        <v>0</v>
      </c>
      <c r="S40" s="37">
        <f>'ASptISptSSv 2yr'!Z38/'T E&amp;G 2YR'!Z38*100</f>
        <v>30.398447068063483</v>
      </c>
      <c r="T40" s="38">
        <f>'PLANT OPER MAIN 2yr'!Z38/'T E&amp;G 2YR'!Z38*100</f>
        <v>0</v>
      </c>
      <c r="U40" s="37">
        <f>'SCHOLAR FELLOW 2yr'!Z38/'T E&amp;G 2YR'!Z38*100</f>
        <v>23.595213839999637</v>
      </c>
      <c r="V40" s="36">
        <f>IF((('All Other 2yr'!Z38/'T E&amp;G 2YR'!Z38)*100)&gt;=0.005,('All Other 2yr'!Z38/'T E&amp;G 2YR'!Z38)*100,"*")</f>
        <v>2.7072202416645523</v>
      </c>
      <c r="W40" s="16"/>
      <c r="X40" s="27">
        <f t="shared" si="1"/>
        <v>100.00000000000001</v>
      </c>
      <c r="Y40" s="27">
        <f t="shared" si="9"/>
        <v>100</v>
      </c>
      <c r="Z40" s="29"/>
    </row>
    <row r="41" spans="1:26" s="30" customFormat="1">
      <c r="A41" s="55" t="s">
        <v>55</v>
      </c>
      <c r="B41" s="55"/>
      <c r="C41" s="66">
        <f>('INSTRUCTION-2YR'!AE39)/('T E&amp;G 2YR'!AE39)*100</f>
        <v>35.532503399452168</v>
      </c>
      <c r="D41" s="66">
        <f>IF((('RESEARCH 2yr'!AE39/'T E&amp;G 2YR'!AE39)*100)=0,('RESEARCH 2yr'!AE39/'T E&amp;G 2YR'!AE39)*100,IF((('RESEARCH 2yr'!AE39/'T E&amp;G 2YR'!AE39)*100)&gt;=0.005,('RESEARCH 2yr'!AE39/'T E&amp;G 2YR'!AE39)*100,"*"))</f>
        <v>0.11461987122559512</v>
      </c>
      <c r="E41" s="66">
        <f>'PUBLIC SERVICE 2yr'!AE39/'T E&amp;G 2YR'!AE39*100</f>
        <v>0.82075259573805992</v>
      </c>
      <c r="F41" s="66">
        <f>'ASptISptSSv 2yr'!AE39/'T E&amp;G 2YR'!AE39*100</f>
        <v>35.94400423329941</v>
      </c>
      <c r="G41" s="66">
        <f>'SCHOLAR FELLOW 2yr'!AE39/'T E&amp;G 2YR'!AE39*100</f>
        <v>13.163499784890057</v>
      </c>
      <c r="H41" s="98">
        <f>('All Other 2yr'!AE39/'T E&amp;G 2YR'!AE39)*100</f>
        <v>14.424620115394712</v>
      </c>
      <c r="I41" s="67">
        <f t="shared" si="10"/>
        <v>-5.4714036258371976</v>
      </c>
      <c r="J41" s="108">
        <f t="shared" si="11"/>
        <v>3.7852944055038848E-2</v>
      </c>
      <c r="K41" s="66">
        <f t="shared" si="12"/>
        <v>-0.13970039306180693</v>
      </c>
      <c r="L41" s="66">
        <f t="shared" si="13"/>
        <v>-1.3469483249994667</v>
      </c>
      <c r="M41" s="66">
        <f t="shared" si="14"/>
        <v>-0.2094507748086194</v>
      </c>
      <c r="N41" s="66">
        <f t="shared" si="15"/>
        <v>7.1296501746520464</v>
      </c>
      <c r="O41" s="16"/>
      <c r="P41" s="37">
        <f>'INSTRUCTION-2YR'!Z39/'T E&amp;G 2YR'!Z39*100</f>
        <v>41.003907025289365</v>
      </c>
      <c r="Q41" s="37">
        <f>('RESEARCH 2yr'!Z39/'T E&amp;G 2YR'!Z39)*100</f>
        <v>7.6766927170556276E-2</v>
      </c>
      <c r="R41" s="37">
        <f>'PUBLIC SERVICE 2yr'!Z39/'T E&amp;G 2YR'!Z39*100</f>
        <v>0.96045298879986685</v>
      </c>
      <c r="S41" s="37">
        <f>'ASptISptSSv 2yr'!Z39/'T E&amp;G 2YR'!Z39*100</f>
        <v>37.290952558298876</v>
      </c>
      <c r="T41" s="38">
        <f>'PLANT OPER MAIN 2yr'!Z39/'T E&amp;G 2YR'!Z39*100</f>
        <v>0</v>
      </c>
      <c r="U41" s="37">
        <f>'SCHOLAR FELLOW 2yr'!Z39/'T E&amp;G 2YR'!Z39*100</f>
        <v>13.372950559698676</v>
      </c>
      <c r="V41" s="36">
        <f>IF((('All Other 2yr'!Z39/'T E&amp;G 2YR'!Z39)*100)&gt;=0.005,('All Other 2yr'!Z39/'T E&amp;G 2YR'!Z39)*100,"*")</f>
        <v>7.2949699407426651</v>
      </c>
      <c r="W41" s="16"/>
      <c r="X41" s="27">
        <f t="shared" si="1"/>
        <v>100</v>
      </c>
      <c r="Y41" s="27">
        <f t="shared" si="9"/>
        <v>100.00000000000001</v>
      </c>
      <c r="Z41" s="29"/>
    </row>
    <row r="42" spans="1:26" s="30" customFormat="1">
      <c r="A42" s="53" t="s">
        <v>56</v>
      </c>
      <c r="B42" s="53"/>
      <c r="C42" s="62">
        <f>('INSTRUCTION-2YR'!AE40)/('T E&amp;G 2YR'!AE40)*100</f>
        <v>42.013085641051596</v>
      </c>
      <c r="D42" s="105">
        <f>IF((('RESEARCH 2yr'!AE40/'T E&amp;G 2YR'!AE40)*100)=0,('RESEARCH 2yr'!AE40/'T E&amp;G 2YR'!AE40)*100,IF((('RESEARCH 2yr'!AE40/'T E&amp;G 2YR'!AE40)*100)&gt;=0.005,('RESEARCH 2yr'!AE40/'T E&amp;G 2YR'!AE40)*100,"*"))</f>
        <v>3.8910531486898985E-2</v>
      </c>
      <c r="E42" s="62">
        <f>'PUBLIC SERVICE 2yr'!AE40/'T E&amp;G 2YR'!AE40*100</f>
        <v>2.0720283027480968</v>
      </c>
      <c r="F42" s="62">
        <f>'ASptISptSSv 2yr'!AE40/'T E&amp;G 2YR'!AE40*100</f>
        <v>34.930459795941161</v>
      </c>
      <c r="G42" s="62">
        <f>'SCHOLAR FELLOW 2yr'!AE40/'T E&amp;G 2YR'!AE40*100</f>
        <v>15.173986907988182</v>
      </c>
      <c r="H42" s="62">
        <f>('All Other 2yr'!AE40/'T E&amp;G 2YR'!AE40)*100</f>
        <v>5.7715288207840665</v>
      </c>
      <c r="I42" s="63">
        <f t="shared" si="10"/>
        <v>0.9016768831581814</v>
      </c>
      <c r="J42" s="62">
        <f t="shared" si="11"/>
        <v>-4.6791338242978466E-2</v>
      </c>
      <c r="K42" s="62">
        <f t="shared" si="12"/>
        <v>-0.29034662398319755</v>
      </c>
      <c r="L42" s="62">
        <f t="shared" si="13"/>
        <v>1.5230117047854037</v>
      </c>
      <c r="M42" s="62">
        <f t="shared" si="14"/>
        <v>-5.6000934300849838</v>
      </c>
      <c r="N42" s="62">
        <f t="shared" si="15"/>
        <v>3.5125428043675488</v>
      </c>
      <c r="O42" s="16"/>
      <c r="P42" s="37">
        <f>'INSTRUCTION-2YR'!Z40/'T E&amp;G 2YR'!Z40*100</f>
        <v>41.111408757893415</v>
      </c>
      <c r="Q42" s="37">
        <f>('RESEARCH 2yr'!Z40/'T E&amp;G 2YR'!Z40)*100</f>
        <v>8.570186972987745E-2</v>
      </c>
      <c r="R42" s="37">
        <f>'PUBLIC SERVICE 2yr'!Z40/'T E&amp;G 2YR'!Z40*100</f>
        <v>2.3623749267312943</v>
      </c>
      <c r="S42" s="37">
        <f>'ASptISptSSv 2yr'!Z40/'T E&amp;G 2YR'!Z40*100</f>
        <v>33.407448091155757</v>
      </c>
      <c r="T42" s="38">
        <f>'PLANT OPER MAIN 2yr'!Z40/'T E&amp;G 2YR'!Z40*100</f>
        <v>0</v>
      </c>
      <c r="U42" s="37">
        <f>'SCHOLAR FELLOW 2yr'!Z40/'T E&amp;G 2YR'!Z40*100</f>
        <v>20.774080338073166</v>
      </c>
      <c r="V42" s="36">
        <f>IF((('All Other 2yr'!Z40/'T E&amp;G 2YR'!Z40)*100)&gt;=0.005,('All Other 2yr'!Z40/'T E&amp;G 2YR'!Z40)*100,"*")</f>
        <v>2.2589860164165176</v>
      </c>
      <c r="W42" s="16"/>
      <c r="X42" s="27">
        <f t="shared" si="1"/>
        <v>100.00000000000001</v>
      </c>
      <c r="Y42" s="27">
        <f t="shared" si="9"/>
        <v>100</v>
      </c>
      <c r="Z42" s="29"/>
    </row>
    <row r="43" spans="1:26" s="30" customFormat="1">
      <c r="A43" s="53"/>
      <c r="B43" s="53"/>
      <c r="C43" s="62"/>
      <c r="D43" s="62"/>
      <c r="E43" s="62"/>
      <c r="F43" s="62"/>
      <c r="G43" s="62"/>
      <c r="H43" s="62"/>
      <c r="I43" s="63"/>
      <c r="J43" s="62"/>
      <c r="K43" s="62"/>
      <c r="L43" s="62"/>
      <c r="M43" s="62"/>
      <c r="N43" s="62"/>
      <c r="O43" s="16"/>
      <c r="P43" s="37"/>
      <c r="Q43" s="37"/>
      <c r="R43" s="37"/>
      <c r="S43" s="37"/>
      <c r="T43" s="38"/>
      <c r="U43" s="37"/>
      <c r="V43" s="36"/>
      <c r="W43" s="16"/>
      <c r="X43" s="27"/>
      <c r="Y43" s="27"/>
      <c r="Z43" s="29"/>
    </row>
    <row r="44" spans="1:26" s="30" customFormat="1">
      <c r="A44" s="52" t="s">
        <v>57</v>
      </c>
      <c r="B44" s="52"/>
      <c r="C44" s="64">
        <f>('INSTRUCTION-2YR'!AE42)/('T E&amp;G 2YR'!AE42)*100</f>
        <v>38.620438881077213</v>
      </c>
      <c r="D44" s="64" t="str">
        <f>IF((('RESEARCH 2yr'!AE42/'T E&amp;G 2YR'!AE42)*100)=0,('RESEARCH 2yr'!AE42/'T E&amp;G 2YR'!AE42)*100,IF((('RESEARCH 2yr'!AE42/'T E&amp;G 2YR'!AE42)*100)&gt;=0.005,('RESEARCH 2yr'!AE42/'T E&amp;G 2YR'!AE42)*100,"*"))</f>
        <v>*</v>
      </c>
      <c r="E44" s="64">
        <f>'PUBLIC SERVICE 2yr'!AE42/'T E&amp;G 2YR'!AE42*100</f>
        <v>3.2760948820857991</v>
      </c>
      <c r="F44" s="64">
        <f>'ASptISptSSv 2yr'!AE42/'T E&amp;G 2YR'!AE42*100</f>
        <v>34.319260573229627</v>
      </c>
      <c r="G44" s="64">
        <f>'SCHOLAR FELLOW 2yr'!AE42/'T E&amp;G 2YR'!AE42*100</f>
        <v>12.984413356156107</v>
      </c>
      <c r="H44" s="64">
        <f>('All Other 2yr'!AE42/'T E&amp;G 2YR'!AE42)*100</f>
        <v>10.799628449766255</v>
      </c>
      <c r="I44" s="65">
        <f t="shared" ref="I44:I56" si="16">IF((C44-P44)=0,(C44-P44),IF((C44-P44)&gt;=0.005,(C44-P44),IF((C44-P44&lt;=-0.005),(C44-P44),"*")))</f>
        <v>-0.24417544247122436</v>
      </c>
      <c r="J44" s="64" t="str">
        <f t="shared" ref="J44:J56" si="17">IF((D44-Q44)=0,(D44-Q44),IF((D44-Q44)&gt;=0.005,(D44-Q44),IF((D44-Q44&lt;=-0.005),(D44-Q44),"*")))</f>
        <v>*</v>
      </c>
      <c r="K44" s="64">
        <f t="shared" ref="K44:K56" si="18">IF((E44-R44)=0,(E44-R44),IF((E44-R44)&gt;=0.005,(E44-R44),IF((E44-R44&lt;=-0.005),(E44-R44),"*")))</f>
        <v>-0.33784027924847893</v>
      </c>
      <c r="L44" s="64">
        <f t="shared" ref="L44:L56" si="19">IF((F44-S44)=0,(F44-S44),IF((F44-S44)&gt;=0.005,(F44-S44),IF((F44-S44&lt;=-0.005),(F44-S44),"*")))</f>
        <v>-1.5541531936218931</v>
      </c>
      <c r="M44" s="64">
        <f t="shared" ref="M44:M56" si="20">IF((G44-U44)=0,(G44-U44),IF((G44-U44)&gt;=0.005,(G44-U44),IF((G44-U44&lt;=-0.005),(G44-U44),"*")))</f>
        <v>-5.5631852071070185</v>
      </c>
      <c r="N44" s="64">
        <f t="shared" ref="N44:N56" si="21">IF((H44-V44)=0,(H44-V44),IF((H44-V44)&gt;=0.005,(H44-V44),IF((H44-V44&lt;=-0.005),(H44-V44),"*")))</f>
        <v>7.6998763586181473</v>
      </c>
      <c r="O44" s="16"/>
      <c r="P44" s="37">
        <f>'INSTRUCTION-2YR'!Z42/'T E&amp;G 2YR'!Z42*100</f>
        <v>38.864614323548437</v>
      </c>
      <c r="Q44" s="37">
        <f>('RESEARCH 2yr'!Z42/'T E&amp;G 2YR'!Z42)*100</f>
        <v>6.8609385453441364E-4</v>
      </c>
      <c r="R44" s="37">
        <f>'PUBLIC SERVICE 2yr'!Z42/'T E&amp;G 2YR'!Z42*100</f>
        <v>3.6139351613342781</v>
      </c>
      <c r="S44" s="37">
        <f>'ASptISptSSv 2yr'!Z42/'T E&amp;G 2YR'!Z42*100</f>
        <v>35.87341376685152</v>
      </c>
      <c r="T44" s="38">
        <f>'PLANT OPER MAIN 2yr'!Z42/'T E&amp;G 2YR'!Z42*100</f>
        <v>0</v>
      </c>
      <c r="U44" s="37">
        <f>'SCHOLAR FELLOW 2yr'!Z42/'T E&amp;G 2YR'!Z42*100</f>
        <v>18.547598563263126</v>
      </c>
      <c r="V44" s="36">
        <f>IF((('All Other 2yr'!Z42/'T E&amp;G 2YR'!Z42)*100)&gt;=0.005,('All Other 2yr'!Z42/'T E&amp;G 2YR'!Z42)*100,"*")</f>
        <v>3.0997520911481073</v>
      </c>
      <c r="W44" s="16"/>
      <c r="X44" s="27">
        <f t="shared" si="1"/>
        <v>99.999999999999986</v>
      </c>
      <c r="Y44" s="27">
        <f t="shared" ref="Y44:Y56" si="22">SUM(C44:H44)</f>
        <v>99.999836142315004</v>
      </c>
      <c r="Z44" s="29"/>
    </row>
    <row r="45" spans="1:26" s="30" customFormat="1">
      <c r="A45" s="52" t="s">
        <v>58</v>
      </c>
      <c r="B45" s="52"/>
      <c r="C45" s="64">
        <f>('INSTRUCTION-2YR'!AE43)/('T E&amp;G 2YR'!AE43)*100</f>
        <v>40.066781967623001</v>
      </c>
      <c r="D45" s="64">
        <f>IF((('RESEARCH 2yr'!AE43/'T E&amp;G 2YR'!AE43)*100)=0,('RESEARCH 2yr'!AE43/'T E&amp;G 2YR'!AE43)*100,IF((('RESEARCH 2yr'!AE43/'T E&amp;G 2YR'!AE43)*100)&gt;=0.005,('RESEARCH 2yr'!AE43/'T E&amp;G 2YR'!AE43)*100,"*"))</f>
        <v>0</v>
      </c>
      <c r="E45" s="64">
        <f>'PUBLIC SERVICE 2yr'!AE43/'T E&amp;G 2YR'!AE43*100</f>
        <v>1.6847420976831271</v>
      </c>
      <c r="F45" s="64">
        <f>'ASptISptSSv 2yr'!AE43/'T E&amp;G 2YR'!AE43*100</f>
        <v>33.528552869319896</v>
      </c>
      <c r="G45" s="64">
        <f>'SCHOLAR FELLOW 2yr'!AE43/'T E&amp;G 2YR'!AE43*100</f>
        <v>23.070869574973724</v>
      </c>
      <c r="H45" s="64">
        <f>('All Other 2yr'!AE43/'T E&amp;G 2YR'!AE43)*100</f>
        <v>1.6490534904002465</v>
      </c>
      <c r="I45" s="65">
        <f t="shared" si="16"/>
        <v>3.6037015375926984</v>
      </c>
      <c r="J45" s="64">
        <f t="shared" si="17"/>
        <v>0</v>
      </c>
      <c r="K45" s="64">
        <f t="shared" si="18"/>
        <v>-0.3075502789005371</v>
      </c>
      <c r="L45" s="64">
        <f t="shared" si="19"/>
        <v>3.6696322262444809</v>
      </c>
      <c r="M45" s="64">
        <f t="shared" si="20"/>
        <v>-8.5061574942215898</v>
      </c>
      <c r="N45" s="64">
        <f t="shared" si="21"/>
        <v>1.5403740092849456</v>
      </c>
      <c r="O45" s="16"/>
      <c r="P45" s="37">
        <f>'INSTRUCTION-2YR'!Z43/'T E&amp;G 2YR'!Z43*100</f>
        <v>36.463080430030303</v>
      </c>
      <c r="Q45" s="37">
        <f>('RESEARCH 2yr'!Z43/'T E&amp;G 2YR'!Z43)*100</f>
        <v>0</v>
      </c>
      <c r="R45" s="37">
        <f>'PUBLIC SERVICE 2yr'!Z43/'T E&amp;G 2YR'!Z43*100</f>
        <v>1.9922923765836642</v>
      </c>
      <c r="S45" s="37">
        <f>'ASptISptSSv 2yr'!Z43/'T E&amp;G 2YR'!Z43*100</f>
        <v>29.858920643075415</v>
      </c>
      <c r="T45" s="38">
        <f>'PLANT OPER MAIN 2yr'!Z43/'T E&amp;G 2YR'!Z43*100</f>
        <v>0</v>
      </c>
      <c r="U45" s="37">
        <f>'SCHOLAR FELLOW 2yr'!Z43/'T E&amp;G 2YR'!Z43*100</f>
        <v>31.577027069195314</v>
      </c>
      <c r="V45" s="36">
        <f>IF((('All Other 2yr'!Z43/'T E&amp;G 2YR'!Z43)*100)&gt;=0.005,('All Other 2yr'!Z43/'T E&amp;G 2YR'!Z43)*100,"*")</f>
        <v>0.10867948111530099</v>
      </c>
      <c r="W45" s="16"/>
      <c r="X45" s="27">
        <f t="shared" si="1"/>
        <v>100</v>
      </c>
      <c r="Y45" s="27">
        <f t="shared" si="22"/>
        <v>100</v>
      </c>
      <c r="Z45" s="29"/>
    </row>
    <row r="46" spans="1:26" s="30" customFormat="1">
      <c r="A46" s="52" t="s">
        <v>59</v>
      </c>
      <c r="B46" s="52"/>
      <c r="C46" s="64">
        <f>('INSTRUCTION-2YR'!AE44)/('T E&amp;G 2YR'!AE44)*100</f>
        <v>43.473131990961321</v>
      </c>
      <c r="D46" s="106">
        <f>IF((('RESEARCH 2yr'!AE44/'T E&amp;G 2YR'!AE44)*100)=0,('RESEARCH 2yr'!AE44/'T E&amp;G 2YR'!AE44)*100,IF((('RESEARCH 2yr'!AE44/'T E&amp;G 2YR'!AE44)*100)&gt;=0.005,('RESEARCH 2yr'!AE44/'T E&amp;G 2YR'!AE44)*100,"*"))</f>
        <v>2.439567468926028E-2</v>
      </c>
      <c r="E46" s="64">
        <f>'PUBLIC SERVICE 2yr'!AE44/'T E&amp;G 2YR'!AE44*100</f>
        <v>2.5626973012145791</v>
      </c>
      <c r="F46" s="64">
        <f>'ASptISptSSv 2yr'!AE44/'T E&amp;G 2YR'!AE44*100</f>
        <v>34.61568341557215</v>
      </c>
      <c r="G46" s="64">
        <f>'SCHOLAR FELLOW 2yr'!AE44/'T E&amp;G 2YR'!AE44*100</f>
        <v>13.633027335229716</v>
      </c>
      <c r="H46" s="64">
        <f>('All Other 2yr'!AE44/'T E&amp;G 2YR'!AE44)*100</f>
        <v>5.6910642823329649</v>
      </c>
      <c r="I46" s="65">
        <f t="shared" si="16"/>
        <v>-0.64009330144818222</v>
      </c>
      <c r="J46" s="106">
        <f t="shared" si="17"/>
        <v>2.439567468926028E-2</v>
      </c>
      <c r="K46" s="64">
        <f t="shared" si="18"/>
        <v>9.7943893902757484E-2</v>
      </c>
      <c r="L46" s="64">
        <f t="shared" si="19"/>
        <v>2.8873644152967479</v>
      </c>
      <c r="M46" s="64">
        <f t="shared" si="20"/>
        <v>-3.5315535301132925</v>
      </c>
      <c r="N46" s="64">
        <f t="shared" si="21"/>
        <v>1.1619428476727016</v>
      </c>
      <c r="O46" s="16"/>
      <c r="P46" s="37">
        <f>'INSTRUCTION-2YR'!Z44/'T E&amp;G 2YR'!Z44*100</f>
        <v>44.113225292409503</v>
      </c>
      <c r="Q46" s="37">
        <f>('RESEARCH 2yr'!Z44/'T E&amp;G 2YR'!Z44)*100</f>
        <v>0</v>
      </c>
      <c r="R46" s="37">
        <f>'PUBLIC SERVICE 2yr'!Z44/'T E&amp;G 2YR'!Z44*100</f>
        <v>2.4647534073118216</v>
      </c>
      <c r="S46" s="37">
        <f>'ASptISptSSv 2yr'!Z44/'T E&amp;G 2YR'!Z44*100</f>
        <v>31.728319000275402</v>
      </c>
      <c r="T46" s="38">
        <f>'PLANT OPER MAIN 2yr'!Z44/'T E&amp;G 2YR'!Z44*100</f>
        <v>0</v>
      </c>
      <c r="U46" s="37">
        <f>'SCHOLAR FELLOW 2yr'!Z44/'T E&amp;G 2YR'!Z44*100</f>
        <v>17.164580865343009</v>
      </c>
      <c r="V46" s="36">
        <f>IF((('All Other 2yr'!Z44/'T E&amp;G 2YR'!Z44)*100)&gt;=0.005,('All Other 2yr'!Z44/'T E&amp;G 2YR'!Z44)*100,"*")</f>
        <v>4.5291214346602633</v>
      </c>
      <c r="W46" s="16"/>
      <c r="X46" s="27">
        <f t="shared" si="1"/>
        <v>100.00000000000001</v>
      </c>
      <c r="Y46" s="27">
        <f t="shared" si="22"/>
        <v>99.999999999999986</v>
      </c>
      <c r="Z46" s="29"/>
    </row>
    <row r="47" spans="1:26" s="30" customFormat="1">
      <c r="A47" s="52" t="s">
        <v>60</v>
      </c>
      <c r="B47" s="52"/>
      <c r="C47" s="64">
        <f>('INSTRUCTION-2YR'!AE45)/('T E&amp;G 2YR'!AE45)*100</f>
        <v>38.424636650397495</v>
      </c>
      <c r="D47" s="106">
        <f>IF((('RESEARCH 2yr'!AE45/'T E&amp;G 2YR'!AE45)*100)=0,('RESEARCH 2yr'!AE45/'T E&amp;G 2YR'!AE45)*100,IF((('RESEARCH 2yr'!AE45/'T E&amp;G 2YR'!AE45)*100)&gt;=0.005,('RESEARCH 2yr'!AE45/'T E&amp;G 2YR'!AE45)*100,"*"))</f>
        <v>2.9659658302908485E-2</v>
      </c>
      <c r="E47" s="64">
        <f>'PUBLIC SERVICE 2yr'!AE45/'T E&amp;G 2YR'!AE45*100</f>
        <v>0.77779860795348243</v>
      </c>
      <c r="F47" s="64">
        <f>'ASptISptSSv 2yr'!AE45/'T E&amp;G 2YR'!AE45*100</f>
        <v>39.267696645931174</v>
      </c>
      <c r="G47" s="64">
        <f>'SCHOLAR FELLOW 2yr'!AE45/'T E&amp;G 2YR'!AE45*100</f>
        <v>15.549461853436069</v>
      </c>
      <c r="H47" s="64">
        <f>('All Other 2yr'!AE45/'T E&amp;G 2YR'!AE45)*100</f>
        <v>5.9507465839788809</v>
      </c>
      <c r="I47" s="65">
        <f t="shared" si="16"/>
        <v>-0.69815120487458415</v>
      </c>
      <c r="J47" s="64">
        <f t="shared" si="17"/>
        <v>-0.66266613224532311</v>
      </c>
      <c r="K47" s="64">
        <f t="shared" si="18"/>
        <v>-0.2065238383896173</v>
      </c>
      <c r="L47" s="64">
        <f t="shared" si="19"/>
        <v>1.2972088976852518</v>
      </c>
      <c r="M47" s="64">
        <f t="shared" si="20"/>
        <v>0.18271716151236816</v>
      </c>
      <c r="N47" s="64">
        <f t="shared" si="21"/>
        <v>8.7415116311923668E-2</v>
      </c>
      <c r="O47" s="16"/>
      <c r="P47" s="37">
        <f>'INSTRUCTION-2YR'!Z45/'T E&amp;G 2YR'!Z45*100</f>
        <v>39.12278785527208</v>
      </c>
      <c r="Q47" s="37">
        <f>('RESEARCH 2yr'!Z45/'T E&amp;G 2YR'!Z45)*100</f>
        <v>0.69232579054823162</v>
      </c>
      <c r="R47" s="37">
        <f>'PUBLIC SERVICE 2yr'!Z45/'T E&amp;G 2YR'!Z45*100</f>
        <v>0.98432244634309973</v>
      </c>
      <c r="S47" s="37">
        <f>'ASptISptSSv 2yr'!Z45/'T E&amp;G 2YR'!Z45*100</f>
        <v>37.970487748245922</v>
      </c>
      <c r="T47" s="38">
        <f>'PLANT OPER MAIN 2yr'!Z45/'T E&amp;G 2YR'!Z45*100</f>
        <v>0</v>
      </c>
      <c r="U47" s="37">
        <f>'SCHOLAR FELLOW 2yr'!Z45/'T E&amp;G 2YR'!Z45*100</f>
        <v>15.366744691923701</v>
      </c>
      <c r="V47" s="36">
        <f>IF((('All Other 2yr'!Z45/'T E&amp;G 2YR'!Z45)*100)&gt;=0.005,('All Other 2yr'!Z45/'T E&amp;G 2YR'!Z45)*100,"*")</f>
        <v>5.8633314676669572</v>
      </c>
      <c r="W47" s="16"/>
      <c r="X47" s="27">
        <f t="shared" si="1"/>
        <v>99.999999999999986</v>
      </c>
      <c r="Y47" s="27">
        <f t="shared" si="22"/>
        <v>100.00000000000003</v>
      </c>
      <c r="Z47" s="29"/>
    </row>
    <row r="48" spans="1:26" s="30" customFormat="1">
      <c r="A48" s="53" t="s">
        <v>61</v>
      </c>
      <c r="B48" s="53"/>
      <c r="C48" s="62">
        <f>('INSTRUCTION-2YR'!AE46)/('T E&amp;G 2YR'!AE46)*100</f>
        <v>37.080813154731949</v>
      </c>
      <c r="D48" s="105">
        <f>IF((('RESEARCH 2yr'!AE46/'T E&amp;G 2YR'!AE46)*100)=0,('RESEARCH 2yr'!AE46/'T E&amp;G 2YR'!AE46)*100,IF((('RESEARCH 2yr'!AE46/'T E&amp;G 2YR'!AE46)*100)&gt;=0.005,('RESEARCH 2yr'!AE46/'T E&amp;G 2YR'!AE46)*100,"*"))</f>
        <v>4.1523035666599317E-2</v>
      </c>
      <c r="E48" s="62">
        <f>'PUBLIC SERVICE 2yr'!AE46/'T E&amp;G 2YR'!AE46*100</f>
        <v>2.0489810859335504</v>
      </c>
      <c r="F48" s="62">
        <f>'ASptISptSSv 2yr'!AE46/'T E&amp;G 2YR'!AE46*100</f>
        <v>36.667092894666872</v>
      </c>
      <c r="G48" s="62">
        <f>'SCHOLAR FELLOW 2yr'!AE46/'T E&amp;G 2YR'!AE46*100</f>
        <v>14.481579405744796</v>
      </c>
      <c r="H48" s="62">
        <f>('All Other 2yr'!AE46/'T E&amp;G 2YR'!AE46)*100</f>
        <v>9.6800104232562241</v>
      </c>
      <c r="I48" s="63">
        <f t="shared" si="16"/>
        <v>-3.358435814089205</v>
      </c>
      <c r="J48" s="105">
        <f t="shared" si="17"/>
        <v>5.4976736435482371E-3</v>
      </c>
      <c r="K48" s="62">
        <f t="shared" si="18"/>
        <v>-0.13465421134462474</v>
      </c>
      <c r="L48" s="62">
        <f t="shared" si="19"/>
        <v>1.5281313735829158</v>
      </c>
      <c r="M48" s="62">
        <f t="shared" si="20"/>
        <v>-7.0188440761476514</v>
      </c>
      <c r="N48" s="62">
        <f t="shared" si="21"/>
        <v>8.9783050543550029</v>
      </c>
      <c r="O48" s="16"/>
      <c r="P48" s="37">
        <f>'INSTRUCTION-2YR'!Z46/'T E&amp;G 2YR'!Z46*100</f>
        <v>40.439248968821154</v>
      </c>
      <c r="Q48" s="37">
        <f>('RESEARCH 2yr'!Z46/'T E&amp;G 2YR'!Z46)*100</f>
        <v>3.602536202305108E-2</v>
      </c>
      <c r="R48" s="37">
        <f>'PUBLIC SERVICE 2yr'!Z46/'T E&amp;G 2YR'!Z46*100</f>
        <v>2.1836352972781752</v>
      </c>
      <c r="S48" s="37">
        <f>'ASptISptSSv 2yr'!Z46/'T E&amp;G 2YR'!Z46*100</f>
        <v>35.138961521083957</v>
      </c>
      <c r="T48" s="38">
        <f>'PLANT OPER MAIN 2yr'!Z46/'T E&amp;G 2YR'!Z46*100</f>
        <v>0</v>
      </c>
      <c r="U48" s="37">
        <f>'SCHOLAR FELLOW 2yr'!Z46/'T E&amp;G 2YR'!Z46*100</f>
        <v>21.500423481892447</v>
      </c>
      <c r="V48" s="36">
        <f>IF((('All Other 2yr'!Z46/'T E&amp;G 2YR'!Z46)*100)&gt;=0.005,('All Other 2yr'!Z46/'T E&amp;G 2YR'!Z46)*100,"*")</f>
        <v>0.70170536890122082</v>
      </c>
      <c r="W48" s="16"/>
      <c r="X48" s="27">
        <f t="shared" si="1"/>
        <v>100.00000000000001</v>
      </c>
      <c r="Y48" s="27">
        <f t="shared" si="22"/>
        <v>99.999999999999986</v>
      </c>
      <c r="Z48" s="29"/>
    </row>
    <row r="49" spans="1:26" s="30" customFormat="1">
      <c r="A49" s="53" t="s">
        <v>62</v>
      </c>
      <c r="B49" s="53"/>
      <c r="C49" s="62">
        <f>('INSTRUCTION-2YR'!AE47)/('T E&amp;G 2YR'!AE47)*100</f>
        <v>50.134808491164875</v>
      </c>
      <c r="D49" s="62">
        <f>IF((('RESEARCH 2yr'!AE47/'T E&amp;G 2YR'!AE47)*100)=0,('RESEARCH 2yr'!AE47/'T E&amp;G 2YR'!AE47)*100,IF((('RESEARCH 2yr'!AE47/'T E&amp;G 2YR'!AE47)*100)&gt;=0.005,('RESEARCH 2yr'!AE47/'T E&amp;G 2YR'!AE47)*100,"*"))</f>
        <v>0.18415031009990035</v>
      </c>
      <c r="E49" s="62">
        <f>'PUBLIC SERVICE 2yr'!AE47/'T E&amp;G 2YR'!AE47*100</f>
        <v>0.81028238834626731</v>
      </c>
      <c r="F49" s="62">
        <f>'ASptISptSSv 2yr'!AE47/'T E&amp;G 2YR'!AE47*100</f>
        <v>42.189127893937531</v>
      </c>
      <c r="G49" s="62">
        <f>'SCHOLAR FELLOW 2yr'!AE47/'T E&amp;G 2YR'!AE47*100</f>
        <v>19.915224555597355</v>
      </c>
      <c r="H49" s="62">
        <f>('All Other 2yr'!AE47/'T E&amp;G 2YR'!AE47)*100</f>
        <v>-13.233593639145926</v>
      </c>
      <c r="I49" s="63">
        <f t="shared" si="16"/>
        <v>7.8556567301021687</v>
      </c>
      <c r="J49" s="62">
        <f t="shared" si="17"/>
        <v>6.9356224618483495E-2</v>
      </c>
      <c r="K49" s="62">
        <f t="shared" si="18"/>
        <v>0.31992383804057861</v>
      </c>
      <c r="L49" s="62">
        <f t="shared" si="19"/>
        <v>6.8230310141883237</v>
      </c>
      <c r="M49" s="62">
        <f t="shared" si="20"/>
        <v>-1.797705346185392</v>
      </c>
      <c r="N49" s="62">
        <f t="shared" si="21"/>
        <v>-13.270262460764162</v>
      </c>
      <c r="O49" s="16"/>
      <c r="P49" s="37">
        <f>'INSTRUCTION-2YR'!Z47/'T E&amp;G 2YR'!Z47*100</f>
        <v>42.279151761062707</v>
      </c>
      <c r="Q49" s="37">
        <f>('RESEARCH 2yr'!Z47/'T E&amp;G 2YR'!Z47)*100</f>
        <v>0.11479408548141685</v>
      </c>
      <c r="R49" s="37">
        <f>'PUBLIC SERVICE 2yr'!Z47/'T E&amp;G 2YR'!Z47*100</f>
        <v>0.4903585503056887</v>
      </c>
      <c r="S49" s="37">
        <f>'ASptISptSSv 2yr'!Z47/'T E&amp;G 2YR'!Z47*100</f>
        <v>35.366096879749207</v>
      </c>
      <c r="T49" s="38">
        <f>'PLANT OPER MAIN 2yr'!Z47/'T E&amp;G 2YR'!Z47*100</f>
        <v>0</v>
      </c>
      <c r="U49" s="37">
        <f>'SCHOLAR FELLOW 2yr'!Z47/'T E&amp;G 2YR'!Z47*100</f>
        <v>21.712929901782747</v>
      </c>
      <c r="V49" s="103">
        <f>IF((('All Other 2yr'!Z47/'T E&amp;G 2YR'!Z47)*100)&gt;=0.005,('All Other 2yr'!Z47/'T E&amp;G 2YR'!Z47)*100,"*")</f>
        <v>3.6668821618234579E-2</v>
      </c>
      <c r="W49" s="16"/>
      <c r="X49" s="27">
        <f t="shared" si="1"/>
        <v>99.999999999999986</v>
      </c>
      <c r="Y49" s="27">
        <f t="shared" si="22"/>
        <v>100.00000000000001</v>
      </c>
      <c r="Z49" s="29"/>
    </row>
    <row r="50" spans="1:26" s="30" customFormat="1">
      <c r="A50" s="53" t="s">
        <v>63</v>
      </c>
      <c r="B50" s="53"/>
      <c r="C50" s="62">
        <f>('INSTRUCTION-2YR'!AE48)/('T E&amp;G 2YR'!AE48)*100</f>
        <v>39.029453723881645</v>
      </c>
      <c r="D50" s="105">
        <f>IF((('RESEARCH 2yr'!AE48/'T E&amp;G 2YR'!AE48)*100)=0,('RESEARCH 2yr'!AE48/'T E&amp;G 2YR'!AE48)*100,IF((('RESEARCH 2yr'!AE48/'T E&amp;G 2YR'!AE48)*100)&gt;=0.005,('RESEARCH 2yr'!AE48/'T E&amp;G 2YR'!AE48)*100,"*"))</f>
        <v>2.9850336072224232E-2</v>
      </c>
      <c r="E50" s="62">
        <f>'PUBLIC SERVICE 2yr'!AE48/'T E&amp;G 2YR'!AE48*100</f>
        <v>0.45610492376605233</v>
      </c>
      <c r="F50" s="62">
        <f>'ASptISptSSv 2yr'!AE48/'T E&amp;G 2YR'!AE48*100</f>
        <v>34.527977789726975</v>
      </c>
      <c r="G50" s="62">
        <f>'SCHOLAR FELLOW 2yr'!AE48/'T E&amp;G 2YR'!AE48*100</f>
        <v>19.793387008946208</v>
      </c>
      <c r="H50" s="62">
        <f>('All Other 2yr'!AE48/'T E&amp;G 2YR'!AE48)*100</f>
        <v>6.1632262176068844</v>
      </c>
      <c r="I50" s="63">
        <f t="shared" si="16"/>
        <v>-1.428251418706985</v>
      </c>
      <c r="J50" s="105">
        <f t="shared" si="17"/>
        <v>2.9654169948113041E-2</v>
      </c>
      <c r="K50" s="62">
        <f t="shared" si="18"/>
        <v>-1.2495692574717805</v>
      </c>
      <c r="L50" s="62">
        <f t="shared" si="19"/>
        <v>3.110537940281624</v>
      </c>
      <c r="M50" s="62">
        <f t="shared" si="20"/>
        <v>-4.7499580114402811</v>
      </c>
      <c r="N50" s="62">
        <f t="shared" si="21"/>
        <v>4.2875865773892983</v>
      </c>
      <c r="O50" s="16"/>
      <c r="P50" s="37">
        <f>'INSTRUCTION-2YR'!Z48/'T E&amp;G 2YR'!Z48*100</f>
        <v>40.45770514258863</v>
      </c>
      <c r="Q50" s="37">
        <f>('RESEARCH 2yr'!Z48/'T E&amp;G 2YR'!Z48)*100</f>
        <v>1.9616612411119013E-4</v>
      </c>
      <c r="R50" s="37">
        <f>'PUBLIC SERVICE 2yr'!Z48/'T E&amp;G 2YR'!Z48*100</f>
        <v>1.7056741812378329</v>
      </c>
      <c r="S50" s="37">
        <f>'ASptISptSSv 2yr'!Z48/'T E&amp;G 2YR'!Z48*100</f>
        <v>31.417439849445351</v>
      </c>
      <c r="T50" s="38">
        <f>'PLANT OPER MAIN 2yr'!Z48/'T E&amp;G 2YR'!Z48*100</f>
        <v>0</v>
      </c>
      <c r="U50" s="37">
        <f>'SCHOLAR FELLOW 2yr'!Z48/'T E&amp;G 2YR'!Z48*100</f>
        <v>24.543345020386489</v>
      </c>
      <c r="V50" s="36">
        <f>IF((('All Other 2yr'!Z48/'T E&amp;G 2YR'!Z48)*100)&gt;=0.005,('All Other 2yr'!Z48/'T E&amp;G 2YR'!Z48)*100,"*")</f>
        <v>1.8756396402175863</v>
      </c>
      <c r="W50" s="16"/>
      <c r="X50" s="27">
        <f t="shared" si="1"/>
        <v>99.999999999999986</v>
      </c>
      <c r="Y50" s="27">
        <f t="shared" si="22"/>
        <v>100</v>
      </c>
      <c r="Z50" s="29"/>
    </row>
    <row r="51" spans="1:26" s="30" customFormat="1">
      <c r="A51" s="53" t="s">
        <v>64</v>
      </c>
      <c r="B51" s="53"/>
      <c r="C51" s="62">
        <f>('INSTRUCTION-2YR'!AE49)/('T E&amp;G 2YR'!AE49)*100</f>
        <v>43.955121060651933</v>
      </c>
      <c r="D51" s="62" t="str">
        <f>IF((('RESEARCH 2yr'!AE49/'T E&amp;G 2YR'!AE49)*100)=0,('RESEARCH 2yr'!AE49/'T E&amp;G 2YR'!AE49)*100,IF((('RESEARCH 2yr'!AE49/'T E&amp;G 2YR'!AE49)*100)&gt;=0.005,('RESEARCH 2yr'!AE49/'T E&amp;G 2YR'!AE49)*100,"*"))</f>
        <v>*</v>
      </c>
      <c r="E51" s="105">
        <f>'PUBLIC SERVICE 2yr'!AE49/'T E&amp;G 2YR'!AE49*100</f>
        <v>1.9513299626905969E-2</v>
      </c>
      <c r="F51" s="62">
        <f>'ASptISptSSv 2yr'!AE49/'T E&amp;G 2YR'!AE49*100</f>
        <v>42.82155392874013</v>
      </c>
      <c r="G51" s="62">
        <f>'SCHOLAR FELLOW 2yr'!AE49/'T E&amp;G 2YR'!AE49*100</f>
        <v>11.643730992296998</v>
      </c>
      <c r="H51" s="62">
        <f>('All Other 2yr'!AE49/'T E&amp;G 2YR'!AE49)*100</f>
        <v>1.5595870627631274</v>
      </c>
      <c r="I51" s="63">
        <f t="shared" si="16"/>
        <v>-1.3194337028371876</v>
      </c>
      <c r="J51" s="62" t="str">
        <f t="shared" si="17"/>
        <v>*</v>
      </c>
      <c r="K51" s="105">
        <f t="shared" si="18"/>
        <v>1.9513299626905969E-2</v>
      </c>
      <c r="L51" s="62">
        <f t="shared" si="19"/>
        <v>7.5235354866874076</v>
      </c>
      <c r="M51" s="62">
        <f t="shared" si="20"/>
        <v>-5.7922296573561916</v>
      </c>
      <c r="N51" s="62">
        <f t="shared" si="21"/>
        <v>-0.42815416889580549</v>
      </c>
      <c r="O51" s="16"/>
      <c r="P51" s="37">
        <f>'INSTRUCTION-2YR'!Z49/'T E&amp;G 2YR'!Z49*100</f>
        <v>45.274554763489121</v>
      </c>
      <c r="Q51" s="37">
        <f>('RESEARCH 2yr'!Z49/'T E&amp;G 2YR'!Z49)*100</f>
        <v>3.7249131460328892E-3</v>
      </c>
      <c r="R51" s="37">
        <f>'PUBLIC SERVICE 2yr'!Z49/'T E&amp;G 2YR'!Z49*100</f>
        <v>0</v>
      </c>
      <c r="S51" s="37">
        <f>'ASptISptSSv 2yr'!Z49/'T E&amp;G 2YR'!Z49*100</f>
        <v>35.298018442052722</v>
      </c>
      <c r="T51" s="38">
        <f>'PLANT OPER MAIN 2yr'!Z49/'T E&amp;G 2YR'!Z49*100</f>
        <v>0</v>
      </c>
      <c r="U51" s="37">
        <f>'SCHOLAR FELLOW 2yr'!Z49/'T E&amp;G 2YR'!Z49*100</f>
        <v>17.43596064965319</v>
      </c>
      <c r="V51" s="36">
        <f>IF((('All Other 2yr'!Z49/'T E&amp;G 2YR'!Z49)*100)&gt;=0.005,('All Other 2yr'!Z49/'T E&amp;G 2YR'!Z49)*100,"*")</f>
        <v>1.9877412316589329</v>
      </c>
      <c r="W51" s="16"/>
      <c r="X51" s="27">
        <f t="shared" si="1"/>
        <v>100</v>
      </c>
      <c r="Y51" s="27">
        <f t="shared" si="22"/>
        <v>99.999506344079094</v>
      </c>
      <c r="Z51" s="29"/>
    </row>
    <row r="52" spans="1:26" s="30" customFormat="1">
      <c r="A52" s="52" t="s">
        <v>65</v>
      </c>
      <c r="B52" s="52"/>
      <c r="C52" s="64">
        <f>('INSTRUCTION-2YR'!AE50)/('T E&amp;G 2YR'!AE50)*100</f>
        <v>40.406119905968694</v>
      </c>
      <c r="D52" s="64">
        <f>IF((('RESEARCH 2yr'!AE50/'T E&amp;G 2YR'!AE50)*100)=0,('RESEARCH 2yr'!AE50/'T E&amp;G 2YR'!AE50)*100,IF((('RESEARCH 2yr'!AE50/'T E&amp;G 2YR'!AE50)*100)&gt;=0.005,('RESEARCH 2yr'!AE50/'T E&amp;G 2YR'!AE50)*100,"*"))</f>
        <v>0.17750492034792881</v>
      </c>
      <c r="E52" s="64">
        <f>'PUBLIC SERVICE 2yr'!AE50/'T E&amp;G 2YR'!AE50*100</f>
        <v>0.18074197292059518</v>
      </c>
      <c r="F52" s="64">
        <f>'ASptISptSSv 2yr'!AE50/'T E&amp;G 2YR'!AE50*100</f>
        <v>33.377966346346234</v>
      </c>
      <c r="G52" s="64">
        <f>'SCHOLAR FELLOW 2yr'!AE50/'T E&amp;G 2YR'!AE50*100</f>
        <v>13.328145249381901</v>
      </c>
      <c r="H52" s="64">
        <f>('All Other 2yr'!AE50/'T E&amp;G 2YR'!AE50)*100</f>
        <v>12.529521605034644</v>
      </c>
      <c r="I52" s="65">
        <f t="shared" si="16"/>
        <v>-6.5428086480233532</v>
      </c>
      <c r="J52" s="64">
        <f t="shared" si="17"/>
        <v>5.7333104481756963E-2</v>
      </c>
      <c r="K52" s="64">
        <f t="shared" si="18"/>
        <v>-1.259590336484715</v>
      </c>
      <c r="L52" s="64">
        <f t="shared" si="19"/>
        <v>1.7819990571027731</v>
      </c>
      <c r="M52" s="64">
        <f t="shared" si="20"/>
        <v>1.0335015795939562</v>
      </c>
      <c r="N52" s="64">
        <f t="shared" si="21"/>
        <v>4.9295652433295727</v>
      </c>
      <c r="O52" s="16"/>
      <c r="P52" s="37">
        <f>'INSTRUCTION-2YR'!Z50/'T E&amp;G 2YR'!Z50*100</f>
        <v>46.948928553992047</v>
      </c>
      <c r="Q52" s="37">
        <f>('RESEARCH 2yr'!Z50/'T E&amp;G 2YR'!Z50)*100</f>
        <v>0.12017181586617184</v>
      </c>
      <c r="R52" s="37">
        <f>'PUBLIC SERVICE 2yr'!Z50/'T E&amp;G 2YR'!Z50*100</f>
        <v>1.4403323094053102</v>
      </c>
      <c r="S52" s="37">
        <f>'ASptISptSSv 2yr'!Z50/'T E&amp;G 2YR'!Z50*100</f>
        <v>31.595967289243461</v>
      </c>
      <c r="T52" s="38">
        <f>'PLANT OPER MAIN 2yr'!Z50/'T E&amp;G 2YR'!Z50*100</f>
        <v>0</v>
      </c>
      <c r="U52" s="37">
        <f>'SCHOLAR FELLOW 2yr'!Z50/'T E&amp;G 2YR'!Z50*100</f>
        <v>12.294643669787945</v>
      </c>
      <c r="V52" s="36">
        <f>IF((('All Other 2yr'!Z50/'T E&amp;G 2YR'!Z50)*100)&gt;=0.005,('All Other 2yr'!Z50/'T E&amp;G 2YR'!Z50)*100,"*")</f>
        <v>7.5999563617050709</v>
      </c>
      <c r="W52" s="16"/>
      <c r="X52" s="27">
        <f t="shared" si="1"/>
        <v>100</v>
      </c>
      <c r="Y52" s="27">
        <f t="shared" si="22"/>
        <v>100</v>
      </c>
      <c r="Z52" s="29"/>
    </row>
    <row r="53" spans="1:26" s="30" customFormat="1">
      <c r="A53" s="52" t="s">
        <v>66</v>
      </c>
      <c r="B53" s="52"/>
      <c r="C53" s="64">
        <f>('INSTRUCTION-2YR'!AE51)/('T E&amp;G 2YR'!AE51)*100</f>
        <v>41.377394860111316</v>
      </c>
      <c r="D53" s="64">
        <f>IF((('RESEARCH 2yr'!AE51/'T E&amp;G 2YR'!AE51)*100)=0,('RESEARCH 2yr'!AE51/'T E&amp;G 2YR'!AE51)*100,IF((('RESEARCH 2yr'!AE51/'T E&amp;G 2YR'!AE51)*100)&gt;=0.005,('RESEARCH 2yr'!AE51/'T E&amp;G 2YR'!AE51)*100,"*"))</f>
        <v>8.9546065379566692E-2</v>
      </c>
      <c r="E53" s="64">
        <f>'PUBLIC SERVICE 2yr'!AE51/'T E&amp;G 2YR'!AE51*100</f>
        <v>3.7945835245851538</v>
      </c>
      <c r="F53" s="64">
        <f>'ASptISptSSv 2yr'!AE51/'T E&amp;G 2YR'!AE51*100</f>
        <v>35.242252296586372</v>
      </c>
      <c r="G53" s="64">
        <f>'SCHOLAR FELLOW 2yr'!AE51/'T E&amp;G 2YR'!AE51*100</f>
        <v>17.978221545182198</v>
      </c>
      <c r="H53" s="64">
        <f>('All Other 2yr'!AE51/'T E&amp;G 2YR'!AE51)*100</f>
        <v>1.5180017081553907</v>
      </c>
      <c r="I53" s="65">
        <f t="shared" si="16"/>
        <v>-0.38816987954167814</v>
      </c>
      <c r="J53" s="64">
        <f t="shared" si="17"/>
        <v>-6.1498411705451617E-2</v>
      </c>
      <c r="K53" s="64">
        <f t="shared" si="18"/>
        <v>8.3863329967807765E-2</v>
      </c>
      <c r="L53" s="64">
        <f t="shared" si="19"/>
        <v>2.8280201891832348</v>
      </c>
      <c r="M53" s="64">
        <f t="shared" si="20"/>
        <v>-2.92968805619957</v>
      </c>
      <c r="N53" s="64">
        <f t="shared" si="21"/>
        <v>0.46747282829566106</v>
      </c>
      <c r="O53" s="16"/>
      <c r="P53" s="37">
        <f>'INSTRUCTION-2YR'!Z51/'T E&amp;G 2YR'!Z51*100</f>
        <v>41.765564739652994</v>
      </c>
      <c r="Q53" s="37">
        <f>('RESEARCH 2yr'!Z51/'T E&amp;G 2YR'!Z51)*100</f>
        <v>0.15104447708501831</v>
      </c>
      <c r="R53" s="37">
        <f>'PUBLIC SERVICE 2yr'!Z51/'T E&amp;G 2YR'!Z51*100</f>
        <v>3.710720194617346</v>
      </c>
      <c r="S53" s="37">
        <f>'ASptISptSSv 2yr'!Z51/'T E&amp;G 2YR'!Z51*100</f>
        <v>32.414232107403137</v>
      </c>
      <c r="T53" s="38">
        <f>'PLANT OPER MAIN 2yr'!Z51/'T E&amp;G 2YR'!Z51*100</f>
        <v>0</v>
      </c>
      <c r="U53" s="37">
        <f>'SCHOLAR FELLOW 2yr'!Z51/'T E&amp;G 2YR'!Z51*100</f>
        <v>20.907909601381768</v>
      </c>
      <c r="V53" s="36">
        <f>IF((('All Other 2yr'!Z51/'T E&amp;G 2YR'!Z51)*100)&gt;=0.005,('All Other 2yr'!Z51/'T E&amp;G 2YR'!Z51)*100,"*")</f>
        <v>1.0505288798597296</v>
      </c>
      <c r="W53" s="16"/>
      <c r="X53" s="27">
        <f t="shared" si="1"/>
        <v>99.999999999999986</v>
      </c>
      <c r="Y53" s="27">
        <f t="shared" si="22"/>
        <v>100</v>
      </c>
      <c r="Z53" s="29"/>
    </row>
    <row r="54" spans="1:26" s="30" customFormat="1">
      <c r="A54" s="52" t="s">
        <v>67</v>
      </c>
      <c r="B54" s="52"/>
      <c r="C54" s="64">
        <f>('INSTRUCTION-2YR'!AE52)/('T E&amp;G 2YR'!AE52)*100</f>
        <v>36.852388103910059</v>
      </c>
      <c r="D54" s="64">
        <f>IF((('RESEARCH 2yr'!AE52/'T E&amp;G 2YR'!AE52)*100)=0,('RESEARCH 2yr'!AE52/'T E&amp;G 2YR'!AE52)*100,IF((('RESEARCH 2yr'!AE52/'T E&amp;G 2YR'!AE52)*100)&gt;=0.005,('RESEARCH 2yr'!AE52/'T E&amp;G 2YR'!AE52)*100,"*"))</f>
        <v>5.2557060184113359E-2</v>
      </c>
      <c r="E54" s="64">
        <f>'PUBLIC SERVICE 2yr'!AE52/'T E&amp;G 2YR'!AE52*100</f>
        <v>5.0400258902715356</v>
      </c>
      <c r="F54" s="64">
        <f>'ASptISptSSv 2yr'!AE52/'T E&amp;G 2YR'!AE52*100</f>
        <v>27.923980750584015</v>
      </c>
      <c r="G54" s="64">
        <f>'SCHOLAR FELLOW 2yr'!AE52/'T E&amp;G 2YR'!AE52*100</f>
        <v>21.466213405334468</v>
      </c>
      <c r="H54" s="64">
        <f>('All Other 2yr'!AE52/'T E&amp;G 2YR'!AE52)*100</f>
        <v>8.6648347897158313</v>
      </c>
      <c r="I54" s="65">
        <f t="shared" si="16"/>
        <v>-0.73004901131691469</v>
      </c>
      <c r="J54" s="64">
        <f t="shared" si="17"/>
        <v>1.4087555612558818E-2</v>
      </c>
      <c r="K54" s="64">
        <f t="shared" si="18"/>
        <v>-0.25843360246062197</v>
      </c>
      <c r="L54" s="64">
        <f t="shared" si="19"/>
        <v>2.5017051893815427</v>
      </c>
      <c r="M54" s="64">
        <f t="shared" si="20"/>
        <v>2.1862778183806952</v>
      </c>
      <c r="N54" s="64">
        <f t="shared" si="21"/>
        <v>-3.7135879495972404</v>
      </c>
      <c r="O54" s="16"/>
      <c r="P54" s="37">
        <f>'INSTRUCTION-2YR'!Z52/'T E&amp;G 2YR'!Z52*100</f>
        <v>37.582437115226973</v>
      </c>
      <c r="Q54" s="37">
        <f>('RESEARCH 2yr'!Z52/'T E&amp;G 2YR'!Z52)*100</f>
        <v>3.8469504571554541E-2</v>
      </c>
      <c r="R54" s="37">
        <f>'PUBLIC SERVICE 2yr'!Z52/'T E&amp;G 2YR'!Z52*100</f>
        <v>5.2984594927321575</v>
      </c>
      <c r="S54" s="37">
        <f>'ASptISptSSv 2yr'!Z52/'T E&amp;G 2YR'!Z52*100</f>
        <v>25.422275561202472</v>
      </c>
      <c r="T54" s="38">
        <f>'PLANT OPER MAIN 2yr'!Z52/'T E&amp;G 2YR'!Z52*100</f>
        <v>0</v>
      </c>
      <c r="U54" s="37">
        <f>'SCHOLAR FELLOW 2yr'!Z52/'T E&amp;G 2YR'!Z52*100</f>
        <v>19.279935586953773</v>
      </c>
      <c r="V54" s="36">
        <f>IF((('All Other 2yr'!Z52/'T E&amp;G 2YR'!Z52)*100)&gt;=0.005,('All Other 2yr'!Z52/'T E&amp;G 2YR'!Z52)*100,"*")</f>
        <v>12.378422739313072</v>
      </c>
      <c r="W54" s="16"/>
      <c r="X54" s="27">
        <f t="shared" si="1"/>
        <v>99.999999999999986</v>
      </c>
      <c r="Y54" s="27">
        <f t="shared" si="22"/>
        <v>100.00000000000001</v>
      </c>
      <c r="Z54" s="29"/>
    </row>
    <row r="55" spans="1:26" s="30" customFormat="1">
      <c r="A55" s="52" t="s">
        <v>68</v>
      </c>
      <c r="B55" s="52"/>
      <c r="C55" s="66">
        <f>('INSTRUCTION-2YR'!AE53)/('T E&amp;G 2YR'!AE53)*100</f>
        <v>55.424511379318261</v>
      </c>
      <c r="D55" s="66">
        <f>IF((('RESEARCH 2yr'!AE53/'T E&amp;G 2YR'!AE53)*100)=0,('RESEARCH 2yr'!AE53/'T E&amp;G 2YR'!AE53)*100,IF((('RESEARCH 2yr'!AE53/'T E&amp;G 2YR'!AE53)*100)&gt;=0.005,('RESEARCH 2yr'!AE53/'T E&amp;G 2YR'!AE53)*100,"*"))</f>
        <v>0</v>
      </c>
      <c r="E55" s="66">
        <f>'PUBLIC SERVICE 2yr'!AE53/'T E&amp;G 2YR'!AE53*100</f>
        <v>7.0492813747419697E-2</v>
      </c>
      <c r="F55" s="66">
        <f>'ASptISptSSv 2yr'!AE53/'T E&amp;G 2YR'!AE53*100</f>
        <v>25.848946975374034</v>
      </c>
      <c r="G55" s="66">
        <f>'SCHOLAR FELLOW 2yr'!AE53/'T E&amp;G 2YR'!AE53*100</f>
        <v>9.7264810226553973</v>
      </c>
      <c r="H55" s="98">
        <f>('All Other 2yr'!AE53/'T E&amp;G 2YR'!AE53)*100</f>
        <v>8.9295678089048831</v>
      </c>
      <c r="I55" s="65">
        <f t="shared" si="16"/>
        <v>3.8476990449320567</v>
      </c>
      <c r="J55" s="64">
        <f t="shared" si="17"/>
        <v>-7.9293816771217787E-2</v>
      </c>
      <c r="K55" s="64">
        <f t="shared" si="18"/>
        <v>-0.93728224964874762</v>
      </c>
      <c r="L55" s="64">
        <f t="shared" si="19"/>
        <v>1.5723290014420002</v>
      </c>
      <c r="M55" s="64">
        <f t="shared" si="20"/>
        <v>-6.7227496050870474</v>
      </c>
      <c r="N55" s="64">
        <f t="shared" si="21"/>
        <v>2.3192976251329451</v>
      </c>
      <c r="O55" s="16"/>
      <c r="P55" s="37">
        <f>'INSTRUCTION-2YR'!Z53/'T E&amp;G 2YR'!Z53*100</f>
        <v>51.576812334386204</v>
      </c>
      <c r="Q55" s="37">
        <f>('RESEARCH 2yr'!Z53/'T E&amp;G 2YR'!Z53)*100</f>
        <v>7.9293816771217787E-2</v>
      </c>
      <c r="R55" s="37">
        <f>'PUBLIC SERVICE 2yr'!Z53/'T E&amp;G 2YR'!Z53*100</f>
        <v>1.0077750633961673</v>
      </c>
      <c r="S55" s="37">
        <f>'ASptISptSSv 2yr'!Z53/'T E&amp;G 2YR'!Z53*100</f>
        <v>24.276617973932034</v>
      </c>
      <c r="T55" s="38">
        <f>'PLANT OPER MAIN 2yr'!Z53/'T E&amp;G 2YR'!Z53*100</f>
        <v>0</v>
      </c>
      <c r="U55" s="37">
        <f>'SCHOLAR FELLOW 2yr'!Z53/'T E&amp;G 2YR'!Z53*100</f>
        <v>16.449230627742445</v>
      </c>
      <c r="V55" s="36">
        <f>IF((('All Other 2yr'!Z53/'T E&amp;G 2YR'!Z53)*100)&gt;=0.005,('All Other 2yr'!Z53/'T E&amp;G 2YR'!Z53)*100,"*")</f>
        <v>6.610270183771938</v>
      </c>
      <c r="W55" s="16"/>
      <c r="X55" s="27">
        <f t="shared" si="1"/>
        <v>100.00000000000003</v>
      </c>
      <c r="Y55" s="27">
        <f t="shared" si="22"/>
        <v>99.999999999999986</v>
      </c>
      <c r="Z55" s="29"/>
    </row>
    <row r="56" spans="1:26" s="30" customFormat="1">
      <c r="A56" s="56" t="s">
        <v>69</v>
      </c>
      <c r="B56" s="56"/>
      <c r="C56" s="62">
        <f>('INSTRUCTION-2YR'!AE54)/('T E&amp;G 2YR'!AE54)*100</f>
        <v>38.367346146287531</v>
      </c>
      <c r="D56" s="62">
        <f>IF((('RESEARCH 2yr'!AE54/'T E&amp;G 2YR'!AE54)*100)=0,('RESEARCH 2yr'!AE54/'T E&amp;G 2YR'!AE54)*100,IF((('RESEARCH 2yr'!AE54/'T E&amp;G 2YR'!AE54)*100)&gt;=0.005,('RESEARCH 2yr'!AE54/'T E&amp;G 2YR'!AE54)*100,"*"))</f>
        <v>0.10012321719919269</v>
      </c>
      <c r="E56" s="62">
        <f>'PUBLIC SERVICE 2yr'!AE54/'T E&amp;G 2YR'!AE54*100</f>
        <v>0.91329640420512193</v>
      </c>
      <c r="F56" s="62">
        <f>'ASptISptSSv 2yr'!AE54/'T E&amp;G 2YR'!AE54*100</f>
        <v>32.378084551817842</v>
      </c>
      <c r="G56" s="62">
        <f>'SCHOLAR FELLOW 2yr'!AE54/'T E&amp;G 2YR'!AE54*100</f>
        <v>20.135871611976537</v>
      </c>
      <c r="H56" s="62">
        <f>('All Other 2yr'!AE54/'T E&amp;G 2YR'!AE54)*100</f>
        <v>8.1052780685137638</v>
      </c>
      <c r="I56" s="69">
        <f t="shared" si="16"/>
        <v>-1.2508977731045547</v>
      </c>
      <c r="J56" s="107">
        <f t="shared" si="17"/>
        <v>-1.3495393044693757E-2</v>
      </c>
      <c r="K56" s="68">
        <f t="shared" si="18"/>
        <v>-0.13564473207761329</v>
      </c>
      <c r="L56" s="68">
        <f t="shared" si="19"/>
        <v>-0.85895774402024472</v>
      </c>
      <c r="M56" s="68">
        <f t="shared" si="20"/>
        <v>-2.3783004864727992</v>
      </c>
      <c r="N56" s="68">
        <f t="shared" si="21"/>
        <v>4.6372961287198926</v>
      </c>
      <c r="O56" s="16"/>
      <c r="P56" s="37">
        <f>'INSTRUCTION-2YR'!Z54/'T E&amp;G 2YR'!Z54*100</f>
        <v>39.618243919392086</v>
      </c>
      <c r="Q56" s="37">
        <f>('RESEARCH 2yr'!Z54/'T E&amp;G 2YR'!Z54)*100</f>
        <v>0.11361861024388645</v>
      </c>
      <c r="R56" s="37">
        <f>'PUBLIC SERVICE 2yr'!Z54/'T E&amp;G 2YR'!Z54*100</f>
        <v>1.0489411362827352</v>
      </c>
      <c r="S56" s="37">
        <f>'ASptISptSSv 2yr'!Z54/'T E&amp;G 2YR'!Z54*100</f>
        <v>33.237042295838087</v>
      </c>
      <c r="T56" s="38">
        <f>'PLANT OPER MAIN 2yr'!Z54/'T E&amp;G 2YR'!Z54*100</f>
        <v>0</v>
      </c>
      <c r="U56" s="37">
        <f>'SCHOLAR FELLOW 2yr'!Z54/'T E&amp;G 2YR'!Z54*100</f>
        <v>22.514172098449336</v>
      </c>
      <c r="V56" s="36">
        <f>IF((('All Other 2yr'!Z54/'T E&amp;G 2YR'!Z54)*100)&gt;=0.005,('All Other 2yr'!Z54/'T E&amp;G 2YR'!Z54)*100,"*")</f>
        <v>3.4679819397938716</v>
      </c>
      <c r="W56" s="16"/>
      <c r="X56" s="27">
        <f t="shared" si="1"/>
        <v>100</v>
      </c>
      <c r="Y56" s="27">
        <f t="shared" si="22"/>
        <v>100</v>
      </c>
      <c r="Z56" s="29"/>
    </row>
    <row r="57" spans="1:26" s="30" customFormat="1">
      <c r="A57" s="53"/>
      <c r="B57" s="53"/>
      <c r="C57" s="62"/>
      <c r="D57" s="62"/>
      <c r="E57" s="62"/>
      <c r="F57" s="62"/>
      <c r="G57" s="62"/>
      <c r="H57" s="62"/>
      <c r="I57" s="63"/>
      <c r="J57" s="62"/>
      <c r="K57" s="62"/>
      <c r="L57" s="62"/>
      <c r="M57" s="62"/>
      <c r="N57" s="62"/>
      <c r="O57" s="16"/>
      <c r="P57" s="37"/>
      <c r="Q57" s="37"/>
      <c r="R57" s="37"/>
      <c r="S57" s="37"/>
      <c r="T57" s="38"/>
      <c r="U57" s="37"/>
      <c r="V57" s="36"/>
      <c r="W57" s="16"/>
      <c r="X57" s="27"/>
      <c r="Y57" s="27"/>
      <c r="Z57" s="29"/>
    </row>
    <row r="58" spans="1:26" s="30" customFormat="1">
      <c r="A58" s="52" t="s">
        <v>70</v>
      </c>
      <c r="B58" s="52"/>
      <c r="C58" s="64">
        <f>('INSTRUCTION-2YR'!AE56)/('T E&amp;G 2YR'!AE56)*100</f>
        <v>36.802429013053455</v>
      </c>
      <c r="D58" s="64">
        <f>IF((('RESEARCH 2yr'!AE56/'T E&amp;G 2YR'!AE56)*100)=0,('RESEARCH 2yr'!AE56/'T E&amp;G 2YR'!AE56)*100,IF((('RESEARCH 2yr'!AE56/'T E&amp;G 2YR'!AE56)*100)&gt;=0.005,('RESEARCH 2yr'!AE56/'T E&amp;G 2YR'!AE56)*100,"*"))</f>
        <v>0</v>
      </c>
      <c r="E58" s="64">
        <f>'PUBLIC SERVICE 2yr'!AE56/'T E&amp;G 2YR'!AE56*100</f>
        <v>0.18115526782179231</v>
      </c>
      <c r="F58" s="64">
        <f>'ASptISptSSv 2yr'!AE56/'T E&amp;G 2YR'!AE56*100</f>
        <v>31.151226475117383</v>
      </c>
      <c r="G58" s="64">
        <f>'SCHOLAR FELLOW 2yr'!AE56/'T E&amp;G 2YR'!AE56*100</f>
        <v>17.629350722491093</v>
      </c>
      <c r="H58" s="64">
        <f>('All Other 2yr'!AE56/'T E&amp;G 2YR'!AE56)*100</f>
        <v>14.235838521516264</v>
      </c>
      <c r="I58" s="65">
        <f t="shared" ref="I58:I66" si="23">IF((C58-P58)=0,(C58-P58),IF((C58-P58)&gt;=0.005,(C58-P58),IF((C58-P58&lt;=-0.005),(C58-P58),"*")))</f>
        <v>-4.464897471731966</v>
      </c>
      <c r="J58" s="64">
        <f t="shared" ref="J58:J66" si="24">IF((D58-Q58)=0,(D58-Q58),IF((D58-Q58)&gt;=0.005,(D58-Q58),IF((D58-Q58&lt;=-0.005),(D58-Q58),"*")))</f>
        <v>0</v>
      </c>
      <c r="K58" s="64" t="str">
        <f t="shared" ref="K58:K66" si="25">IF((E58-R58)=0,(E58-R58),IF((E58-R58)&gt;=0.005,(E58-R58),IF((E58-R58&lt;=-0.005),(E58-R58),"*")))</f>
        <v>*</v>
      </c>
      <c r="L58" s="64">
        <f t="shared" ref="L58:L66" si="26">IF((F58-S58)=0,(F58-S58),IF((F58-S58)&gt;=0.005,(F58-S58),IF((F58-S58&lt;=-0.005),(F58-S58),"*")))</f>
        <v>-6.0363506942355585</v>
      </c>
      <c r="M58" s="64">
        <f t="shared" ref="M58:M66" si="27">IF((G58-U58)=0,(G58-U58),IF((G58-U58)&gt;=0.005,(G58-U58),IF((G58-U58&lt;=-0.005),(G58-U58),"*")))</f>
        <v>-2.214055118536816</v>
      </c>
      <c r="N58" s="64">
        <f t="shared" ref="N58:N66" si="28">IF((H58-V58)=0,(H58-V58),IF((H58-V58)&gt;=0.005,(H58-V58),IF((H58-V58&lt;=-0.005),(H58-V58),"*")))</f>
        <v>12.718539207969352</v>
      </c>
      <c r="O58" s="16"/>
      <c r="P58" s="37">
        <f>'INSTRUCTION-2YR'!Z56/'T E&amp;G 2YR'!Z56*100</f>
        <v>41.267326484785421</v>
      </c>
      <c r="Q58" s="37">
        <f>('RESEARCH 2yr'!Z56/'T E&amp;G 2YR'!Z56)*100</f>
        <v>0</v>
      </c>
      <c r="R58" s="37">
        <f>'PUBLIC SERVICE 2yr'!Z56/'T E&amp;G 2YR'!Z56*100</f>
        <v>0.18439119128681769</v>
      </c>
      <c r="S58" s="37">
        <f>'ASptISptSSv 2yr'!Z56/'T E&amp;G 2YR'!Z56*100</f>
        <v>37.187577169352942</v>
      </c>
      <c r="T58" s="38">
        <f>'PLANT OPER MAIN 2yr'!Z56/'T E&amp;G 2YR'!Z56*100</f>
        <v>0</v>
      </c>
      <c r="U58" s="37">
        <f>'SCHOLAR FELLOW 2yr'!Z56/'T E&amp;G 2YR'!Z56*100</f>
        <v>19.843405841027909</v>
      </c>
      <c r="V58" s="36">
        <f>IF((('All Other 2yr'!Z56/'T E&amp;G 2YR'!Z56)*100)&gt;=0.005,('All Other 2yr'!Z56/'T E&amp;G 2YR'!Z56)*100,"*")</f>
        <v>1.5172993135469128</v>
      </c>
      <c r="W58" s="16"/>
      <c r="X58" s="27">
        <f t="shared" si="1"/>
        <v>100</v>
      </c>
      <c r="Y58" s="27">
        <f t="shared" ref="Y58:Y66" si="29">SUM(C58:H58)</f>
        <v>100</v>
      </c>
      <c r="Z58" s="29"/>
    </row>
    <row r="59" spans="1:26" s="30" customFormat="1">
      <c r="A59" s="52" t="s">
        <v>71</v>
      </c>
      <c r="B59" s="52"/>
      <c r="C59" s="64">
        <f>('INSTRUCTION-2YR'!AE57)/('T E&amp;G 2YR'!AE57)*100</f>
        <v>42.716479684352024</v>
      </c>
      <c r="D59" s="64">
        <f>IF((('RESEARCH 2yr'!AE57/'T E&amp;G 2YR'!AE57)*100)=0,('RESEARCH 2yr'!AE57/'T E&amp;G 2YR'!AE57)*100,IF((('RESEARCH 2yr'!AE57/'T E&amp;G 2YR'!AE57)*100)&gt;=0.005,('RESEARCH 2yr'!AE57/'T E&amp;G 2YR'!AE57)*100,"*"))</f>
        <v>0</v>
      </c>
      <c r="E59" s="64">
        <f>'PUBLIC SERVICE 2yr'!AE57/'T E&amp;G 2YR'!AE57*100</f>
        <v>0.67443879605131618</v>
      </c>
      <c r="F59" s="64">
        <f>'ASptISptSSv 2yr'!AE57/'T E&amp;G 2YR'!AE57*100</f>
        <v>34.029864921454106</v>
      </c>
      <c r="G59" s="64">
        <f>'SCHOLAR FELLOW 2yr'!AE57/'T E&amp;G 2YR'!AE57*100</f>
        <v>22.532011645356953</v>
      </c>
      <c r="H59" s="106">
        <f>('All Other 2yr'!AE57/'T E&amp;G 2YR'!AE57)*100</f>
        <v>4.7204952785606227E-2</v>
      </c>
      <c r="I59" s="65">
        <f t="shared" si="23"/>
        <v>-0.46959743430810619</v>
      </c>
      <c r="J59" s="64">
        <f t="shared" si="24"/>
        <v>-0.38916576566910616</v>
      </c>
      <c r="K59" s="106">
        <f t="shared" si="25"/>
        <v>2.1269109585047796E-2</v>
      </c>
      <c r="L59" s="64">
        <f t="shared" si="26"/>
        <v>4.9365812164477596</v>
      </c>
      <c r="M59" s="64">
        <f t="shared" si="27"/>
        <v>-4.1192530459302787</v>
      </c>
      <c r="N59" s="106">
        <f t="shared" si="28"/>
        <v>2.0165919874675371E-2</v>
      </c>
      <c r="O59" s="16"/>
      <c r="P59" s="37">
        <f>'INSTRUCTION-2YR'!Z57/'T E&amp;G 2YR'!Z57*100</f>
        <v>43.18607711866013</v>
      </c>
      <c r="Q59" s="37">
        <f>('RESEARCH 2yr'!Z57/'T E&amp;G 2YR'!Z57)*100</f>
        <v>0.38916576566910616</v>
      </c>
      <c r="R59" s="37">
        <f>'PUBLIC SERVICE 2yr'!Z57/'T E&amp;G 2YR'!Z57*100</f>
        <v>0.65316968646626838</v>
      </c>
      <c r="S59" s="37">
        <f>'ASptISptSSv 2yr'!Z57/'T E&amp;G 2YR'!Z57*100</f>
        <v>29.093283705006346</v>
      </c>
      <c r="T59" s="38">
        <f>'PLANT OPER MAIN 2yr'!Z57/'T E&amp;G 2YR'!Z57*100</f>
        <v>0</v>
      </c>
      <c r="U59" s="37">
        <f>'SCHOLAR FELLOW 2yr'!Z57/'T E&amp;G 2YR'!Z57*100</f>
        <v>26.651264691287231</v>
      </c>
      <c r="V59" s="103">
        <f>IF((('All Other 2yr'!Z57/'T E&amp;G 2YR'!Z57)*100)&gt;=0.005,('All Other 2yr'!Z57/'T E&amp;G 2YR'!Z57)*100,"*")</f>
        <v>2.7039032910930856E-2</v>
      </c>
      <c r="W59" s="16"/>
      <c r="X59" s="27">
        <f t="shared" si="1"/>
        <v>100.00000000000001</v>
      </c>
      <c r="Y59" s="27">
        <f t="shared" si="29"/>
        <v>100.00000000000001</v>
      </c>
      <c r="Z59" s="29"/>
    </row>
    <row r="60" spans="1:26" s="30" customFormat="1">
      <c r="A60" s="52" t="s">
        <v>72</v>
      </c>
      <c r="B60" s="52"/>
      <c r="C60" s="64">
        <f>('INSTRUCTION-2YR'!AE58)/('T E&amp;G 2YR'!AE58)*100</f>
        <v>37.023326947062387</v>
      </c>
      <c r="D60" s="64" t="str">
        <f>IF((('RESEARCH 2yr'!AE58/'T E&amp;G 2YR'!AE58)*100)=0,('RESEARCH 2yr'!AE58/'T E&amp;G 2YR'!AE58)*100,IF((('RESEARCH 2yr'!AE58/'T E&amp;G 2YR'!AE58)*100)&gt;=0.005,('RESEARCH 2yr'!AE58/'T E&amp;G 2YR'!AE58)*100,"*"))</f>
        <v>*</v>
      </c>
      <c r="E60" s="64">
        <f>'PUBLIC SERVICE 2yr'!AE58/'T E&amp;G 2YR'!AE58*100</f>
        <v>0.67667287800343445</v>
      </c>
      <c r="F60" s="64">
        <f>'ASptISptSSv 2yr'!AE58/'T E&amp;G 2YR'!AE58*100</f>
        <v>39.182532491821846</v>
      </c>
      <c r="G60" s="64">
        <f>'SCHOLAR FELLOW 2yr'!AE58/'T E&amp;G 2YR'!AE58*100</f>
        <v>18.289969984688678</v>
      </c>
      <c r="H60" s="64">
        <f>('All Other 2yr'!AE58/'T E&amp;G 2YR'!AE58)*100</f>
        <v>4.8254639555966108</v>
      </c>
      <c r="I60" s="65">
        <f t="shared" si="23"/>
        <v>-1.9652654436047854</v>
      </c>
      <c r="J60" s="64" t="str">
        <f t="shared" si="24"/>
        <v>*</v>
      </c>
      <c r="K60" s="64">
        <f t="shared" si="25"/>
        <v>-0.39103268922300927</v>
      </c>
      <c r="L60" s="64">
        <f t="shared" si="26"/>
        <v>2.6671962956516708</v>
      </c>
      <c r="M60" s="64">
        <f t="shared" si="27"/>
        <v>-3.9002404760331224</v>
      </c>
      <c r="N60" s="64">
        <f t="shared" si="28"/>
        <v>3.588416515553841</v>
      </c>
      <c r="O60" s="16"/>
      <c r="P60" s="37">
        <f>'INSTRUCTION-2YR'!Z58/'T E&amp;G 2YR'!Z58*100</f>
        <v>38.988592390667172</v>
      </c>
      <c r="Q60" s="37">
        <f>('RESEARCH 2yr'!Z58/'T E&amp;G 2YR'!Z58)*100</f>
        <v>1.1079451716473081E-3</v>
      </c>
      <c r="R60" s="37">
        <f>'PUBLIC SERVICE 2yr'!Z58/'T E&amp;G 2YR'!Z58*100</f>
        <v>1.0677055672264437</v>
      </c>
      <c r="S60" s="37">
        <f>'ASptISptSSv 2yr'!Z58/'T E&amp;G 2YR'!Z58*100</f>
        <v>36.515336196170175</v>
      </c>
      <c r="T60" s="38">
        <f>'PLANT OPER MAIN 2yr'!Z58/'T E&amp;G 2YR'!Z58*100</f>
        <v>0</v>
      </c>
      <c r="U60" s="37">
        <f>'SCHOLAR FELLOW 2yr'!Z58/'T E&amp;G 2YR'!Z58*100</f>
        <v>22.190210460721801</v>
      </c>
      <c r="V60" s="36">
        <f>IF((('All Other 2yr'!Z58/'T E&amp;G 2YR'!Z58)*100)&gt;=0.005,('All Other 2yr'!Z58/'T E&amp;G 2YR'!Z58)*100,"*")</f>
        <v>1.23704744004277</v>
      </c>
      <c r="W60" s="16"/>
      <c r="X60" s="27">
        <f t="shared" si="1"/>
        <v>100</v>
      </c>
      <c r="Y60" s="27">
        <f t="shared" si="29"/>
        <v>99.997966257172976</v>
      </c>
      <c r="Z60" s="29"/>
    </row>
    <row r="61" spans="1:26" s="30" customFormat="1">
      <c r="A61" s="52" t="s">
        <v>73</v>
      </c>
      <c r="B61" s="52"/>
      <c r="C61" s="64">
        <f>('INSTRUCTION-2YR'!AE59)/('T E&amp;G 2YR'!AE59)*100</f>
        <v>39.881503942539773</v>
      </c>
      <c r="D61" s="64">
        <f>IF((('RESEARCH 2yr'!AE59/'T E&amp;G 2YR'!AE59)*100)=0,('RESEARCH 2yr'!AE59/'T E&amp;G 2YR'!AE59)*100,IF((('RESEARCH 2yr'!AE59/'T E&amp;G 2YR'!AE59)*100)&gt;=0.005,('RESEARCH 2yr'!AE59/'T E&amp;G 2YR'!AE59)*100,"*"))</f>
        <v>0.2592909018959314</v>
      </c>
      <c r="E61" s="64">
        <f>'PUBLIC SERVICE 2yr'!AE59/'T E&amp;G 2YR'!AE59*100</f>
        <v>0.14501217849136736</v>
      </c>
      <c r="F61" s="64">
        <f>'ASptISptSSv 2yr'!AE59/'T E&amp;G 2YR'!AE59*100</f>
        <v>34.004467368397897</v>
      </c>
      <c r="G61" s="64">
        <f>'SCHOLAR FELLOW 2yr'!AE59/'T E&amp;G 2YR'!AE59*100</f>
        <v>16.192456041742222</v>
      </c>
      <c r="H61" s="64">
        <f>('All Other 2yr'!AE59/'T E&amp;G 2YR'!AE59)*100</f>
        <v>9.5172695669328125</v>
      </c>
      <c r="I61" s="65">
        <f t="shared" si="23"/>
        <v>2.2644372492273135</v>
      </c>
      <c r="J61" s="106">
        <f t="shared" si="24"/>
        <v>3.6065979338354287E-2</v>
      </c>
      <c r="K61" s="106">
        <f t="shared" si="25"/>
        <v>4.5432920831051438E-2</v>
      </c>
      <c r="L61" s="64">
        <f t="shared" si="26"/>
        <v>-10.889450398272601</v>
      </c>
      <c r="M61" s="64">
        <f t="shared" si="27"/>
        <v>-0.97375449089050647</v>
      </c>
      <c r="N61" s="64">
        <f t="shared" si="28"/>
        <v>9.5172695669328125</v>
      </c>
      <c r="O61" s="16"/>
      <c r="P61" s="37">
        <f>'INSTRUCTION-2YR'!Z59/'T E&amp;G 2YR'!Z59*100</f>
        <v>37.617066693312459</v>
      </c>
      <c r="Q61" s="37">
        <f>('RESEARCH 2yr'!Z59/'T E&amp;G 2YR'!Z59)*100</f>
        <v>0.22322492255757712</v>
      </c>
      <c r="R61" s="37">
        <f>'PUBLIC SERVICE 2yr'!Z59/'T E&amp;G 2YR'!Z59*100</f>
        <v>9.9579257660315917E-2</v>
      </c>
      <c r="S61" s="37">
        <f>'ASptISptSSv 2yr'!Z59/'T E&amp;G 2YR'!Z59*100</f>
        <v>44.893917766670498</v>
      </c>
      <c r="T61" s="38">
        <f>'PLANT OPER MAIN 2yr'!Z59/'T E&amp;G 2YR'!Z59*100</f>
        <v>0</v>
      </c>
      <c r="U61" s="37">
        <f>'SCHOLAR FELLOW 2yr'!Z59/'T E&amp;G 2YR'!Z59*100</f>
        <v>17.166210532632729</v>
      </c>
      <c r="V61" s="36" t="str">
        <f>IF((('All Other 2yr'!Z59/'T E&amp;G 2YR'!Z59)*100)&gt;=0.005,('All Other 2yr'!Z59/'T E&amp;G 2YR'!Z59)*100,"*")</f>
        <v>*</v>
      </c>
      <c r="W61" s="16"/>
      <c r="X61" s="27">
        <f t="shared" si="1"/>
        <v>99.999999172833583</v>
      </c>
      <c r="Y61" s="27">
        <f t="shared" si="29"/>
        <v>100</v>
      </c>
      <c r="Z61" s="29"/>
    </row>
    <row r="62" spans="1:26" s="30" customFormat="1">
      <c r="A62" s="53" t="s">
        <v>74</v>
      </c>
      <c r="B62" s="53"/>
      <c r="C62" s="62">
        <f>('INSTRUCTION-2YR'!AE60)/('T E&amp;G 2YR'!AE60)*100</f>
        <v>34.021656589517249</v>
      </c>
      <c r="D62" s="62">
        <f>IF((('RESEARCH 2yr'!AE60/'T E&amp;G 2YR'!AE60)*100)=0,('RESEARCH 2yr'!AE60/'T E&amp;G 2YR'!AE60)*100,IF((('RESEARCH 2yr'!AE60/'T E&amp;G 2YR'!AE60)*100)&gt;=0.005,('RESEARCH 2yr'!AE60/'T E&amp;G 2YR'!AE60)*100,"*"))</f>
        <v>0.20491181231312516</v>
      </c>
      <c r="E62" s="62">
        <f>'PUBLIC SERVICE 2yr'!AE60/'T E&amp;G 2YR'!AE60*100</f>
        <v>2.1323018842559982</v>
      </c>
      <c r="F62" s="62">
        <f>'ASptISptSSv 2yr'!AE60/'T E&amp;G 2YR'!AE60*100</f>
        <v>32.248950573627717</v>
      </c>
      <c r="G62" s="62">
        <f>'SCHOLAR FELLOW 2yr'!AE60/'T E&amp;G 2YR'!AE60*100</f>
        <v>19.36816738325501</v>
      </c>
      <c r="H62" s="62">
        <f>('All Other 2yr'!AE60/'T E&amp;G 2YR'!AE60)*100</f>
        <v>12.024011757030904</v>
      </c>
      <c r="I62" s="63">
        <f t="shared" si="23"/>
        <v>-2.6161076832172228</v>
      </c>
      <c r="J62" s="105">
        <f t="shared" si="24"/>
        <v>1.0831773328090516E-2</v>
      </c>
      <c r="K62" s="105">
        <f t="shared" si="25"/>
        <v>-3.2537762615387766E-2</v>
      </c>
      <c r="L62" s="62">
        <f t="shared" si="26"/>
        <v>7.1649633990510608E-2</v>
      </c>
      <c r="M62" s="62">
        <f t="shared" si="27"/>
        <v>-4.3052691572649842</v>
      </c>
      <c r="N62" s="62">
        <f t="shared" si="28"/>
        <v>6.8714331957789838</v>
      </c>
      <c r="O62" s="16"/>
      <c r="P62" s="37">
        <f>'INSTRUCTION-2YR'!Z60/'T E&amp;G 2YR'!Z60*100</f>
        <v>36.637764272734472</v>
      </c>
      <c r="Q62" s="37">
        <f>('RESEARCH 2yr'!Z60/'T E&amp;G 2YR'!Z60)*100</f>
        <v>0.19408003898503465</v>
      </c>
      <c r="R62" s="37">
        <f>'PUBLIC SERVICE 2yr'!Z60/'T E&amp;G 2YR'!Z60*100</f>
        <v>2.164839646871386</v>
      </c>
      <c r="S62" s="37">
        <f>'ASptISptSSv 2yr'!Z60/'T E&amp;G 2YR'!Z60*100</f>
        <v>32.177300939637206</v>
      </c>
      <c r="T62" s="38">
        <f>'PLANT OPER MAIN 2yr'!Z60/'T E&amp;G 2YR'!Z60*100</f>
        <v>0</v>
      </c>
      <c r="U62" s="37">
        <f>'SCHOLAR FELLOW 2yr'!Z60/'T E&amp;G 2YR'!Z60*100</f>
        <v>23.673436540519994</v>
      </c>
      <c r="V62" s="36">
        <f>IF((('All Other 2yr'!Z60/'T E&amp;G 2YR'!Z60)*100)&gt;=0.005,('All Other 2yr'!Z60/'T E&amp;G 2YR'!Z60)*100,"*")</f>
        <v>5.1525785612519197</v>
      </c>
      <c r="W62" s="16"/>
      <c r="X62" s="27">
        <f t="shared" si="1"/>
        <v>100</v>
      </c>
      <c r="Y62" s="27">
        <f t="shared" si="29"/>
        <v>100</v>
      </c>
      <c r="Z62" s="29"/>
    </row>
    <row r="63" spans="1:26" s="30" customFormat="1">
      <c r="A63" s="53" t="s">
        <v>75</v>
      </c>
      <c r="B63" s="53"/>
      <c r="C63" s="62">
        <f>('INSTRUCTION-2YR'!AE61)/('T E&amp;G 2YR'!AE61)*100</f>
        <v>40.228243171443637</v>
      </c>
      <c r="D63" s="62">
        <f>IF((('RESEARCH 2yr'!AE61/'T E&amp;G 2YR'!AE61)*100)=0,('RESEARCH 2yr'!AE61/'T E&amp;G 2YR'!AE61)*100,IF((('RESEARCH 2yr'!AE61/'T E&amp;G 2YR'!AE61)*100)&gt;=0.005,('RESEARCH 2yr'!AE61/'T E&amp;G 2YR'!AE61)*100,"*"))</f>
        <v>0.13787859826117024</v>
      </c>
      <c r="E63" s="62">
        <f>'PUBLIC SERVICE 2yr'!AE61/'T E&amp;G 2YR'!AE61*100</f>
        <v>0.84321070883848559</v>
      </c>
      <c r="F63" s="62">
        <f>'ASptISptSSv 2yr'!AE61/'T E&amp;G 2YR'!AE61*100</f>
        <v>30.163981108881622</v>
      </c>
      <c r="G63" s="62">
        <f>'SCHOLAR FELLOW 2yr'!AE61/'T E&amp;G 2YR'!AE61*100</f>
        <v>21.514166641835768</v>
      </c>
      <c r="H63" s="62">
        <f>('All Other 2yr'!AE61/'T E&amp;G 2YR'!AE61)*100</f>
        <v>7.1125197707393202</v>
      </c>
      <c r="I63" s="63">
        <f t="shared" si="23"/>
        <v>-0.28747782224155571</v>
      </c>
      <c r="J63" s="105">
        <f t="shared" si="24"/>
        <v>-1.8624941640672854E-2</v>
      </c>
      <c r="K63" s="105">
        <f t="shared" si="25"/>
        <v>1.2543344098450149E-2</v>
      </c>
      <c r="L63" s="62">
        <f t="shared" si="26"/>
        <v>-1.5543492366836986</v>
      </c>
      <c r="M63" s="62">
        <f t="shared" si="27"/>
        <v>-1.6971945870629099</v>
      </c>
      <c r="N63" s="62">
        <f t="shared" si="28"/>
        <v>3.5451032435303946</v>
      </c>
      <c r="O63" s="16"/>
      <c r="P63" s="37">
        <f>'INSTRUCTION-2YR'!Z61/'T E&amp;G 2YR'!Z61*100</f>
        <v>40.515720993685193</v>
      </c>
      <c r="Q63" s="37">
        <f>('RESEARCH 2yr'!Z61/'T E&amp;G 2YR'!Z61)*100</f>
        <v>0.1565035399018431</v>
      </c>
      <c r="R63" s="37">
        <f>'PUBLIC SERVICE 2yr'!Z61/'T E&amp;G 2YR'!Z61*100</f>
        <v>0.83066736474003544</v>
      </c>
      <c r="S63" s="37">
        <f>'ASptISptSSv 2yr'!Z61/'T E&amp;G 2YR'!Z61*100</f>
        <v>31.71833034556532</v>
      </c>
      <c r="T63" s="38">
        <f>'PLANT OPER MAIN 2yr'!Z61/'T E&amp;G 2YR'!Z61*100</f>
        <v>0</v>
      </c>
      <c r="U63" s="37">
        <f>'SCHOLAR FELLOW 2yr'!Z61/'T E&amp;G 2YR'!Z61*100</f>
        <v>23.211361228898678</v>
      </c>
      <c r="V63" s="36">
        <f>IF((('All Other 2yr'!Z61/'T E&amp;G 2YR'!Z61)*100)&gt;=0.005,('All Other 2yr'!Z61/'T E&amp;G 2YR'!Z61)*100,"*")</f>
        <v>3.5674165272089255</v>
      </c>
      <c r="W63" s="16"/>
      <c r="X63" s="27">
        <f t="shared" si="1"/>
        <v>99.999999999999986</v>
      </c>
      <c r="Y63" s="27">
        <f t="shared" si="29"/>
        <v>100.00000000000001</v>
      </c>
      <c r="Z63" s="29"/>
    </row>
    <row r="64" spans="1:26" s="30" customFormat="1">
      <c r="A64" s="53" t="s">
        <v>76</v>
      </c>
      <c r="B64" s="53"/>
      <c r="C64" s="62">
        <f>('INSTRUCTION-2YR'!AE62)/('T E&amp;G 2YR'!AE62)*100</f>
        <v>38.765826283272901</v>
      </c>
      <c r="D64" s="62">
        <f>IF((('RESEARCH 2yr'!AE62/'T E&amp;G 2YR'!AE62)*100)=0,('RESEARCH 2yr'!AE62/'T E&amp;G 2YR'!AE62)*100,IF((('RESEARCH 2yr'!AE62/'T E&amp;G 2YR'!AE62)*100)&gt;=0.005,('RESEARCH 2yr'!AE62/'T E&amp;G 2YR'!AE62)*100,"*"))</f>
        <v>0</v>
      </c>
      <c r="E64" s="62">
        <f>'PUBLIC SERVICE 2yr'!AE62/'T E&amp;G 2YR'!AE62*100</f>
        <v>0.27476284492701841</v>
      </c>
      <c r="F64" s="62">
        <f>'ASptISptSSv 2yr'!AE62/'T E&amp;G 2YR'!AE62*100</f>
        <v>33.741516939051913</v>
      </c>
      <c r="G64" s="62">
        <f>'SCHOLAR FELLOW 2yr'!AE62/'T E&amp;G 2YR'!AE62*100</f>
        <v>19.083195055730581</v>
      </c>
      <c r="H64" s="62">
        <f>('All Other 2yr'!AE62/'T E&amp;G 2YR'!AE62)*100</f>
        <v>8.1346988770175912</v>
      </c>
      <c r="I64" s="63">
        <f t="shared" si="23"/>
        <v>-0.91836321673260812</v>
      </c>
      <c r="J64" s="62" t="str">
        <f t="shared" si="24"/>
        <v>*</v>
      </c>
      <c r="K64" s="105">
        <f t="shared" si="25"/>
        <v>-1.9615208792341909E-2</v>
      </c>
      <c r="L64" s="62">
        <f t="shared" si="26"/>
        <v>-0.31334307209670698</v>
      </c>
      <c r="M64" s="62">
        <f t="shared" si="27"/>
        <v>-1.7847759314105467</v>
      </c>
      <c r="N64" s="62">
        <f t="shared" si="28"/>
        <v>3.0397701154196541</v>
      </c>
      <c r="O64" s="16"/>
      <c r="P64" s="37">
        <f>'INSTRUCTION-2YR'!Z62/'T E&amp;G 2YR'!Z62*100</f>
        <v>39.684189500005509</v>
      </c>
      <c r="Q64" s="37">
        <f>('RESEARCH 2yr'!Z62/'T E&amp;G 2YR'!Z62)*100</f>
        <v>3.6726863874456022E-3</v>
      </c>
      <c r="R64" s="37">
        <f>'PUBLIC SERVICE 2yr'!Z62/'T E&amp;G 2YR'!Z62*100</f>
        <v>0.29437805371936032</v>
      </c>
      <c r="S64" s="37">
        <f>'ASptISptSSv 2yr'!Z62/'T E&amp;G 2YR'!Z62*100</f>
        <v>34.054860011148619</v>
      </c>
      <c r="T64" s="38">
        <f>'PLANT OPER MAIN 2yr'!Z62/'T E&amp;G 2YR'!Z62*100</f>
        <v>0</v>
      </c>
      <c r="U64" s="37">
        <f>'SCHOLAR FELLOW 2yr'!Z62/'T E&amp;G 2YR'!Z62*100</f>
        <v>20.867970987141128</v>
      </c>
      <c r="V64" s="36">
        <f>IF((('All Other 2yr'!Z62/'T E&amp;G 2YR'!Z62)*100)&gt;=0.005,('All Other 2yr'!Z62/'T E&amp;G 2YR'!Z62)*100,"*")</f>
        <v>5.0949287615979371</v>
      </c>
      <c r="W64" s="16"/>
      <c r="X64" s="27">
        <f t="shared" si="1"/>
        <v>100</v>
      </c>
      <c r="Y64" s="27">
        <f t="shared" si="29"/>
        <v>100</v>
      </c>
      <c r="Z64" s="29"/>
    </row>
    <row r="65" spans="1:30" s="30" customFormat="1">
      <c r="A65" s="53" t="s">
        <v>77</v>
      </c>
      <c r="B65" s="53"/>
      <c r="C65" s="62">
        <f>('INSTRUCTION-2YR'!AE63)/('T E&amp;G 2YR'!AE63)*100</f>
        <v>41.934106025129189</v>
      </c>
      <c r="D65" s="62">
        <f>IF((('RESEARCH 2yr'!AE63/'T E&amp;G 2YR'!AE63)*100)=0,('RESEARCH 2yr'!AE63/'T E&amp;G 2YR'!AE63)*100,IF((('RESEARCH 2yr'!AE63/'T E&amp;G 2YR'!AE63)*100)&gt;=0.005,('RESEARCH 2yr'!AE63/'T E&amp;G 2YR'!AE63)*100,"*"))</f>
        <v>0</v>
      </c>
      <c r="E65" s="62">
        <f>'PUBLIC SERVICE 2yr'!AE63/'T E&amp;G 2YR'!AE63*100</f>
        <v>0.70969764186456363</v>
      </c>
      <c r="F65" s="62">
        <f>'ASptISptSSv 2yr'!AE63/'T E&amp;G 2YR'!AE63*100</f>
        <v>30.720909854274943</v>
      </c>
      <c r="G65" s="62">
        <f>'SCHOLAR FELLOW 2yr'!AE63/'T E&amp;G 2YR'!AE63*100</f>
        <v>24.13212413919257</v>
      </c>
      <c r="H65" s="62">
        <f>('All Other 2yr'!AE63/'T E&amp;G 2YR'!AE63)*100</f>
        <v>2.5031623395387341</v>
      </c>
      <c r="I65" s="63">
        <f t="shared" si="23"/>
        <v>-2.3851277235399309</v>
      </c>
      <c r="J65" s="62">
        <f t="shared" si="24"/>
        <v>0</v>
      </c>
      <c r="K65" s="62">
        <f t="shared" si="25"/>
        <v>-0.33157993408976238</v>
      </c>
      <c r="L65" s="62">
        <f t="shared" si="26"/>
        <v>-1.0517532547357362</v>
      </c>
      <c r="M65" s="62">
        <f t="shared" si="27"/>
        <v>1.2652985728266941</v>
      </c>
      <c r="N65" s="62">
        <f t="shared" si="28"/>
        <v>2.5031623395387341</v>
      </c>
      <c r="O65" s="16"/>
      <c r="P65" s="37">
        <f>'INSTRUCTION-2YR'!Z63/'T E&amp;G 2YR'!Z63*100</f>
        <v>44.31923374866912</v>
      </c>
      <c r="Q65" s="37">
        <f>('RESEARCH 2yr'!Z63/'T E&amp;G 2YR'!Z63)*100</f>
        <v>0</v>
      </c>
      <c r="R65" s="37">
        <f>'PUBLIC SERVICE 2yr'!Z63/'T E&amp;G 2YR'!Z63*100</f>
        <v>1.041277575954326</v>
      </c>
      <c r="S65" s="37">
        <f>'ASptISptSSv 2yr'!Z63/'T E&amp;G 2YR'!Z63*100</f>
        <v>31.772663109010679</v>
      </c>
      <c r="T65" s="38">
        <f>'PLANT OPER MAIN 2yr'!Z63/'T E&amp;G 2YR'!Z63*100</f>
        <v>0</v>
      </c>
      <c r="U65" s="37">
        <f>'SCHOLAR FELLOW 2yr'!Z63/'T E&amp;G 2YR'!Z63*100</f>
        <v>22.866825566365875</v>
      </c>
      <c r="V65" s="36" t="str">
        <f>IF((('All Other 2yr'!Z63/'T E&amp;G 2YR'!Z63)*100)&gt;=0.005,('All Other 2yr'!Z63/'T E&amp;G 2YR'!Z63)*100,"*")</f>
        <v>*</v>
      </c>
      <c r="W65" s="16"/>
      <c r="X65" s="27">
        <f t="shared" si="1"/>
        <v>100</v>
      </c>
      <c r="Y65" s="27">
        <f t="shared" si="29"/>
        <v>100</v>
      </c>
      <c r="Z65" s="29"/>
      <c r="AA65" s="29"/>
      <c r="AB65" s="29"/>
      <c r="AC65" s="29"/>
      <c r="AD65" s="29"/>
    </row>
    <row r="66" spans="1:30" s="30" customFormat="1">
      <c r="A66" s="54" t="s">
        <v>78</v>
      </c>
      <c r="B66" s="54"/>
      <c r="C66" s="62">
        <f>('INSTRUCTION-2YR'!AE64)/('T E&amp;G 2YR'!AE64)*100</f>
        <v>25.097190464036728</v>
      </c>
      <c r="D66" s="62">
        <f>IF((('RESEARCH 2yr'!AE64/'T E&amp;G 2YR'!AE64)*100)=0,('RESEARCH 2yr'!AE64/'T E&amp;G 2YR'!AE64)*100,IF((('RESEARCH 2yr'!AE64/'T E&amp;G 2YR'!AE64)*100)&gt;=0.005,('RESEARCH 2yr'!AE64/'T E&amp;G 2YR'!AE64)*100,"*"))</f>
        <v>0</v>
      </c>
      <c r="E66" s="62">
        <f>'PUBLIC SERVICE 2yr'!AE64/'T E&amp;G 2YR'!AE64*100</f>
        <v>4.5001489813977846</v>
      </c>
      <c r="F66" s="62">
        <f>'ASptISptSSv 2yr'!AE64/'T E&amp;G 2YR'!AE64*100</f>
        <v>51.466582708606801</v>
      </c>
      <c r="G66" s="62">
        <f>'SCHOLAR FELLOW 2yr'!AE64/'T E&amp;G 2YR'!AE64*100</f>
        <v>18.936075175083857</v>
      </c>
      <c r="H66" s="62">
        <f>('All Other 2yr'!AE64/'T E&amp;G 2YR'!AE64)*100</f>
        <v>2.6708748258188985E-6</v>
      </c>
      <c r="I66" s="61">
        <f t="shared" si="23"/>
        <v>-10.121259184105</v>
      </c>
      <c r="J66" s="60">
        <f t="shared" si="24"/>
        <v>0</v>
      </c>
      <c r="K66" s="60">
        <f t="shared" si="25"/>
        <v>-5.4301464795310848</v>
      </c>
      <c r="L66" s="60">
        <f t="shared" si="26"/>
        <v>13.173173076977065</v>
      </c>
      <c r="M66" s="60">
        <f t="shared" si="27"/>
        <v>2.3782299157841784</v>
      </c>
      <c r="N66" s="60" t="str">
        <f t="shared" si="28"/>
        <v>*</v>
      </c>
      <c r="O66" s="16"/>
      <c r="P66" s="37">
        <f>'INSTRUCTION-2YR'!Z64/'T E&amp;G 2YR'!Z64*100</f>
        <v>35.218449648141728</v>
      </c>
      <c r="Q66" s="37">
        <f>('RESEARCH 2yr'!Z64/'T E&amp;G 2YR'!Z64)*100</f>
        <v>0</v>
      </c>
      <c r="R66" s="37">
        <f>'PUBLIC SERVICE 2yr'!Z64/'T E&amp;G 2YR'!Z64*100</f>
        <v>9.9302954609288694</v>
      </c>
      <c r="S66" s="37">
        <f>'ASptISptSSv 2yr'!Z64/'T E&amp;G 2YR'!Z64*100</f>
        <v>38.293409631629736</v>
      </c>
      <c r="T66" s="38">
        <f>'PLANT OPER MAIN 2yr'!Z64/'T E&amp;G 2YR'!Z64*100</f>
        <v>0</v>
      </c>
      <c r="U66" s="37">
        <f>'SCHOLAR FELLOW 2yr'!Z64/'T E&amp;G 2YR'!Z64*100</f>
        <v>16.557845259299679</v>
      </c>
      <c r="V66" s="36" t="str">
        <f>IF((('All Other 2yr'!Z64/'T E&amp;G 2YR'!Z64)*100)&gt;=0.005,('All Other 2yr'!Z64/'T E&amp;G 2YR'!Z64)*100,"*")</f>
        <v>*</v>
      </c>
      <c r="W66" s="16"/>
      <c r="X66" s="27">
        <f t="shared" si="1"/>
        <v>100.00000000000001</v>
      </c>
      <c r="Y66" s="27">
        <f t="shared" si="29"/>
        <v>99.999999999999986</v>
      </c>
      <c r="Z66" s="29"/>
      <c r="AA66" s="29"/>
      <c r="AB66" s="29"/>
      <c r="AC66" s="29"/>
      <c r="AD66" s="29"/>
    </row>
    <row r="67" spans="1:30" s="30" customFormat="1">
      <c r="A67" s="45" t="s">
        <v>79</v>
      </c>
      <c r="B67" s="45"/>
      <c r="C67" s="70" t="s">
        <v>90</v>
      </c>
      <c r="D67" s="70" t="s">
        <v>90</v>
      </c>
      <c r="E67" s="70" t="s">
        <v>90</v>
      </c>
      <c r="F67" s="70" t="s">
        <v>90</v>
      </c>
      <c r="G67" s="70" t="s">
        <v>90</v>
      </c>
      <c r="H67" s="70" t="s">
        <v>90</v>
      </c>
      <c r="I67" s="71" t="s">
        <v>90</v>
      </c>
      <c r="J67" s="70" t="s">
        <v>90</v>
      </c>
      <c r="K67" s="70" t="s">
        <v>90</v>
      </c>
      <c r="L67" s="70" t="s">
        <v>90</v>
      </c>
      <c r="M67" s="70" t="s">
        <v>90</v>
      </c>
      <c r="N67" s="70" t="s">
        <v>90</v>
      </c>
      <c r="O67" s="16"/>
      <c r="P67" s="37"/>
      <c r="Q67" s="37"/>
      <c r="R67" s="37"/>
      <c r="S67" s="37"/>
      <c r="T67" s="38"/>
      <c r="U67" s="37"/>
      <c r="V67" s="36"/>
      <c r="W67" s="16"/>
      <c r="X67" s="27"/>
      <c r="Y67" s="27"/>
      <c r="Z67" s="29"/>
      <c r="AA67" s="29"/>
      <c r="AB67" s="29"/>
      <c r="AC67" s="29"/>
      <c r="AD67" s="29"/>
    </row>
    <row r="68" spans="1:30" s="30" customFormat="1">
      <c r="A68" s="21"/>
      <c r="B68"/>
      <c r="C68"/>
      <c r="D68"/>
      <c r="E68"/>
      <c r="F68"/>
      <c r="G68" s="28"/>
      <c r="H68"/>
      <c r="I68"/>
      <c r="J68" s="29"/>
      <c r="K68" s="29"/>
      <c r="L68" s="28"/>
      <c r="M68" s="28"/>
      <c r="N68" s="28"/>
      <c r="O68" s="16"/>
      <c r="P68" s="16"/>
      <c r="Q68" s="16"/>
      <c r="R68" s="16"/>
      <c r="S68" s="16"/>
      <c r="T68" s="16"/>
      <c r="U68" s="16"/>
      <c r="V68" s="16"/>
      <c r="W68" s="16"/>
      <c r="X68" s="29"/>
      <c r="Y68" s="29"/>
      <c r="Z68" s="29"/>
      <c r="AA68" s="29"/>
      <c r="AB68" s="29"/>
      <c r="AC68" s="29"/>
      <c r="AD68" s="29"/>
    </row>
    <row r="69" spans="1:30" ht="27.75" customHeight="1">
      <c r="A69" s="102" t="s">
        <v>91</v>
      </c>
      <c r="I69" s="111" t="s">
        <v>81</v>
      </c>
      <c r="J69" s="112"/>
      <c r="K69" s="112"/>
      <c r="L69" s="112"/>
      <c r="M69" s="112"/>
      <c r="N69" s="112"/>
      <c r="O69" s="17"/>
      <c r="P69" s="17"/>
      <c r="Q69" s="17"/>
      <c r="R69" s="17"/>
      <c r="S69" s="17"/>
      <c r="T69" s="17"/>
      <c r="U69" s="17"/>
      <c r="V69" s="17"/>
      <c r="W69" s="17"/>
      <c r="X69" s="1"/>
      <c r="Y69" s="14"/>
      <c r="Z69" s="1"/>
      <c r="AA69" s="1"/>
      <c r="AB69" s="1"/>
      <c r="AC69" s="1"/>
      <c r="AD69" s="1"/>
    </row>
    <row r="70" spans="1:30" ht="18" customHeight="1">
      <c r="A70" s="21" t="s">
        <v>92</v>
      </c>
      <c r="K70" s="14"/>
      <c r="L70" s="14"/>
      <c r="M70" s="14"/>
      <c r="N70" s="14"/>
      <c r="O70" s="17"/>
      <c r="P70" s="17"/>
      <c r="Q70" s="17"/>
      <c r="R70" s="17"/>
      <c r="S70" s="17"/>
      <c r="T70" s="17"/>
      <c r="U70" s="17"/>
      <c r="V70" s="17"/>
      <c r="W70" s="17"/>
      <c r="X70" s="1"/>
      <c r="Y70" s="14"/>
      <c r="Z70" s="1"/>
      <c r="AA70" s="1"/>
      <c r="AB70" s="1"/>
      <c r="AC70" s="1"/>
      <c r="AD70" s="1"/>
    </row>
    <row r="71" spans="1:30" ht="115.5" customHeight="1">
      <c r="A71" s="111" t="s">
        <v>93</v>
      </c>
      <c r="B71" s="110"/>
      <c r="C71" s="110"/>
      <c r="D71" s="110"/>
      <c r="E71" s="110"/>
      <c r="F71" s="110"/>
      <c r="G71" s="110"/>
      <c r="H71" s="28"/>
      <c r="I71" s="28"/>
      <c r="J71" s="28"/>
      <c r="K71" s="28"/>
      <c r="L71" s="28"/>
      <c r="M71" s="28"/>
      <c r="N71" s="28"/>
      <c r="O71" s="17"/>
      <c r="P71" s="17"/>
      <c r="Q71" s="17"/>
      <c r="R71" s="17"/>
      <c r="S71" s="17"/>
      <c r="T71" s="17"/>
      <c r="U71" s="17"/>
      <c r="V71" s="17"/>
      <c r="W71" s="17"/>
      <c r="X71" s="1"/>
      <c r="Y71" s="14"/>
      <c r="Z71" s="1"/>
      <c r="AA71" s="1"/>
      <c r="AB71" s="1"/>
      <c r="AC71" s="1"/>
      <c r="AD71" s="1"/>
    </row>
    <row r="72" spans="1:30" ht="48.75" customHeight="1">
      <c r="A72" s="111" t="s">
        <v>83</v>
      </c>
      <c r="B72" s="110"/>
      <c r="C72" s="110"/>
      <c r="D72" s="110"/>
      <c r="E72" s="110"/>
      <c r="F72" s="110"/>
      <c r="G72" s="110"/>
      <c r="H72" s="110"/>
      <c r="I72" s="28"/>
      <c r="J72" s="28"/>
      <c r="K72" s="28"/>
      <c r="L72" s="28"/>
      <c r="M72" s="28"/>
      <c r="N72" s="28"/>
      <c r="O72" s="17"/>
      <c r="P72" s="17"/>
      <c r="Q72" s="17"/>
      <c r="R72" s="17"/>
      <c r="S72" s="17"/>
      <c r="T72" s="17"/>
      <c r="U72" s="17"/>
      <c r="V72" s="17"/>
      <c r="W72" s="17"/>
      <c r="X72" s="1"/>
      <c r="Y72" s="14"/>
      <c r="Z72" s="1"/>
      <c r="AA72" s="1"/>
      <c r="AB72" s="1"/>
      <c r="AC72" s="1"/>
      <c r="AD72" s="1"/>
    </row>
    <row r="73" spans="1:30" ht="48.75" customHeight="1">
      <c r="A73" s="111" t="s">
        <v>84</v>
      </c>
      <c r="B73" s="110"/>
      <c r="C73" s="110"/>
      <c r="D73" s="110"/>
      <c r="E73" s="110"/>
      <c r="F73" s="110"/>
      <c r="G73" s="110"/>
      <c r="H73" s="26"/>
      <c r="I73" s="26"/>
      <c r="J73" s="26"/>
      <c r="K73" s="26"/>
      <c r="L73" s="26"/>
      <c r="M73" s="26"/>
      <c r="N73" s="18"/>
      <c r="O73"/>
      <c r="P73"/>
      <c r="Q73"/>
      <c r="R73"/>
      <c r="S73"/>
      <c r="T73"/>
      <c r="U73"/>
      <c r="V73"/>
      <c r="W73"/>
    </row>
    <row r="74" spans="1:30">
      <c r="A74" s="31"/>
      <c r="B74" s="14"/>
      <c r="C74" s="1"/>
      <c r="D74" s="1"/>
      <c r="E74" s="1"/>
      <c r="F74" s="1"/>
      <c r="G74" s="1"/>
      <c r="H74" s="1"/>
      <c r="I74" s="1"/>
      <c r="J74" s="1"/>
      <c r="K74" s="1"/>
      <c r="L74" s="1"/>
      <c r="M74" s="1"/>
      <c r="N74" s="1" t="s">
        <v>85</v>
      </c>
      <c r="O74" s="8"/>
      <c r="P74" s="8"/>
      <c r="Q74" s="8"/>
      <c r="R74" s="8"/>
      <c r="S74" s="8"/>
      <c r="T74" s="8"/>
      <c r="U74" s="8"/>
      <c r="V74" s="8"/>
      <c r="W74" s="8"/>
      <c r="X74" s="1"/>
      <c r="Y74" s="1"/>
      <c r="Z74" s="1"/>
      <c r="AA74" s="1"/>
      <c r="AB74" s="1"/>
      <c r="AC74" s="1"/>
      <c r="AD74" s="1"/>
    </row>
    <row r="75" spans="1:30">
      <c r="A75" s="1"/>
      <c r="B75" s="1"/>
      <c r="C75" s="1"/>
      <c r="D75" s="1"/>
      <c r="E75" s="1"/>
      <c r="F75" s="1"/>
      <c r="G75" s="1"/>
      <c r="H75" s="1"/>
      <c r="I75" s="1"/>
      <c r="J75" s="1"/>
      <c r="K75" s="1"/>
      <c r="L75" s="1"/>
      <c r="M75" s="1"/>
      <c r="N75" s="1"/>
      <c r="O75" s="8"/>
      <c r="P75" s="8"/>
      <c r="Q75" s="8"/>
      <c r="R75" s="8"/>
      <c r="S75" s="8"/>
      <c r="T75" s="8"/>
      <c r="U75" s="8"/>
      <c r="V75" s="8"/>
      <c r="W75" s="8"/>
      <c r="X75" s="1"/>
      <c r="Y75" s="1"/>
      <c r="Z75" s="1"/>
      <c r="AA75" s="1"/>
      <c r="AB75" s="1"/>
      <c r="AC75" s="1"/>
      <c r="AD75" s="1"/>
    </row>
    <row r="76" spans="1:30">
      <c r="A76" s="1"/>
      <c r="B76" s="1"/>
      <c r="C76" s="1"/>
      <c r="D76" s="1"/>
      <c r="E76" s="1"/>
      <c r="F76" s="1"/>
      <c r="G76" s="1"/>
      <c r="H76" s="1"/>
      <c r="I76" s="1"/>
      <c r="J76" s="1"/>
      <c r="K76" s="1"/>
      <c r="L76" s="1"/>
      <c r="M76" s="1"/>
      <c r="N76" s="1"/>
      <c r="O76" s="8"/>
      <c r="P76" s="8"/>
      <c r="Q76" s="8"/>
      <c r="R76" s="8"/>
      <c r="S76" s="8"/>
      <c r="T76" s="8"/>
      <c r="U76" s="8"/>
      <c r="V76" s="8"/>
      <c r="W76" s="8"/>
      <c r="X76" s="1"/>
      <c r="Y76" s="1"/>
      <c r="Z76" s="1"/>
      <c r="AA76" s="1"/>
      <c r="AB76" s="1"/>
      <c r="AC76" s="1"/>
      <c r="AD76" s="1"/>
    </row>
    <row r="77" spans="1:30">
      <c r="A77" s="1"/>
      <c r="B77" s="1"/>
      <c r="C77" s="1"/>
      <c r="D77" s="1"/>
      <c r="E77" s="1"/>
      <c r="F77" s="1"/>
      <c r="G77" s="1"/>
      <c r="H77" s="1"/>
      <c r="I77" s="1"/>
      <c r="J77" s="1"/>
      <c r="K77" s="1"/>
      <c r="L77" s="1"/>
      <c r="M77" s="1"/>
      <c r="N77" s="1"/>
      <c r="O77" s="8"/>
      <c r="P77" s="8"/>
      <c r="Q77" s="8"/>
      <c r="R77" s="8"/>
      <c r="S77" s="8"/>
      <c r="T77" s="8"/>
      <c r="U77" s="8"/>
      <c r="V77" s="8"/>
      <c r="W77" s="8"/>
      <c r="X77" s="1"/>
      <c r="Y77" s="1"/>
      <c r="Z77" s="1"/>
      <c r="AA77" s="1"/>
      <c r="AB77" s="1"/>
      <c r="AC77" s="1"/>
      <c r="AD77" s="1"/>
    </row>
    <row r="78" spans="1:30">
      <c r="A78" s="1"/>
      <c r="B78" s="1"/>
      <c r="C78" s="1"/>
      <c r="D78" s="1"/>
      <c r="E78" s="1"/>
      <c r="F78" s="1"/>
      <c r="G78" s="1"/>
      <c r="H78" s="1"/>
      <c r="I78" s="1"/>
      <c r="J78" s="1"/>
      <c r="K78" s="1"/>
      <c r="L78" s="1"/>
      <c r="M78" s="1"/>
      <c r="N78" s="1"/>
      <c r="O78" s="8"/>
      <c r="P78" s="8"/>
      <c r="Q78" s="8"/>
      <c r="R78" s="8"/>
      <c r="S78" s="8"/>
      <c r="T78" s="8"/>
      <c r="U78" s="8"/>
      <c r="V78" s="8"/>
      <c r="W78" s="8"/>
      <c r="X78" s="1"/>
      <c r="Y78" s="1"/>
      <c r="Z78" s="1"/>
      <c r="AA78" s="1"/>
      <c r="AB78" s="1"/>
      <c r="AC78" s="1"/>
      <c r="AD78" s="1"/>
    </row>
    <row r="79" spans="1:30">
      <c r="A79" s="1"/>
      <c r="B79" s="1"/>
      <c r="C79" s="1"/>
      <c r="D79" s="1"/>
      <c r="E79" s="1"/>
      <c r="F79" s="1"/>
      <c r="G79" s="1"/>
      <c r="H79" s="1"/>
      <c r="I79" s="1"/>
      <c r="J79" s="1"/>
      <c r="K79" s="1"/>
      <c r="L79" s="1"/>
      <c r="M79" s="1"/>
      <c r="N79" s="1"/>
      <c r="O79" s="8"/>
      <c r="P79" s="8"/>
      <c r="Q79" s="8"/>
      <c r="R79" s="8"/>
      <c r="S79" s="8"/>
      <c r="T79" s="8"/>
      <c r="U79" s="8"/>
      <c r="V79" s="8"/>
      <c r="W79" s="8"/>
      <c r="X79" s="1"/>
      <c r="Y79" s="1"/>
      <c r="Z79" s="1"/>
      <c r="AA79" s="1"/>
      <c r="AB79" s="1"/>
      <c r="AC79" s="1"/>
      <c r="AD79" s="1"/>
    </row>
    <row r="80" spans="1:30">
      <c r="A80" s="1"/>
      <c r="B80" s="1"/>
      <c r="C80" s="1"/>
      <c r="D80" s="1"/>
      <c r="E80" s="1"/>
      <c r="F80" s="1"/>
      <c r="G80" s="1"/>
      <c r="H80" s="1"/>
      <c r="I80" s="1"/>
      <c r="J80" s="1"/>
      <c r="K80" s="1"/>
      <c r="L80" s="1"/>
      <c r="M80" s="1"/>
      <c r="N80" s="1"/>
      <c r="O80" s="8"/>
      <c r="P80" s="8"/>
      <c r="Q80" s="8"/>
      <c r="R80" s="8"/>
      <c r="S80" s="8"/>
      <c r="T80" s="8"/>
      <c r="U80" s="8"/>
      <c r="V80" s="8"/>
      <c r="W80" s="8"/>
      <c r="X80" s="1"/>
      <c r="Y80" s="1"/>
      <c r="Z80" s="1"/>
      <c r="AA80" s="1"/>
      <c r="AB80" s="1"/>
      <c r="AC80" s="1"/>
      <c r="AD80" s="1"/>
    </row>
    <row r="81" spans="1:30">
      <c r="A81" s="1"/>
      <c r="B81" s="1"/>
      <c r="C81" s="1"/>
      <c r="D81" s="1"/>
      <c r="E81" s="1"/>
      <c r="F81" s="1"/>
      <c r="G81" s="1"/>
      <c r="H81" s="1"/>
      <c r="I81" s="1"/>
      <c r="J81" s="1"/>
      <c r="K81" s="1"/>
      <c r="L81" s="1"/>
      <c r="M81" s="1"/>
      <c r="N81" s="1"/>
      <c r="O81" s="8"/>
      <c r="P81" s="8"/>
      <c r="Q81" s="8"/>
      <c r="R81" s="8"/>
      <c r="S81" s="8"/>
      <c r="T81" s="8"/>
      <c r="U81" s="8"/>
      <c r="V81" s="8"/>
      <c r="W81" s="8"/>
      <c r="X81" s="1"/>
      <c r="Y81" s="1"/>
      <c r="Z81" s="1"/>
      <c r="AA81" s="1"/>
      <c r="AB81" s="1"/>
      <c r="AC81" s="1"/>
      <c r="AD81" s="1"/>
    </row>
    <row r="82" spans="1:30">
      <c r="A82" s="1"/>
      <c r="B82" s="1"/>
      <c r="C82" s="1"/>
      <c r="D82" s="1"/>
      <c r="E82" s="1"/>
      <c r="F82" s="1"/>
      <c r="G82" s="1"/>
      <c r="H82" s="1"/>
      <c r="I82" s="1"/>
      <c r="J82" s="1"/>
      <c r="K82" s="1"/>
      <c r="L82" s="1"/>
      <c r="M82" s="1"/>
      <c r="N82" s="1"/>
      <c r="O82" s="8"/>
      <c r="P82" s="8"/>
      <c r="Q82" s="8"/>
      <c r="R82" s="8"/>
      <c r="S82" s="8"/>
      <c r="T82" s="8"/>
      <c r="U82" s="8"/>
      <c r="V82" s="8"/>
      <c r="W82" s="8"/>
      <c r="X82" s="1"/>
      <c r="Y82" s="1"/>
      <c r="Z82" s="1"/>
      <c r="AA82" s="1"/>
      <c r="AB82" s="1"/>
      <c r="AC82" s="1"/>
      <c r="AD82" s="1"/>
    </row>
    <row r="83" spans="1:30">
      <c r="A83" s="1"/>
      <c r="B83" s="1"/>
      <c r="C83" s="1"/>
      <c r="D83" s="1"/>
      <c r="E83" s="1"/>
      <c r="F83" s="1"/>
      <c r="G83" s="1"/>
      <c r="H83" s="1"/>
      <c r="I83" s="1"/>
      <c r="J83" s="1"/>
      <c r="K83" s="1"/>
      <c r="L83" s="1"/>
      <c r="M83" s="1"/>
      <c r="N83" s="1"/>
      <c r="O83" s="8"/>
      <c r="P83" s="8"/>
      <c r="Q83" s="8"/>
      <c r="R83" s="8"/>
      <c r="S83" s="8"/>
      <c r="T83" s="8"/>
      <c r="U83" s="8"/>
      <c r="V83" s="8"/>
      <c r="W83" s="8"/>
      <c r="X83" s="1"/>
      <c r="Y83" s="1"/>
      <c r="Z83" s="1"/>
      <c r="AA83" s="1"/>
      <c r="AB83" s="1"/>
      <c r="AC83" s="1"/>
      <c r="AD83" s="1"/>
    </row>
    <row r="84" spans="1:30">
      <c r="A84" s="1"/>
      <c r="B84" s="1"/>
      <c r="C84" s="1"/>
      <c r="D84" s="1"/>
      <c r="E84" s="1"/>
      <c r="F84" s="1"/>
      <c r="G84" s="1"/>
      <c r="H84" s="1"/>
      <c r="I84" s="1"/>
      <c r="J84" s="1"/>
      <c r="K84" s="1"/>
      <c r="L84" s="1"/>
      <c r="M84" s="1"/>
      <c r="N84" s="1"/>
      <c r="O84" s="8"/>
      <c r="P84" s="8"/>
      <c r="Q84" s="8"/>
      <c r="R84" s="8"/>
      <c r="S84" s="8"/>
      <c r="T84" s="8"/>
      <c r="U84" s="8"/>
      <c r="V84" s="8"/>
      <c r="W84" s="8"/>
      <c r="X84" s="1"/>
      <c r="Y84" s="1"/>
      <c r="Z84" s="1"/>
      <c r="AA84" s="1"/>
      <c r="AB84" s="1"/>
      <c r="AC84" s="1"/>
      <c r="AD84" s="1"/>
    </row>
  </sheetData>
  <mergeCells count="4">
    <mergeCell ref="A73:G73"/>
    <mergeCell ref="A71:G71"/>
    <mergeCell ref="A72:H72"/>
    <mergeCell ref="I69:N69"/>
  </mergeCells>
  <phoneticPr fontId="6" type="noConversion"/>
  <pageMargins left="0.5" right="0.5" top="0.75" bottom="0.55000000000000004" header="0.5" footer="0.5"/>
  <pageSetup scale="57" orientation="portrait" verticalDpi="300" r:id="rId1"/>
  <headerFooter alignWithMargins="0">
    <oddFooter>&amp;L&amp;"Arial,Regular"SREB Fact Book&amp;R&amp;"Arial,Regular"&amp;D</oddFooter>
  </headerFooter>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ransitionEvaluation="1" codeName="Sheet11">
    <tabColor indexed="62"/>
  </sheetPr>
  <dimension ref="A1:AE70"/>
  <sheetViews>
    <sheetView showZeros="0" zoomScale="90" zoomScaleNormal="90" workbookViewId="0">
      <pane xSplit="1" ySplit="5" topLeftCell="T6" activePane="bottomRight" state="frozen"/>
      <selection pane="topRight" activeCell="B52" sqref="B52"/>
      <selection pane="bottomLeft" activeCell="B52" sqref="B52"/>
      <selection pane="bottomRight" activeCell="AE9" sqref="AE9:AE24"/>
    </sheetView>
  </sheetViews>
  <sheetFormatPr defaultColWidth="9.85546875" defaultRowHeight="12.75"/>
  <cols>
    <col min="1" max="1" width="23.42578125" style="43" customWidth="1"/>
    <col min="2" max="22" width="12.42578125" style="1" customWidth="1"/>
    <col min="23" max="23" width="10.85546875" style="1" bestFit="1" customWidth="1"/>
    <col min="24" max="29" width="10.85546875" style="1" customWidth="1"/>
    <col min="30" max="31" width="12.42578125" style="1" customWidth="1"/>
    <col min="32" max="16384" width="9.85546875" style="1"/>
  </cols>
  <sheetData>
    <row r="1" spans="1:31">
      <c r="A1" s="7" t="s">
        <v>94</v>
      </c>
      <c r="B1"/>
      <c r="C1"/>
      <c r="D1"/>
      <c r="E1"/>
      <c r="F1"/>
      <c r="G1"/>
      <c r="H1"/>
      <c r="I1"/>
      <c r="J1"/>
      <c r="K1"/>
      <c r="L1"/>
      <c r="M1"/>
      <c r="N1"/>
      <c r="O1"/>
      <c r="P1"/>
      <c r="Q1"/>
      <c r="R1"/>
      <c r="S1"/>
      <c r="T1"/>
      <c r="U1"/>
      <c r="V1"/>
      <c r="W1"/>
    </row>
    <row r="2" spans="1:31">
      <c r="A2" s="9"/>
      <c r="B2"/>
      <c r="C2"/>
      <c r="D2"/>
      <c r="E2"/>
      <c r="F2"/>
      <c r="G2"/>
      <c r="H2"/>
      <c r="I2"/>
      <c r="J2"/>
      <c r="K2"/>
      <c r="L2"/>
      <c r="M2"/>
      <c r="N2"/>
      <c r="O2"/>
      <c r="P2"/>
      <c r="Q2"/>
      <c r="R2"/>
      <c r="S2"/>
      <c r="T2"/>
      <c r="U2"/>
      <c r="V2"/>
      <c r="W2"/>
      <c r="AA2" s="1">
        <v>1000</v>
      </c>
    </row>
    <row r="3" spans="1:31">
      <c r="A3" s="1" t="s">
        <v>137</v>
      </c>
      <c r="B3"/>
      <c r="C3"/>
      <c r="D3"/>
      <c r="E3"/>
      <c r="F3"/>
      <c r="G3"/>
      <c r="H3"/>
      <c r="I3"/>
      <c r="J3"/>
      <c r="K3"/>
      <c r="L3"/>
      <c r="M3"/>
      <c r="N3"/>
      <c r="O3"/>
      <c r="P3"/>
      <c r="Q3"/>
      <c r="R3"/>
      <c r="S3"/>
      <c r="T3"/>
      <c r="U3"/>
      <c r="V3"/>
      <c r="W3"/>
    </row>
    <row r="4" spans="1:31" s="32" customFormat="1">
      <c r="B4" s="32">
        <v>1984</v>
      </c>
      <c r="C4" s="32">
        <v>1985</v>
      </c>
      <c r="D4" s="32">
        <v>1986</v>
      </c>
      <c r="E4" s="32">
        <v>1991</v>
      </c>
      <c r="F4" s="32">
        <v>1992</v>
      </c>
      <c r="G4" s="32">
        <v>1993</v>
      </c>
      <c r="H4" s="32">
        <v>1994</v>
      </c>
      <c r="I4" s="32">
        <v>1995</v>
      </c>
      <c r="J4" s="32">
        <v>1996</v>
      </c>
      <c r="K4" s="32">
        <v>1997</v>
      </c>
      <c r="L4" s="32">
        <v>2000</v>
      </c>
      <c r="M4" s="39">
        <v>2001</v>
      </c>
      <c r="N4" s="39">
        <v>2002</v>
      </c>
      <c r="O4" s="39">
        <v>2003</v>
      </c>
      <c r="P4" s="39">
        <v>2004</v>
      </c>
      <c r="Q4" s="32">
        <v>2005</v>
      </c>
      <c r="R4" s="32">
        <v>2006</v>
      </c>
      <c r="S4" s="39">
        <v>2007</v>
      </c>
      <c r="T4" s="39">
        <v>2008</v>
      </c>
      <c r="U4" s="39">
        <v>2009</v>
      </c>
      <c r="V4" s="39">
        <v>2010</v>
      </c>
      <c r="W4" s="39">
        <v>2011</v>
      </c>
      <c r="X4" s="32" t="s">
        <v>111</v>
      </c>
      <c r="Y4" s="32" t="s">
        <v>112</v>
      </c>
      <c r="Z4" s="32" t="s">
        <v>113</v>
      </c>
      <c r="AA4" s="32" t="s">
        <v>114</v>
      </c>
      <c r="AB4" s="95" t="s">
        <v>115</v>
      </c>
      <c r="AC4" s="95" t="s">
        <v>116</v>
      </c>
      <c r="AD4" s="96">
        <v>2018</v>
      </c>
      <c r="AE4" s="96">
        <v>2019</v>
      </c>
    </row>
    <row r="5" spans="1:31" s="8" customFormat="1">
      <c r="B5" s="8" t="s">
        <v>109</v>
      </c>
      <c r="C5" s="8" t="s">
        <v>109</v>
      </c>
      <c r="D5" s="8" t="s">
        <v>109</v>
      </c>
      <c r="E5" s="8" t="s">
        <v>109</v>
      </c>
      <c r="F5" s="8" t="s">
        <v>109</v>
      </c>
      <c r="G5" s="8" t="s">
        <v>109</v>
      </c>
      <c r="H5" s="8" t="s">
        <v>109</v>
      </c>
      <c r="I5" s="8" t="s">
        <v>109</v>
      </c>
      <c r="J5" s="8" t="s">
        <v>109</v>
      </c>
      <c r="K5" s="8" t="s">
        <v>109</v>
      </c>
      <c r="L5" s="8" t="s">
        <v>109</v>
      </c>
      <c r="M5" s="8" t="s">
        <v>109</v>
      </c>
      <c r="N5" s="8" t="s">
        <v>109</v>
      </c>
      <c r="O5" s="8" t="s">
        <v>109</v>
      </c>
      <c r="P5" s="8" t="s">
        <v>109</v>
      </c>
      <c r="Q5" s="8" t="s">
        <v>109</v>
      </c>
      <c r="R5" s="8" t="s">
        <v>109</v>
      </c>
      <c r="S5" s="8" t="s">
        <v>109</v>
      </c>
      <c r="T5" s="8" t="s">
        <v>109</v>
      </c>
      <c r="U5" s="8" t="s">
        <v>109</v>
      </c>
      <c r="V5" s="8" t="s">
        <v>109</v>
      </c>
      <c r="W5" s="8" t="s">
        <v>109</v>
      </c>
      <c r="X5" s="8" t="s">
        <v>109</v>
      </c>
      <c r="Y5" s="8" t="s">
        <v>109</v>
      </c>
      <c r="Z5" s="8" t="s">
        <v>109</v>
      </c>
      <c r="AA5" s="8" t="s">
        <v>109</v>
      </c>
      <c r="AB5" s="8" t="s">
        <v>109</v>
      </c>
      <c r="AC5" s="8" t="s">
        <v>109</v>
      </c>
      <c r="AD5" s="8" t="s">
        <v>109</v>
      </c>
      <c r="AE5" s="8" t="s">
        <v>109</v>
      </c>
    </row>
    <row r="6" spans="1:31">
      <c r="A6" s="23" t="s">
        <v>24</v>
      </c>
      <c r="B6" s="1">
        <v>694410</v>
      </c>
      <c r="C6" s="1">
        <v>763698</v>
      </c>
      <c r="D6" s="1">
        <v>885136</v>
      </c>
      <c r="E6" s="1">
        <v>1435323.699</v>
      </c>
      <c r="F6" s="48">
        <f>+F7+F25+F40+F54+F65</f>
        <v>1773660.1069999998</v>
      </c>
      <c r="G6" s="1">
        <v>2101296.2680000002</v>
      </c>
      <c r="H6" s="1">
        <v>2311420.4649999999</v>
      </c>
      <c r="I6" s="48">
        <f>+I7+I25+I40+I54+I65</f>
        <v>2335860.0559999999</v>
      </c>
      <c r="J6" s="1">
        <v>2477585.2919999999</v>
      </c>
      <c r="K6" s="48">
        <f t="shared" ref="K6:U6" si="0">+K7+K25+K40+K54+K65</f>
        <v>2647293.9116399996</v>
      </c>
      <c r="L6" s="48">
        <f t="shared" si="0"/>
        <v>3057930.676</v>
      </c>
      <c r="M6" s="48">
        <f t="shared" si="0"/>
        <v>3533544.0219999999</v>
      </c>
      <c r="N6" s="48">
        <f t="shared" si="0"/>
        <v>4366969.1610000003</v>
      </c>
      <c r="O6" s="48">
        <f t="shared" si="0"/>
        <v>5040671.8440000005</v>
      </c>
      <c r="P6" s="48">
        <f t="shared" si="0"/>
        <v>5435649.4619999994</v>
      </c>
      <c r="Q6" s="48">
        <f t="shared" si="0"/>
        <v>6021221.1129999999</v>
      </c>
      <c r="R6" s="48">
        <f t="shared" si="0"/>
        <v>5967951.1890000002</v>
      </c>
      <c r="S6" s="48">
        <f t="shared" si="0"/>
        <v>6170157.4250000007</v>
      </c>
      <c r="T6" s="48">
        <f t="shared" si="0"/>
        <v>6887167.2840000009</v>
      </c>
      <c r="U6" s="48">
        <f t="shared" si="0"/>
        <v>8520485.2290000003</v>
      </c>
      <c r="V6" s="48">
        <f t="shared" ref="V6:W6" si="1">+V7+V25+V40+V54+V65</f>
        <v>13146436.210999999</v>
      </c>
      <c r="W6" s="48">
        <f t="shared" si="1"/>
        <v>15770226.175000001</v>
      </c>
      <c r="X6" s="48">
        <f t="shared" ref="X6:Y6" si="2">+X7+X25+X40+X54+X65</f>
        <v>15412232.215</v>
      </c>
      <c r="Y6" s="48">
        <f t="shared" si="2"/>
        <v>12907964.525000002</v>
      </c>
      <c r="Z6" s="48">
        <f t="shared" ref="Z6:AA6" si="3">+Z7+Z25+Z40+Z54+Z65</f>
        <v>12669846.027000001</v>
      </c>
      <c r="AA6" s="48">
        <f t="shared" si="3"/>
        <v>12295775.229</v>
      </c>
      <c r="AB6" s="48">
        <f t="shared" ref="AB6:AE6" si="4">+AB7+AB25+AB40+AB54+AB65</f>
        <v>13174865.569000002</v>
      </c>
      <c r="AC6" s="48">
        <f t="shared" si="4"/>
        <v>12391157.252</v>
      </c>
      <c r="AD6" s="48">
        <f t="shared" si="4"/>
        <v>0</v>
      </c>
      <c r="AE6" s="48">
        <f t="shared" si="4"/>
        <v>12918910.218</v>
      </c>
    </row>
    <row r="7" spans="1:31">
      <c r="A7" s="1" t="s">
        <v>25</v>
      </c>
      <c r="B7" s="47">
        <f>SUM(B8:B24)</f>
        <v>190107</v>
      </c>
      <c r="C7" s="47">
        <f t="shared" ref="C7:U7" si="5">SUM(C8:C24)</f>
        <v>204551</v>
      </c>
      <c r="D7" s="47">
        <f t="shared" si="5"/>
        <v>240466</v>
      </c>
      <c r="E7" s="47">
        <f t="shared" si="5"/>
        <v>454621.98700000002</v>
      </c>
      <c r="F7" s="47">
        <f t="shared" si="5"/>
        <v>595184.18400000001</v>
      </c>
      <c r="G7" s="47">
        <f t="shared" si="5"/>
        <v>688804.21100000001</v>
      </c>
      <c r="H7" s="47">
        <f t="shared" si="5"/>
        <v>765393.78300000005</v>
      </c>
      <c r="I7" s="47">
        <f t="shared" si="5"/>
        <v>813069.16599999997</v>
      </c>
      <c r="J7" s="47">
        <f t="shared" si="5"/>
        <v>836198.91600000008</v>
      </c>
      <c r="K7" s="47">
        <f t="shared" si="5"/>
        <v>905062.56397000013</v>
      </c>
      <c r="L7" s="47">
        <f t="shared" si="5"/>
        <v>1225051.8990000002</v>
      </c>
      <c r="M7" s="47">
        <f t="shared" si="5"/>
        <v>1466478.4680000003</v>
      </c>
      <c r="N7" s="47">
        <f t="shared" si="5"/>
        <v>1768942.3410000002</v>
      </c>
      <c r="O7" s="47">
        <f t="shared" si="5"/>
        <v>1986237.7479999999</v>
      </c>
      <c r="P7" s="47">
        <f t="shared" si="5"/>
        <v>2148808.1159999999</v>
      </c>
      <c r="Q7" s="47">
        <f t="shared" si="5"/>
        <v>2292604.3289999999</v>
      </c>
      <c r="R7" s="47">
        <f t="shared" si="5"/>
        <v>2272462.835</v>
      </c>
      <c r="S7" s="47">
        <f t="shared" si="5"/>
        <v>2418775.8489999999</v>
      </c>
      <c r="T7" s="47">
        <f t="shared" si="5"/>
        <v>2730982.1140000005</v>
      </c>
      <c r="U7" s="47">
        <f t="shared" si="5"/>
        <v>3363589.5979999998</v>
      </c>
      <c r="V7" s="47">
        <f t="shared" ref="V7:W7" si="6">SUM(V8:V24)</f>
        <v>5478723.1980000008</v>
      </c>
      <c r="W7" s="47">
        <f t="shared" si="6"/>
        <v>6466681.7600000007</v>
      </c>
      <c r="X7" s="47">
        <f t="shared" ref="X7:Y7" si="7">SUM(X8:X24)</f>
        <v>6235614.0489999996</v>
      </c>
      <c r="Y7" s="47">
        <f t="shared" si="7"/>
        <v>5573972.620000001</v>
      </c>
      <c r="Z7" s="47">
        <f t="shared" ref="Z7:AA7" si="8">SUM(Z8:Z24)</f>
        <v>5451425.9970000014</v>
      </c>
      <c r="AA7" s="47">
        <f t="shared" si="8"/>
        <v>5240980.0320000006</v>
      </c>
      <c r="AB7" s="47">
        <f t="shared" ref="AB7:AE7" si="9">SUM(AB8:AB24)</f>
        <v>5189876.438000001</v>
      </c>
      <c r="AC7" s="47">
        <f t="shared" si="9"/>
        <v>4780478.9210000001</v>
      </c>
      <c r="AD7" s="47">
        <f t="shared" si="9"/>
        <v>0</v>
      </c>
      <c r="AE7" s="47">
        <f t="shared" si="9"/>
        <v>5063998.2860000003</v>
      </c>
    </row>
    <row r="8" spans="1:31">
      <c r="A8" s="7" t="s">
        <v>97</v>
      </c>
    </row>
    <row r="9" spans="1:31">
      <c r="A9" s="1" t="s">
        <v>26</v>
      </c>
      <c r="B9" s="1">
        <v>11272</v>
      </c>
      <c r="C9" s="1">
        <v>15279</v>
      </c>
      <c r="D9" s="1">
        <v>18379</v>
      </c>
      <c r="E9" s="1">
        <v>38871.222000000002</v>
      </c>
      <c r="F9" s="41">
        <v>51533.711000000003</v>
      </c>
      <c r="G9" s="1">
        <v>59383.186999999998</v>
      </c>
      <c r="H9" s="1">
        <v>62560.535000000003</v>
      </c>
      <c r="I9" s="1">
        <v>62385.919000000002</v>
      </c>
      <c r="J9" s="1">
        <v>64004.004999999997</v>
      </c>
      <c r="K9" s="1">
        <v>71537.768460000007</v>
      </c>
      <c r="L9" s="1">
        <v>81907.55</v>
      </c>
      <c r="M9" s="1">
        <v>94453.804999999993</v>
      </c>
      <c r="N9" s="1">
        <v>124759.59600000001</v>
      </c>
      <c r="O9" s="1">
        <v>136844.45600000001</v>
      </c>
      <c r="P9" s="1">
        <v>142728.277</v>
      </c>
      <c r="Q9" s="1">
        <v>130403.128</v>
      </c>
      <c r="R9" s="1">
        <v>129835.13800000001</v>
      </c>
      <c r="S9" s="1">
        <v>127901.164</v>
      </c>
      <c r="T9" s="1">
        <v>149247.61199999999</v>
      </c>
      <c r="U9" s="1">
        <v>180239.111</v>
      </c>
      <c r="V9" s="1">
        <v>289560.66499999998</v>
      </c>
      <c r="W9" s="1">
        <v>307700.00799999997</v>
      </c>
      <c r="X9" s="1">
        <v>271626.06900000002</v>
      </c>
      <c r="Y9" s="1">
        <v>234771.67300000001</v>
      </c>
      <c r="Z9" s="1">
        <v>221322.764</v>
      </c>
      <c r="AA9" s="1">
        <v>213087.21900000001</v>
      </c>
      <c r="AB9" s="1">
        <v>211993.95300000001</v>
      </c>
      <c r="AC9" s="1">
        <v>193398.20199999999</v>
      </c>
      <c r="AE9" s="1">
        <v>214602.503</v>
      </c>
    </row>
    <row r="10" spans="1:31">
      <c r="A10" s="1" t="s">
        <v>27</v>
      </c>
      <c r="B10" s="1">
        <v>3905</v>
      </c>
      <c r="C10" s="1">
        <v>4090</v>
      </c>
      <c r="D10" s="1">
        <v>4806</v>
      </c>
      <c r="E10" s="1">
        <v>8870.5759999999991</v>
      </c>
      <c r="F10" s="41">
        <v>11183.953</v>
      </c>
      <c r="G10" s="1">
        <v>12149.671</v>
      </c>
      <c r="H10" s="1">
        <v>12450.862999999999</v>
      </c>
      <c r="I10" s="1">
        <v>13321.242</v>
      </c>
      <c r="J10" s="1">
        <v>20069.496999999999</v>
      </c>
      <c r="K10" s="1">
        <v>18144.254000000001</v>
      </c>
      <c r="L10" s="1">
        <v>30155.54</v>
      </c>
      <c r="M10" s="1">
        <v>35273.786</v>
      </c>
      <c r="N10" s="1">
        <v>50500.944000000003</v>
      </c>
      <c r="O10" s="1">
        <v>64678.779000000002</v>
      </c>
      <c r="P10" s="1">
        <v>69455.615000000005</v>
      </c>
      <c r="Q10" s="1">
        <v>70153.349000000002</v>
      </c>
      <c r="R10" s="1">
        <v>69313.509999999995</v>
      </c>
      <c r="S10" s="1">
        <v>82721.857999999993</v>
      </c>
      <c r="T10" s="1">
        <v>95674.740999999995</v>
      </c>
      <c r="U10" s="1">
        <v>98123.182000000001</v>
      </c>
      <c r="V10" s="1">
        <v>151165.87599999999</v>
      </c>
      <c r="W10" s="1">
        <v>184539.84299999999</v>
      </c>
      <c r="X10" s="1">
        <v>177875.745</v>
      </c>
      <c r="Y10" s="1">
        <v>164982.70000000001</v>
      </c>
      <c r="Z10" s="1">
        <v>153448.01999999999</v>
      </c>
      <c r="AA10" s="1">
        <v>140854.85999999999</v>
      </c>
      <c r="AB10" s="1">
        <v>126306.124</v>
      </c>
      <c r="AC10" s="1">
        <v>117901.898</v>
      </c>
      <c r="AE10" s="1">
        <v>116634.43</v>
      </c>
    </row>
    <row r="11" spans="1:31">
      <c r="A11" s="1" t="s">
        <v>28</v>
      </c>
      <c r="D11" s="1">
        <v>1262</v>
      </c>
      <c r="E11" s="1">
        <v>2720.7150000000001</v>
      </c>
      <c r="F11" s="41">
        <v>3103.1619999999998</v>
      </c>
      <c r="I11" s="1">
        <v>3716.723</v>
      </c>
      <c r="J11" s="1">
        <v>4021.0250000000001</v>
      </c>
      <c r="K11" s="1">
        <v>4011.942</v>
      </c>
      <c r="L11" s="1">
        <v>5071.3620000000001</v>
      </c>
      <c r="M11" s="1">
        <v>5930.3419999999996</v>
      </c>
      <c r="N11" s="1">
        <v>6869.3639999999996</v>
      </c>
      <c r="O11" s="1">
        <v>8399.2000000000007</v>
      </c>
      <c r="P11" s="1">
        <v>8193.0409999999993</v>
      </c>
      <c r="Q11" s="1">
        <v>8382.3459999999995</v>
      </c>
      <c r="R11" s="1">
        <v>7782.0569999999998</v>
      </c>
      <c r="S11" s="1">
        <v>8766.4750000000004</v>
      </c>
      <c r="T11" s="1">
        <v>9731.3539999999994</v>
      </c>
      <c r="U11" s="1">
        <v>11970.163</v>
      </c>
      <c r="V11" s="1">
        <v>19506.274000000001</v>
      </c>
      <c r="W11" s="1">
        <v>23732.991999999998</v>
      </c>
      <c r="X11" s="1">
        <v>25068.235000000001</v>
      </c>
      <c r="Y11" s="1">
        <v>23951.530999999999</v>
      </c>
      <c r="Z11" s="1">
        <v>24199.888999999999</v>
      </c>
      <c r="AA11" s="1">
        <v>23810.464</v>
      </c>
      <c r="AB11" s="1">
        <v>22816.225999999999</v>
      </c>
      <c r="AC11" s="1">
        <v>21825.773000000001</v>
      </c>
      <c r="AE11" s="1">
        <v>24444.963</v>
      </c>
    </row>
    <row r="12" spans="1:31">
      <c r="A12" s="1" t="s">
        <v>29</v>
      </c>
      <c r="B12" s="1">
        <v>35109</v>
      </c>
      <c r="C12" s="1">
        <v>37345</v>
      </c>
      <c r="D12" s="1">
        <v>41989</v>
      </c>
      <c r="E12" s="1">
        <v>77750.070999999996</v>
      </c>
      <c r="F12" s="41">
        <v>109772.659</v>
      </c>
      <c r="G12" s="1">
        <v>129834.893</v>
      </c>
      <c r="H12" s="1">
        <v>135374.45699999999</v>
      </c>
      <c r="I12" s="1">
        <v>145776.02299999999</v>
      </c>
      <c r="J12" s="1">
        <v>150289.12700000001</v>
      </c>
      <c r="K12" s="1">
        <v>160912.62100000001</v>
      </c>
      <c r="L12" s="1">
        <v>205456.163</v>
      </c>
      <c r="M12" s="1">
        <v>270898.96799999999</v>
      </c>
      <c r="N12" s="1">
        <v>310373.65000000002</v>
      </c>
      <c r="O12" s="1">
        <v>258232.14199999999</v>
      </c>
      <c r="P12" s="1">
        <v>264218.47700000001</v>
      </c>
      <c r="Q12" s="1">
        <v>269900.53399999999</v>
      </c>
      <c r="R12" s="1">
        <v>258267.16200000001</v>
      </c>
      <c r="S12" s="1">
        <v>359817.24200000003</v>
      </c>
      <c r="T12" s="1">
        <v>413525.54200000002</v>
      </c>
      <c r="U12" s="1">
        <v>614002.21200000006</v>
      </c>
      <c r="V12" s="1">
        <v>966326.31599999999</v>
      </c>
      <c r="W12" s="1">
        <v>1199192.3970000001</v>
      </c>
      <c r="X12" s="1">
        <v>1150470.7120000001</v>
      </c>
      <c r="Y12" s="1">
        <v>1075078.54</v>
      </c>
      <c r="Z12" s="1">
        <v>1061258.0660000001</v>
      </c>
      <c r="AA12" s="1">
        <v>1037116.8050000001</v>
      </c>
      <c r="AB12" s="1">
        <v>1009123.345</v>
      </c>
      <c r="AC12" s="1">
        <v>905368.87899999996</v>
      </c>
      <c r="AE12" s="1">
        <v>1032088.95</v>
      </c>
    </row>
    <row r="13" spans="1:31">
      <c r="A13" s="1" t="s">
        <v>30</v>
      </c>
      <c r="B13" s="1">
        <v>6108</v>
      </c>
      <c r="C13" s="1">
        <v>6214</v>
      </c>
      <c r="D13" s="1">
        <v>6787</v>
      </c>
      <c r="E13" s="1">
        <v>18596.808000000001</v>
      </c>
      <c r="F13" s="41">
        <v>30746.016</v>
      </c>
      <c r="G13" s="1">
        <v>38889.250999999997</v>
      </c>
      <c r="H13" s="1">
        <v>52755.243999999999</v>
      </c>
      <c r="I13" s="1">
        <v>70265.55</v>
      </c>
      <c r="J13" s="1">
        <v>57296.622000000003</v>
      </c>
      <c r="K13" s="1">
        <v>61339.072770000013</v>
      </c>
      <c r="L13" s="1">
        <v>108372.683</v>
      </c>
      <c r="M13" s="1">
        <v>150701.541</v>
      </c>
      <c r="N13" s="1">
        <v>140632.67800000001</v>
      </c>
      <c r="O13" s="1">
        <v>115032.874</v>
      </c>
      <c r="P13" s="1">
        <v>133355.09099999999</v>
      </c>
      <c r="Q13" s="1">
        <v>135435.67000000001</v>
      </c>
      <c r="R13" s="1">
        <v>132926.76300000001</v>
      </c>
      <c r="S13" s="1">
        <v>149713.06200000001</v>
      </c>
      <c r="T13" s="1">
        <v>156282.21400000001</v>
      </c>
      <c r="U13" s="1">
        <v>140915.32699999999</v>
      </c>
      <c r="V13" s="1">
        <v>414772.89</v>
      </c>
      <c r="W13" s="1">
        <v>499074.95</v>
      </c>
      <c r="X13" s="1">
        <v>490157.00300000003</v>
      </c>
      <c r="Y13" s="1">
        <v>183268.65100000001</v>
      </c>
      <c r="Z13" s="1">
        <v>178138.61600000001</v>
      </c>
      <c r="AA13" s="1">
        <v>174471.63500000001</v>
      </c>
      <c r="AB13" s="1">
        <v>325316.13400000002</v>
      </c>
      <c r="AC13" s="1">
        <v>139006.359</v>
      </c>
      <c r="AE13" s="1">
        <v>129875.73699999999</v>
      </c>
    </row>
    <row r="14" spans="1:31">
      <c r="A14" s="1" t="s">
        <v>31</v>
      </c>
      <c r="B14" s="1">
        <v>5592</v>
      </c>
      <c r="C14" s="1">
        <v>6118</v>
      </c>
      <c r="D14" s="1">
        <v>7292</v>
      </c>
      <c r="E14" s="1">
        <v>19831.214</v>
      </c>
      <c r="F14" s="41">
        <v>24679.010999999999</v>
      </c>
      <c r="G14" s="1">
        <v>28069.867999999999</v>
      </c>
      <c r="H14" s="1">
        <v>31017.784</v>
      </c>
      <c r="I14" s="1">
        <v>30887.18</v>
      </c>
      <c r="J14" s="1">
        <v>30269.835999999999</v>
      </c>
      <c r="K14" s="1">
        <v>33598.620000000003</v>
      </c>
      <c r="L14" s="1">
        <v>59045.889000000003</v>
      </c>
      <c r="M14" s="1">
        <v>61842.642</v>
      </c>
      <c r="N14" s="1">
        <v>8664.8580000000002</v>
      </c>
      <c r="O14" s="1">
        <v>10231.117</v>
      </c>
      <c r="P14" s="1">
        <v>11871.932000000001</v>
      </c>
      <c r="Q14" s="1">
        <v>109498.42600000001</v>
      </c>
      <c r="R14" s="1">
        <v>124285.592</v>
      </c>
      <c r="S14" s="1">
        <v>126523.808</v>
      </c>
      <c r="T14" s="1">
        <v>140793.81</v>
      </c>
      <c r="U14" s="1">
        <v>146432.90400000001</v>
      </c>
      <c r="V14" s="1">
        <v>232572.26800000001</v>
      </c>
      <c r="W14" s="1">
        <v>270675.76799999998</v>
      </c>
      <c r="X14" s="1">
        <v>262011.07699999999</v>
      </c>
      <c r="Y14" s="1">
        <v>220573.67800000001</v>
      </c>
      <c r="Z14" s="1">
        <v>214650.99</v>
      </c>
      <c r="AA14" s="1">
        <v>206276.81200000001</v>
      </c>
      <c r="AB14" s="1">
        <v>209571.348</v>
      </c>
      <c r="AC14" s="1">
        <v>180490.05300000001</v>
      </c>
      <c r="AE14" s="1">
        <v>190786.84</v>
      </c>
    </row>
    <row r="15" spans="1:31">
      <c r="A15" s="1" t="s">
        <v>32</v>
      </c>
      <c r="B15" s="1">
        <v>2535</v>
      </c>
      <c r="C15" s="1">
        <v>2715</v>
      </c>
      <c r="D15" s="1">
        <v>3470</v>
      </c>
      <c r="E15" s="1">
        <v>9039.0769999999993</v>
      </c>
      <c r="F15" s="41">
        <v>11885.078</v>
      </c>
      <c r="G15" s="1">
        <v>13209.562</v>
      </c>
      <c r="H15" s="1">
        <v>16253.806</v>
      </c>
      <c r="I15" s="1">
        <v>18273.353999999999</v>
      </c>
      <c r="J15" s="1">
        <v>23903.897000000001</v>
      </c>
      <c r="K15" s="1">
        <v>23901.448960000005</v>
      </c>
      <c r="L15" s="1">
        <v>35729.866999999998</v>
      </c>
      <c r="M15" s="1">
        <v>41633.326000000001</v>
      </c>
      <c r="N15" s="1">
        <v>56207.002</v>
      </c>
      <c r="O15" s="1">
        <v>67608.271999999997</v>
      </c>
      <c r="P15" s="1">
        <v>80173.221999999994</v>
      </c>
      <c r="Q15" s="1">
        <v>84773.534</v>
      </c>
      <c r="R15" s="1">
        <v>69014.967000000004</v>
      </c>
      <c r="S15" s="1">
        <v>72365.743000000002</v>
      </c>
      <c r="T15" s="1">
        <v>113298.08</v>
      </c>
      <c r="U15" s="1">
        <v>70510.221999999994</v>
      </c>
      <c r="V15" s="1">
        <v>154057.84400000001</v>
      </c>
      <c r="W15" s="1">
        <v>187321.981</v>
      </c>
      <c r="X15" s="1">
        <v>180431.66099999999</v>
      </c>
      <c r="Y15" s="1">
        <v>133896.18299999999</v>
      </c>
      <c r="Z15" s="1">
        <v>140410.40100000001</v>
      </c>
      <c r="AA15" s="1">
        <v>140932.92300000001</v>
      </c>
      <c r="AB15" s="1">
        <v>164829.223</v>
      </c>
      <c r="AC15" s="1">
        <v>119125.85</v>
      </c>
      <c r="AE15" s="1">
        <v>137168.30799999999</v>
      </c>
    </row>
    <row r="16" spans="1:31">
      <c r="A16" s="1" t="s">
        <v>33</v>
      </c>
      <c r="B16" s="1">
        <v>16189</v>
      </c>
      <c r="C16" s="1">
        <v>16336</v>
      </c>
      <c r="D16" s="1">
        <v>17490</v>
      </c>
      <c r="E16" s="1">
        <v>21718.335999999999</v>
      </c>
      <c r="F16" s="41">
        <v>24682.43</v>
      </c>
      <c r="G16" s="1">
        <v>37624.667000000001</v>
      </c>
      <c r="H16" s="1">
        <v>41166.095999999998</v>
      </c>
      <c r="I16" s="1">
        <v>36555.303</v>
      </c>
      <c r="J16" s="1">
        <v>44147.362000000001</v>
      </c>
      <c r="K16" s="1">
        <v>45904.349000000002</v>
      </c>
      <c r="L16" s="1">
        <v>56583.462</v>
      </c>
      <c r="M16" s="1">
        <v>58525.998</v>
      </c>
      <c r="N16" s="1">
        <v>77800.485000000001</v>
      </c>
      <c r="O16" s="1">
        <v>81674.430999999997</v>
      </c>
      <c r="P16" s="1">
        <v>87718.540999999997</v>
      </c>
      <c r="Q16" s="1">
        <v>94881.365999999995</v>
      </c>
      <c r="R16" s="1">
        <v>95926.462</v>
      </c>
      <c r="S16" s="1">
        <v>100513.90700000001</v>
      </c>
      <c r="T16" s="1">
        <v>110908.52800000001</v>
      </c>
      <c r="U16" s="1">
        <v>130607.64</v>
      </c>
      <c r="V16" s="1">
        <v>189603.88699999999</v>
      </c>
      <c r="W16" s="1">
        <v>223344.51199999999</v>
      </c>
      <c r="X16" s="1">
        <v>230147.14799999999</v>
      </c>
      <c r="Y16" s="1">
        <v>217129.22700000001</v>
      </c>
      <c r="Z16" s="1">
        <v>212661.95</v>
      </c>
      <c r="AA16" s="1">
        <v>208021.783</v>
      </c>
      <c r="AB16" s="1">
        <v>190770.34299999999</v>
      </c>
      <c r="AC16" s="1">
        <v>181356.886</v>
      </c>
      <c r="AE16" s="1">
        <v>183488.54699999999</v>
      </c>
    </row>
    <row r="17" spans="1:31">
      <c r="A17" s="1" t="s">
        <v>34</v>
      </c>
      <c r="B17" s="1">
        <v>16742</v>
      </c>
      <c r="C17" s="1">
        <v>17690</v>
      </c>
      <c r="D17" s="1">
        <v>20472</v>
      </c>
      <c r="E17" s="1">
        <v>34609.661999999997</v>
      </c>
      <c r="F17" s="41">
        <v>39486.661999999997</v>
      </c>
      <c r="G17" s="1">
        <v>42582.809000000001</v>
      </c>
      <c r="H17" s="1">
        <v>45466.201000000001</v>
      </c>
      <c r="I17" s="1">
        <v>45153.351999999999</v>
      </c>
      <c r="J17" s="1">
        <v>48051.758999999998</v>
      </c>
      <c r="K17" s="1">
        <v>54369.701999999997</v>
      </c>
      <c r="L17" s="1">
        <v>73230.218999999997</v>
      </c>
      <c r="M17" s="1">
        <v>81794.990999999995</v>
      </c>
      <c r="N17" s="1">
        <v>109279.577</v>
      </c>
      <c r="O17" s="1">
        <v>139361.351</v>
      </c>
      <c r="P17" s="1">
        <v>140792.538</v>
      </c>
      <c r="Q17" s="1">
        <v>149189.859</v>
      </c>
      <c r="R17" s="1">
        <v>154687.93700000001</v>
      </c>
      <c r="S17" s="1">
        <v>154647.47099999999</v>
      </c>
      <c r="T17" s="1">
        <v>157619.96</v>
      </c>
      <c r="U17" s="1">
        <v>185513.31700000001</v>
      </c>
      <c r="V17" s="1">
        <v>283981.10600000003</v>
      </c>
      <c r="W17" s="1">
        <v>330066.891</v>
      </c>
      <c r="X17" s="1">
        <v>291680.35499999998</v>
      </c>
      <c r="Y17" s="1">
        <v>262928.91800000001</v>
      </c>
      <c r="Z17" s="1">
        <v>258876.20499999999</v>
      </c>
      <c r="AA17" s="1">
        <v>252464.234</v>
      </c>
      <c r="AB17" s="1">
        <v>243256.193</v>
      </c>
      <c r="AC17" s="1">
        <v>242741.28400000001</v>
      </c>
      <c r="AE17" s="1">
        <v>243821.416</v>
      </c>
    </row>
    <row r="18" spans="1:31">
      <c r="A18" s="1" t="s">
        <v>35</v>
      </c>
      <c r="B18" s="1">
        <v>11897</v>
      </c>
      <c r="C18" s="1">
        <v>12230</v>
      </c>
      <c r="D18" s="1">
        <v>13926</v>
      </c>
      <c r="E18" s="1">
        <v>23471.014999999999</v>
      </c>
      <c r="F18" s="41">
        <v>33941.438999999998</v>
      </c>
      <c r="G18" s="1">
        <v>39479.300999999999</v>
      </c>
      <c r="H18" s="1">
        <v>46531.201999999997</v>
      </c>
      <c r="I18" s="1">
        <v>53306.985000000001</v>
      </c>
      <c r="J18" s="1">
        <v>53547.277000000002</v>
      </c>
      <c r="K18" s="1">
        <v>56248.849679999992</v>
      </c>
      <c r="L18" s="1">
        <v>95805.475999999995</v>
      </c>
      <c r="M18" s="1">
        <v>118431.31</v>
      </c>
      <c r="N18" s="1">
        <v>152274.83100000001</v>
      </c>
      <c r="O18" s="1">
        <v>187580.065</v>
      </c>
      <c r="P18" s="1">
        <v>219817.44200000001</v>
      </c>
      <c r="Q18" s="1">
        <v>219658.185</v>
      </c>
      <c r="R18" s="1">
        <v>211599.81200000001</v>
      </c>
      <c r="S18" s="1">
        <v>207278.43900000001</v>
      </c>
      <c r="T18" s="1">
        <v>239787.67499999999</v>
      </c>
      <c r="U18" s="1">
        <v>323007.53600000002</v>
      </c>
      <c r="V18" s="1">
        <v>527836.06099999999</v>
      </c>
      <c r="W18" s="1">
        <v>601732.58799999999</v>
      </c>
      <c r="X18" s="1">
        <v>585638.31000000006</v>
      </c>
      <c r="Y18" s="1">
        <v>573221.21200000006</v>
      </c>
      <c r="Z18" s="1">
        <v>555744.11199999996</v>
      </c>
      <c r="AA18" s="1">
        <v>517938.88500000001</v>
      </c>
      <c r="AB18" s="1">
        <v>455921.46100000001</v>
      </c>
      <c r="AC18" s="1">
        <v>418211.82900000003</v>
      </c>
      <c r="AE18" s="1">
        <v>409579.07199999999</v>
      </c>
    </row>
    <row r="19" spans="1:31">
      <c r="A19" s="1" t="s">
        <v>36</v>
      </c>
      <c r="B19" s="1">
        <v>7782</v>
      </c>
      <c r="C19" s="1">
        <v>10374</v>
      </c>
      <c r="D19" s="1">
        <v>11757</v>
      </c>
      <c r="E19" s="1">
        <v>24818.971000000001</v>
      </c>
      <c r="F19" s="41">
        <v>30446.995999999999</v>
      </c>
      <c r="G19" s="1">
        <v>32011.55</v>
      </c>
      <c r="H19" s="1">
        <v>34463.928999999996</v>
      </c>
      <c r="I19" s="1">
        <v>34421.160000000003</v>
      </c>
      <c r="J19" s="1">
        <v>33681.758000000002</v>
      </c>
      <c r="K19" s="1">
        <v>35256.687639999996</v>
      </c>
      <c r="L19" s="1">
        <v>43098.156000000003</v>
      </c>
      <c r="M19" s="1">
        <v>48357.631999999998</v>
      </c>
      <c r="N19" s="1">
        <v>73339.226999999999</v>
      </c>
      <c r="O19" s="1">
        <v>90770.656000000003</v>
      </c>
      <c r="P19" s="1">
        <v>91738.409</v>
      </c>
      <c r="Q19" s="1">
        <v>78859.930999999997</v>
      </c>
      <c r="R19" s="1">
        <v>77546.222999999998</v>
      </c>
      <c r="S19" s="1">
        <v>66247.160999999993</v>
      </c>
      <c r="T19" s="1">
        <v>77335.813999999998</v>
      </c>
      <c r="U19" s="1">
        <v>99967.551999999996</v>
      </c>
      <c r="V19" s="1">
        <v>156219.609</v>
      </c>
      <c r="W19" s="1">
        <v>180433.56299999999</v>
      </c>
      <c r="X19" s="1">
        <v>179546.53400000001</v>
      </c>
      <c r="Y19" s="1">
        <v>166905.72500000001</v>
      </c>
      <c r="Z19" s="1">
        <v>152703.15100000001</v>
      </c>
      <c r="AA19" s="1">
        <v>148974.09700000001</v>
      </c>
      <c r="AB19" s="1">
        <v>148674.114</v>
      </c>
      <c r="AC19" s="1">
        <v>151064.011</v>
      </c>
      <c r="AE19" s="1">
        <v>153158.98300000001</v>
      </c>
    </row>
    <row r="20" spans="1:31">
      <c r="A20" s="1" t="s">
        <v>37</v>
      </c>
      <c r="B20" s="1">
        <v>8610</v>
      </c>
      <c r="C20" s="1">
        <v>8351</v>
      </c>
      <c r="D20" s="1">
        <v>9402</v>
      </c>
      <c r="E20" s="1">
        <v>15803.347</v>
      </c>
      <c r="F20" s="41">
        <v>22292.577000000001</v>
      </c>
      <c r="G20" s="1">
        <v>26854.834999999999</v>
      </c>
      <c r="H20" s="1">
        <v>28480.642</v>
      </c>
      <c r="I20" s="1">
        <v>28295.339</v>
      </c>
      <c r="J20" s="1">
        <v>28936.149000000001</v>
      </c>
      <c r="K20" s="1">
        <v>35279.660000000003</v>
      </c>
      <c r="L20" s="1">
        <v>50347.794999999998</v>
      </c>
      <c r="M20" s="1">
        <v>60220.677000000003</v>
      </c>
      <c r="N20" s="1">
        <v>90991.062999999995</v>
      </c>
      <c r="O20" s="1">
        <v>149443.03099999999</v>
      </c>
      <c r="P20" s="1">
        <v>170305.25899999999</v>
      </c>
      <c r="Q20" s="1">
        <v>165918.103</v>
      </c>
      <c r="R20" s="1">
        <v>167190.43700000001</v>
      </c>
      <c r="S20" s="1">
        <v>174365.63200000001</v>
      </c>
      <c r="T20" s="1">
        <v>189487.75200000001</v>
      </c>
      <c r="U20" s="1">
        <v>227619.32</v>
      </c>
      <c r="V20" s="1">
        <v>320172.44799999997</v>
      </c>
      <c r="W20" s="1">
        <v>345249.33799999999</v>
      </c>
      <c r="X20" s="1">
        <v>348154.56199999998</v>
      </c>
      <c r="Y20" s="1">
        <v>340856.71299999999</v>
      </c>
      <c r="Z20" s="1">
        <v>337369.228</v>
      </c>
      <c r="AA20" s="1">
        <v>319943.82299999997</v>
      </c>
      <c r="AB20" s="1">
        <v>301733.32500000001</v>
      </c>
      <c r="AC20" s="1">
        <v>283928.88400000002</v>
      </c>
      <c r="AE20" s="1">
        <v>289462.60399999999</v>
      </c>
    </row>
    <row r="21" spans="1:31" s="11" customFormat="1">
      <c r="A21" s="1" t="s">
        <v>38</v>
      </c>
      <c r="B21" s="1">
        <v>8783</v>
      </c>
      <c r="C21" s="1">
        <v>7974</v>
      </c>
      <c r="D21" s="1">
        <v>8705</v>
      </c>
      <c r="E21" s="1">
        <v>21404.844000000001</v>
      </c>
      <c r="F21" s="41">
        <v>29748.718000000001</v>
      </c>
      <c r="G21" s="1">
        <v>32089.714</v>
      </c>
      <c r="H21" s="1">
        <v>34107.881000000001</v>
      </c>
      <c r="I21" s="1">
        <v>33227.946000000004</v>
      </c>
      <c r="J21" s="1">
        <v>33085.42</v>
      </c>
      <c r="K21" s="1">
        <v>36134.078999999998</v>
      </c>
      <c r="L21" s="1">
        <v>41125.222000000002</v>
      </c>
      <c r="M21" s="1">
        <v>48852.747000000003</v>
      </c>
      <c r="N21" s="1">
        <v>65039.87</v>
      </c>
      <c r="O21" s="1">
        <v>76604.244999999995</v>
      </c>
      <c r="P21" s="1">
        <v>84213.774999999994</v>
      </c>
      <c r="Q21" s="1">
        <v>98457.934999999998</v>
      </c>
      <c r="R21" s="1">
        <v>96422.843999999997</v>
      </c>
      <c r="S21" s="1">
        <v>104897.758</v>
      </c>
      <c r="T21" s="1">
        <v>118022.28</v>
      </c>
      <c r="U21" s="1">
        <v>146572.435</v>
      </c>
      <c r="V21" s="1">
        <v>230716.932</v>
      </c>
      <c r="W21" s="1">
        <v>267773.29399999999</v>
      </c>
      <c r="X21" s="1">
        <v>252804.25700000001</v>
      </c>
      <c r="Y21" s="1">
        <v>242448.745</v>
      </c>
      <c r="Z21" s="1">
        <v>228141.68700000001</v>
      </c>
      <c r="AA21" s="1">
        <v>222616.965</v>
      </c>
      <c r="AB21" s="1">
        <v>241386.80499999999</v>
      </c>
      <c r="AC21" s="1">
        <v>248355.01699999999</v>
      </c>
      <c r="AD21" s="1"/>
      <c r="AE21" s="1">
        <v>288778.598</v>
      </c>
    </row>
    <row r="22" spans="1:31">
      <c r="A22" s="1" t="s">
        <v>39</v>
      </c>
      <c r="B22" s="1">
        <v>40488</v>
      </c>
      <c r="C22" s="1">
        <v>44295</v>
      </c>
      <c r="D22" s="1">
        <v>55524</v>
      </c>
      <c r="E22" s="1">
        <v>108784.04399999999</v>
      </c>
      <c r="F22" s="41">
        <v>132007.913</v>
      </c>
      <c r="G22" s="1">
        <v>147700.46</v>
      </c>
      <c r="H22" s="1">
        <v>171233.196</v>
      </c>
      <c r="I22" s="1">
        <v>182646.41200000001</v>
      </c>
      <c r="J22" s="1">
        <v>190693.277</v>
      </c>
      <c r="K22" s="1">
        <v>211470.302</v>
      </c>
      <c r="L22" s="1">
        <v>270650.81</v>
      </c>
      <c r="M22" s="1">
        <v>313705.799</v>
      </c>
      <c r="N22" s="1">
        <v>408602.13900000002</v>
      </c>
      <c r="O22" s="1">
        <v>491671.86099999998</v>
      </c>
      <c r="P22" s="1">
        <v>529134.50100000005</v>
      </c>
      <c r="Q22" s="1">
        <v>553897.652</v>
      </c>
      <c r="R22" s="1">
        <v>553297.76399999997</v>
      </c>
      <c r="S22" s="1">
        <v>551536.80299999996</v>
      </c>
      <c r="T22" s="1">
        <v>606148.98100000003</v>
      </c>
      <c r="U22" s="1">
        <v>792070.75199999998</v>
      </c>
      <c r="V22" s="1">
        <v>1223441.861</v>
      </c>
      <c r="W22" s="1">
        <v>1451803.851</v>
      </c>
      <c r="X22" s="1">
        <v>1388935.2779999999</v>
      </c>
      <c r="Y22" s="1">
        <v>1341469.42</v>
      </c>
      <c r="Z22" s="1">
        <v>1327134.415</v>
      </c>
      <c r="AA22" s="1">
        <v>1263337.1259999999</v>
      </c>
      <c r="AB22" s="1">
        <v>1193531.5060000001</v>
      </c>
      <c r="AC22" s="1">
        <v>1257659.4080000001</v>
      </c>
      <c r="AE22" s="1">
        <v>1334025.1610000001</v>
      </c>
    </row>
    <row r="23" spans="1:31">
      <c r="A23" s="1" t="s">
        <v>40</v>
      </c>
      <c r="B23" s="1">
        <v>13328</v>
      </c>
      <c r="C23" s="1">
        <v>13421</v>
      </c>
      <c r="D23" s="1">
        <v>16744</v>
      </c>
      <c r="E23" s="1">
        <v>24928.477999999999</v>
      </c>
      <c r="F23" s="41">
        <v>35587.277000000002</v>
      </c>
      <c r="G23" s="1">
        <v>44424.557000000001</v>
      </c>
      <c r="H23" s="1">
        <v>48394.326000000001</v>
      </c>
      <c r="I23" s="1">
        <v>49553.235000000001</v>
      </c>
      <c r="J23" s="1">
        <v>48906.879999999997</v>
      </c>
      <c r="K23" s="1">
        <v>51658.347999999998</v>
      </c>
      <c r="L23" s="1">
        <v>62833.752</v>
      </c>
      <c r="M23" s="1">
        <v>68621.58</v>
      </c>
      <c r="N23" s="1">
        <v>85518.259000000005</v>
      </c>
      <c r="O23" s="1">
        <v>97473.822</v>
      </c>
      <c r="P23" s="1">
        <v>105944.099</v>
      </c>
      <c r="Q23" s="1">
        <v>103282.868</v>
      </c>
      <c r="R23" s="1">
        <v>105993.228</v>
      </c>
      <c r="S23" s="1">
        <v>107079.79700000001</v>
      </c>
      <c r="T23" s="1">
        <v>126013.21</v>
      </c>
      <c r="U23" s="1">
        <v>159528.16099999999</v>
      </c>
      <c r="V23" s="1">
        <v>253016.34700000001</v>
      </c>
      <c r="W23" s="1">
        <v>316290.03700000001</v>
      </c>
      <c r="X23" s="1">
        <v>329305.24599999998</v>
      </c>
      <c r="Y23" s="1">
        <v>324932.065</v>
      </c>
      <c r="Z23" s="1">
        <v>320768.58</v>
      </c>
      <c r="AA23" s="1">
        <v>315851.929</v>
      </c>
      <c r="AB23" s="1">
        <v>292462.13299999997</v>
      </c>
      <c r="AC23" s="1">
        <v>272775.99699999997</v>
      </c>
      <c r="AE23" s="1">
        <v>274816.94900000002</v>
      </c>
    </row>
    <row r="24" spans="1:31">
      <c r="A24" s="23" t="s">
        <v>41</v>
      </c>
      <c r="B24" s="23">
        <v>1767</v>
      </c>
      <c r="C24" s="23">
        <v>2119</v>
      </c>
      <c r="D24" s="23">
        <v>2461</v>
      </c>
      <c r="E24" s="23">
        <v>3403.607</v>
      </c>
      <c r="F24" s="44">
        <v>4086.5819999999999</v>
      </c>
      <c r="G24" s="23">
        <v>4499.8860000000004</v>
      </c>
      <c r="H24" s="23">
        <v>5137.6210000000001</v>
      </c>
      <c r="I24" s="23">
        <v>5283.4430000000002</v>
      </c>
      <c r="J24" s="23">
        <v>5295.0249999999996</v>
      </c>
      <c r="K24" s="23">
        <v>5294.859459999996</v>
      </c>
      <c r="L24" s="23">
        <v>5637.9530000000004</v>
      </c>
      <c r="M24" s="23">
        <v>7233.3239999999996</v>
      </c>
      <c r="N24" s="23">
        <v>8088.7979999999998</v>
      </c>
      <c r="O24" s="23">
        <v>10631.446</v>
      </c>
      <c r="P24" s="23">
        <v>9147.8970000000008</v>
      </c>
      <c r="Q24" s="23">
        <v>19911.442999999999</v>
      </c>
      <c r="R24" s="23">
        <v>18372.938999999998</v>
      </c>
      <c r="S24" s="23">
        <v>24399.528999999999</v>
      </c>
      <c r="T24" s="23">
        <v>27104.561000000002</v>
      </c>
      <c r="U24" s="23">
        <v>36509.764000000003</v>
      </c>
      <c r="V24" s="23">
        <v>65772.813999999998</v>
      </c>
      <c r="W24" s="23">
        <v>77749.747000000003</v>
      </c>
      <c r="X24" s="23">
        <v>71761.857000000004</v>
      </c>
      <c r="Y24" s="23">
        <v>67557.638999999996</v>
      </c>
      <c r="Z24" s="23">
        <v>64597.923000000003</v>
      </c>
      <c r="AA24" s="23">
        <v>55280.472000000002</v>
      </c>
      <c r="AB24" s="23">
        <v>52184.205000000002</v>
      </c>
      <c r="AC24" s="23">
        <v>47268.591</v>
      </c>
      <c r="AD24" s="23"/>
      <c r="AE24" s="23">
        <v>41265.224999999999</v>
      </c>
    </row>
    <row r="25" spans="1:31">
      <c r="A25" s="7" t="s">
        <v>42</v>
      </c>
      <c r="B25" s="47">
        <f>SUM(B27:B39)</f>
        <v>0</v>
      </c>
      <c r="C25" s="47">
        <f t="shared" ref="C25:AC25" si="10">SUM(C27:C39)</f>
        <v>0</v>
      </c>
      <c r="D25" s="47">
        <f t="shared" si="10"/>
        <v>0</v>
      </c>
      <c r="E25" s="47">
        <f t="shared" si="10"/>
        <v>0</v>
      </c>
      <c r="F25" s="47">
        <f t="shared" si="10"/>
        <v>370257.65400000004</v>
      </c>
      <c r="G25" s="47">
        <f t="shared" si="10"/>
        <v>0</v>
      </c>
      <c r="H25" s="47">
        <f t="shared" si="10"/>
        <v>0</v>
      </c>
      <c r="I25" s="47">
        <f t="shared" si="10"/>
        <v>570763.05700000003</v>
      </c>
      <c r="J25" s="47">
        <f t="shared" si="10"/>
        <v>0</v>
      </c>
      <c r="K25" s="47">
        <f t="shared" si="10"/>
        <v>729444.51222999999</v>
      </c>
      <c r="L25" s="47">
        <f t="shared" si="10"/>
        <v>737486.19799999997</v>
      </c>
      <c r="M25" s="47">
        <f t="shared" si="10"/>
        <v>826311.47600000002</v>
      </c>
      <c r="N25" s="47">
        <f t="shared" si="10"/>
        <v>1020374.6900000001</v>
      </c>
      <c r="O25" s="47">
        <f t="shared" si="10"/>
        <v>1254967.2289999998</v>
      </c>
      <c r="P25" s="47">
        <f t="shared" si="10"/>
        <v>1319092.33</v>
      </c>
      <c r="Q25" s="47">
        <f t="shared" si="10"/>
        <v>1638609.4070000001</v>
      </c>
      <c r="R25" s="47">
        <f t="shared" si="10"/>
        <v>1618669.165</v>
      </c>
      <c r="S25" s="47">
        <f t="shared" si="10"/>
        <v>1584081.84</v>
      </c>
      <c r="T25" s="47">
        <f t="shared" si="10"/>
        <v>1752808.915</v>
      </c>
      <c r="U25" s="47">
        <f t="shared" si="10"/>
        <v>2221171.9220000003</v>
      </c>
      <c r="V25" s="47">
        <f t="shared" si="10"/>
        <v>3310693.5529999998</v>
      </c>
      <c r="W25" s="47">
        <f t="shared" si="10"/>
        <v>4168972.3839999996</v>
      </c>
      <c r="X25" s="47">
        <f t="shared" si="10"/>
        <v>4134340.824</v>
      </c>
      <c r="Y25" s="47">
        <f t="shared" si="10"/>
        <v>3005393.8330000001</v>
      </c>
      <c r="Z25" s="47">
        <f t="shared" si="10"/>
        <v>3005202.0489999992</v>
      </c>
      <c r="AA25" s="47">
        <f t="shared" si="10"/>
        <v>2989498.9350000001</v>
      </c>
      <c r="AB25" s="47">
        <f t="shared" si="10"/>
        <v>3878190.4590000003</v>
      </c>
      <c r="AC25" s="47">
        <f t="shared" si="10"/>
        <v>3732147.3069999991</v>
      </c>
      <c r="AD25" s="47">
        <f t="shared" ref="AD25:AE25" si="11">SUM(AD27:AD39)</f>
        <v>0</v>
      </c>
      <c r="AE25" s="47">
        <f t="shared" si="11"/>
        <v>3919922.5070000002</v>
      </c>
    </row>
    <row r="26" spans="1:31">
      <c r="A26" s="7" t="s">
        <v>97</v>
      </c>
      <c r="X26" s="1">
        <v>0</v>
      </c>
      <c r="Y26" s="1" t="e">
        <f>#REF!/1000</f>
        <v>#REF!</v>
      </c>
      <c r="AB26" s="1">
        <v>0</v>
      </c>
      <c r="AC26" s="1">
        <v>0</v>
      </c>
    </row>
    <row r="27" spans="1:31">
      <c r="A27" s="1" t="s">
        <v>43</v>
      </c>
      <c r="F27" s="41">
        <v>0</v>
      </c>
      <c r="I27" s="1">
        <v>17.291</v>
      </c>
      <c r="K27" s="1">
        <v>38.072000000000003</v>
      </c>
      <c r="L27" s="1">
        <v>339.88900000000001</v>
      </c>
      <c r="M27" s="1">
        <v>15.497</v>
      </c>
      <c r="N27" s="1">
        <v>44.228000000000002</v>
      </c>
      <c r="O27" s="1">
        <v>268.26400000000001</v>
      </c>
      <c r="P27" s="1">
        <v>143.548</v>
      </c>
      <c r="Q27" s="1">
        <v>81.465999999999994</v>
      </c>
      <c r="R27" s="1">
        <v>242.91800000000001</v>
      </c>
      <c r="S27" s="1">
        <v>387.721</v>
      </c>
      <c r="T27" s="1">
        <v>398.363</v>
      </c>
      <c r="U27" s="1">
        <v>476.31099999999998</v>
      </c>
      <c r="V27" s="1">
        <v>612.59299999999996</v>
      </c>
      <c r="W27" s="1">
        <v>72.067999999999998</v>
      </c>
      <c r="X27" s="1">
        <v>216.404</v>
      </c>
      <c r="Y27" s="1">
        <v>40.767000000000003</v>
      </c>
      <c r="AB27" s="1">
        <v>131.006</v>
      </c>
      <c r="AC27" s="1">
        <v>91.778999999999996</v>
      </c>
      <c r="AE27" s="1">
        <v>137.70599999999999</v>
      </c>
    </row>
    <row r="28" spans="1:31">
      <c r="A28" s="1" t="s">
        <v>44</v>
      </c>
      <c r="F28" s="41">
        <v>37675.502999999997</v>
      </c>
      <c r="I28" s="1">
        <v>53057.68</v>
      </c>
      <c r="K28" s="1">
        <v>56800.047760000001</v>
      </c>
      <c r="L28" s="1">
        <v>68855.868000000002</v>
      </c>
      <c r="M28" s="1">
        <v>72683.346000000005</v>
      </c>
      <c r="N28" s="1">
        <v>91249.460999999996</v>
      </c>
      <c r="O28" s="1">
        <v>107098.14599999999</v>
      </c>
      <c r="P28" s="1">
        <v>120915.67</v>
      </c>
      <c r="Q28" s="1">
        <v>128890.889</v>
      </c>
      <c r="R28" s="1">
        <v>119896.439</v>
      </c>
      <c r="S28" s="1">
        <v>116484.333</v>
      </c>
      <c r="T28" s="1">
        <v>128218.348</v>
      </c>
      <c r="U28" s="1">
        <v>157357.63200000001</v>
      </c>
      <c r="V28" s="1">
        <v>270358.24400000001</v>
      </c>
      <c r="W28" s="1">
        <v>360312.685</v>
      </c>
      <c r="X28" s="1">
        <v>381454.321</v>
      </c>
      <c r="Y28" s="1">
        <v>76374.614000000001</v>
      </c>
      <c r="Z28" s="1">
        <v>73130.914999999994</v>
      </c>
      <c r="AA28" s="1">
        <v>70874.898000000001</v>
      </c>
      <c r="AB28" s="1">
        <v>279511.614</v>
      </c>
      <c r="AC28" s="1">
        <v>264971.05300000001</v>
      </c>
      <c r="AE28" s="1">
        <v>256109.70499999999</v>
      </c>
    </row>
    <row r="29" spans="1:31">
      <c r="A29" s="1" t="s">
        <v>45</v>
      </c>
      <c r="F29" s="41">
        <v>145873.90900000001</v>
      </c>
      <c r="I29" s="1">
        <v>279424.80300000001</v>
      </c>
      <c r="K29" s="1">
        <v>396679.08927</v>
      </c>
      <c r="L29" s="1">
        <v>338929.00300000003</v>
      </c>
      <c r="M29" s="1">
        <v>388086.78</v>
      </c>
      <c r="N29" s="1">
        <v>483653.77899999998</v>
      </c>
      <c r="O29" s="1">
        <v>625124.42299999995</v>
      </c>
      <c r="P29" s="1">
        <v>671103.696</v>
      </c>
      <c r="Q29" s="1">
        <v>944307.98100000003</v>
      </c>
      <c r="R29" s="1">
        <v>935601.72699999996</v>
      </c>
      <c r="S29" s="1">
        <v>935430.25699999998</v>
      </c>
      <c r="T29" s="1">
        <v>1047550.09</v>
      </c>
      <c r="U29" s="1">
        <v>1282186.4269999999</v>
      </c>
      <c r="V29" s="1">
        <v>1859580.2590000001</v>
      </c>
      <c r="W29" s="1">
        <v>2341256.4539999999</v>
      </c>
      <c r="X29" s="1">
        <v>2345992.0430000001</v>
      </c>
      <c r="Y29" s="1">
        <v>1778198.719</v>
      </c>
      <c r="Z29" s="1">
        <v>1860565.23</v>
      </c>
      <c r="AA29" s="1">
        <v>1893845.3419999999</v>
      </c>
      <c r="AB29" s="1">
        <v>2470372.0210000002</v>
      </c>
      <c r="AC29" s="1">
        <v>2380502.523</v>
      </c>
      <c r="AE29" s="1">
        <v>2559829.949</v>
      </c>
    </row>
    <row r="30" spans="1:31">
      <c r="A30" s="1" t="s">
        <v>46</v>
      </c>
      <c r="F30" s="41">
        <v>31378.411</v>
      </c>
      <c r="I30" s="1">
        <v>35062.796999999999</v>
      </c>
      <c r="K30" s="1">
        <v>39873.201000000001</v>
      </c>
      <c r="L30" s="1">
        <v>48143.97</v>
      </c>
      <c r="M30" s="1">
        <v>52392.097000000002</v>
      </c>
      <c r="N30" s="1">
        <v>63258.084999999999</v>
      </c>
      <c r="O30" s="1">
        <v>74128.759000000005</v>
      </c>
      <c r="P30" s="1">
        <v>77442.755000000005</v>
      </c>
      <c r="Q30" s="1">
        <v>80992.085999999996</v>
      </c>
      <c r="R30" s="1">
        <v>82464.506999999998</v>
      </c>
      <c r="S30" s="1">
        <v>80318.587</v>
      </c>
      <c r="T30" s="1">
        <v>88299.179000000004</v>
      </c>
      <c r="U30" s="1">
        <v>101242.651</v>
      </c>
      <c r="V30" s="1">
        <v>155933.37100000001</v>
      </c>
      <c r="W30" s="1">
        <v>198647.33</v>
      </c>
      <c r="X30" s="1">
        <v>215597.158</v>
      </c>
      <c r="Y30" s="1">
        <v>90746.479000000007</v>
      </c>
      <c r="Z30" s="1">
        <v>80964.399999999994</v>
      </c>
      <c r="AA30" s="1">
        <v>81164.274000000005</v>
      </c>
      <c r="AB30" s="1">
        <v>162791.61900000001</v>
      </c>
      <c r="AC30" s="1">
        <v>154000.99600000001</v>
      </c>
      <c r="AE30" s="1">
        <v>157780.79399999999</v>
      </c>
    </row>
    <row r="31" spans="1:31">
      <c r="A31" s="1" t="s">
        <v>47</v>
      </c>
      <c r="F31" s="41">
        <v>2590.5569999999998</v>
      </c>
      <c r="I31" s="1">
        <v>5207.7240000000002</v>
      </c>
      <c r="K31" s="1">
        <v>5598.9620000000004</v>
      </c>
      <c r="L31" s="1">
        <v>7967.7489999999998</v>
      </c>
      <c r="M31" s="1">
        <v>8107.9930000000004</v>
      </c>
      <c r="N31" s="1">
        <v>16341.263000000001</v>
      </c>
      <c r="O31" s="1">
        <v>15265.324000000001</v>
      </c>
      <c r="P31" s="1">
        <v>13590.232</v>
      </c>
      <c r="Q31" s="1">
        <v>11106.868</v>
      </c>
      <c r="R31" s="1">
        <v>8884.3189999999995</v>
      </c>
      <c r="S31" s="1">
        <v>9462.1389999999992</v>
      </c>
      <c r="T31" s="1">
        <v>11850.972</v>
      </c>
      <c r="U31" s="1">
        <v>19311.594000000001</v>
      </c>
      <c r="V31" s="1">
        <v>32483.418000000001</v>
      </c>
      <c r="W31" s="1">
        <v>44655.51</v>
      </c>
      <c r="X31" s="1">
        <v>48952.154000000002</v>
      </c>
      <c r="Y31" s="1">
        <v>49220.421999999999</v>
      </c>
      <c r="Z31" s="1">
        <v>49643.055</v>
      </c>
      <c r="AA31" s="1">
        <v>48418.741999999998</v>
      </c>
      <c r="AB31" s="1">
        <v>42283.118000000002</v>
      </c>
      <c r="AC31" s="1">
        <v>38065.777000000002</v>
      </c>
      <c r="AE31" s="1">
        <v>36558.133000000002</v>
      </c>
    </row>
    <row r="32" spans="1:31">
      <c r="A32" s="1" t="s">
        <v>48</v>
      </c>
      <c r="F32" s="41">
        <v>4395.0140000000001</v>
      </c>
      <c r="I32" s="1">
        <v>5801.3310000000001</v>
      </c>
      <c r="K32" s="1">
        <v>10005.544</v>
      </c>
      <c r="L32" s="1">
        <v>8373.2309999999998</v>
      </c>
      <c r="M32" s="1">
        <v>9625.4390000000003</v>
      </c>
      <c r="N32" s="1">
        <v>12168.311</v>
      </c>
      <c r="O32" s="1">
        <v>19496.616000000002</v>
      </c>
      <c r="P32" s="1">
        <v>22016.081999999999</v>
      </c>
      <c r="Q32" s="1">
        <v>22189.907999999999</v>
      </c>
      <c r="R32" s="1">
        <v>20509.118999999999</v>
      </c>
      <c r="S32" s="1">
        <v>17956.433000000001</v>
      </c>
      <c r="T32" s="1">
        <v>19698.782999999999</v>
      </c>
      <c r="U32" s="1">
        <v>25394.713</v>
      </c>
      <c r="V32" s="1">
        <v>37505.849000000002</v>
      </c>
      <c r="W32" s="1">
        <v>45597.605000000003</v>
      </c>
      <c r="X32" s="1">
        <v>53496.35</v>
      </c>
      <c r="Y32" s="1">
        <v>53638.527000000002</v>
      </c>
      <c r="Z32" s="1">
        <v>48604.065999999999</v>
      </c>
      <c r="AA32" s="1">
        <v>41554.705000000002</v>
      </c>
      <c r="AB32" s="1">
        <v>36588.449999999997</v>
      </c>
      <c r="AC32" s="1">
        <v>32443.754000000001</v>
      </c>
      <c r="AE32" s="1">
        <v>33748.559000000001</v>
      </c>
    </row>
    <row r="33" spans="1:31">
      <c r="A33" s="1" t="s">
        <v>49</v>
      </c>
      <c r="F33" s="41">
        <v>6660.9</v>
      </c>
      <c r="I33" s="1">
        <v>7913.8440000000001</v>
      </c>
      <c r="K33" s="1">
        <v>7504.4747099999977</v>
      </c>
      <c r="L33" s="1">
        <v>8993.33</v>
      </c>
      <c r="M33" s="1">
        <v>10808.96</v>
      </c>
      <c r="N33" s="1">
        <v>12038.391</v>
      </c>
      <c r="O33" s="1">
        <v>12559.411</v>
      </c>
      <c r="P33" s="1">
        <v>13873.222</v>
      </c>
      <c r="Q33" s="1">
        <v>14580.882</v>
      </c>
      <c r="R33" s="1">
        <v>13513.212</v>
      </c>
      <c r="S33" s="1">
        <v>13457.985000000001</v>
      </c>
      <c r="T33" s="1">
        <v>15125.352000000001</v>
      </c>
      <c r="U33" s="1">
        <v>18109.391</v>
      </c>
      <c r="V33" s="1">
        <v>24994.657999999999</v>
      </c>
      <c r="W33" s="1">
        <v>27813.191999999999</v>
      </c>
      <c r="X33" s="1">
        <v>27078.343000000001</v>
      </c>
      <c r="Y33" s="1">
        <v>22823.238000000001</v>
      </c>
      <c r="Z33" s="1">
        <v>21062.401999999998</v>
      </c>
      <c r="AA33" s="1">
        <v>19162.698</v>
      </c>
      <c r="AB33" s="1">
        <v>17513.485000000001</v>
      </c>
      <c r="AC33" s="1">
        <v>16467.853999999999</v>
      </c>
      <c r="AE33" s="1">
        <v>17659.137999999999</v>
      </c>
    </row>
    <row r="34" spans="1:31">
      <c r="A34" s="1" t="s">
        <v>50</v>
      </c>
      <c r="F34" s="41">
        <v>3715.431</v>
      </c>
      <c r="I34" s="1">
        <v>4769.067</v>
      </c>
      <c r="K34" s="1">
        <v>6596</v>
      </c>
      <c r="L34" s="1">
        <v>10428.904</v>
      </c>
      <c r="M34" s="1">
        <v>12880</v>
      </c>
      <c r="N34" s="1">
        <v>18718</v>
      </c>
      <c r="O34" s="1">
        <v>23113</v>
      </c>
      <c r="P34" s="1">
        <v>7589.2169999999996</v>
      </c>
      <c r="Q34" s="1">
        <v>8185.0029999999997</v>
      </c>
      <c r="R34" s="1">
        <v>7678.8159999999998</v>
      </c>
      <c r="S34" s="1">
        <v>4854</v>
      </c>
      <c r="T34" s="1">
        <v>6006</v>
      </c>
      <c r="U34" s="1">
        <v>31579.172999999999</v>
      </c>
      <c r="V34" s="1">
        <v>57394.196000000004</v>
      </c>
      <c r="W34" s="1">
        <v>74403.312000000005</v>
      </c>
      <c r="X34" s="1">
        <v>78197.368000000002</v>
      </c>
      <c r="Y34" s="1">
        <v>77530</v>
      </c>
      <c r="Z34" s="1">
        <v>78256</v>
      </c>
      <c r="AA34" s="1">
        <v>83216</v>
      </c>
      <c r="AB34" s="1">
        <v>76661</v>
      </c>
      <c r="AC34" s="1">
        <v>69337</v>
      </c>
      <c r="AE34" s="1">
        <v>78834</v>
      </c>
    </row>
    <row r="35" spans="1:31">
      <c r="A35" s="1" t="s">
        <v>51</v>
      </c>
      <c r="F35" s="41">
        <v>11917.04</v>
      </c>
      <c r="I35" s="1">
        <v>23122.144</v>
      </c>
      <c r="K35" s="1">
        <v>27826.215889999999</v>
      </c>
      <c r="L35" s="1">
        <v>36008.963000000003</v>
      </c>
      <c r="M35" s="1">
        <v>38497.555999999997</v>
      </c>
      <c r="N35" s="1">
        <v>46315.764999999999</v>
      </c>
      <c r="O35" s="1">
        <v>58959.713000000003</v>
      </c>
      <c r="P35" s="1">
        <v>62468.472999999998</v>
      </c>
      <c r="Q35" s="1">
        <v>71131.273000000001</v>
      </c>
      <c r="R35" s="1">
        <v>66918.856</v>
      </c>
      <c r="S35" s="1">
        <v>65543.323999999993</v>
      </c>
      <c r="T35" s="1">
        <v>70850.069000000003</v>
      </c>
      <c r="U35" s="1">
        <v>96483.797000000006</v>
      </c>
      <c r="V35" s="1">
        <v>134312.64000000001</v>
      </c>
      <c r="W35" s="1">
        <v>160676.584</v>
      </c>
      <c r="X35" s="1">
        <v>161689.57199999999</v>
      </c>
      <c r="Y35" s="1">
        <v>94953.93</v>
      </c>
      <c r="Z35" s="1">
        <v>89339.134999999995</v>
      </c>
      <c r="AA35" s="1">
        <v>80671.671000000002</v>
      </c>
      <c r="AB35" s="1">
        <v>118235.217</v>
      </c>
      <c r="AC35" s="1">
        <v>109834.573</v>
      </c>
      <c r="AE35" s="1">
        <v>104822.36500000001</v>
      </c>
    </row>
    <row r="36" spans="1:31">
      <c r="A36" s="1" t="s">
        <v>52</v>
      </c>
      <c r="F36" s="41">
        <v>34042.978000000003</v>
      </c>
      <c r="I36" s="1">
        <v>34815.010999999999</v>
      </c>
      <c r="K36" s="1">
        <v>36559.004739999997</v>
      </c>
      <c r="L36" s="1">
        <v>48315.076999999997</v>
      </c>
      <c r="M36" s="1">
        <v>55184.428999999996</v>
      </c>
      <c r="N36" s="1">
        <v>71054.964000000007</v>
      </c>
      <c r="O36" s="1">
        <v>79958.491999999998</v>
      </c>
      <c r="P36" s="1">
        <v>91294.406000000003</v>
      </c>
      <c r="Q36" s="1">
        <v>92553.752999999997</v>
      </c>
      <c r="R36" s="1">
        <v>91321.186000000002</v>
      </c>
      <c r="S36" s="1">
        <v>91681.850999999995</v>
      </c>
      <c r="T36" s="1">
        <v>101010.355</v>
      </c>
      <c r="U36" s="1">
        <v>147044.15299999999</v>
      </c>
      <c r="V36" s="1">
        <v>259562.677</v>
      </c>
      <c r="W36" s="1">
        <v>360922.46100000001</v>
      </c>
      <c r="X36" s="1">
        <v>267137.98800000001</v>
      </c>
      <c r="Y36" s="1">
        <v>261999.10800000001</v>
      </c>
      <c r="Z36" s="1">
        <v>240115.89</v>
      </c>
      <c r="AA36" s="1">
        <v>219902.13200000001</v>
      </c>
      <c r="AB36" s="1">
        <v>195941.57199999999</v>
      </c>
      <c r="AC36" s="1">
        <v>201108.67199999999</v>
      </c>
      <c r="AE36" s="1">
        <v>196319.39499999999</v>
      </c>
    </row>
    <row r="37" spans="1:31">
      <c r="A37" s="1" t="s">
        <v>53</v>
      </c>
      <c r="F37" s="41">
        <v>20107.417000000001</v>
      </c>
      <c r="I37" s="1">
        <v>15070.585999999999</v>
      </c>
      <c r="K37" s="1">
        <v>15103.471</v>
      </c>
      <c r="L37" s="1">
        <v>15104.151</v>
      </c>
      <c r="M37" s="1">
        <v>16789.447</v>
      </c>
      <c r="N37" s="1">
        <v>21617.975999999999</v>
      </c>
      <c r="O37" s="1">
        <v>23284.128000000001</v>
      </c>
      <c r="P37" s="1">
        <v>28291.036</v>
      </c>
      <c r="Q37" s="1">
        <v>31461.557000000001</v>
      </c>
      <c r="R37" s="1">
        <v>28706.698</v>
      </c>
      <c r="S37" s="1">
        <v>25941.855</v>
      </c>
      <c r="T37" s="1">
        <v>25396.742999999999</v>
      </c>
      <c r="U37" s="1">
        <v>29846.776999999998</v>
      </c>
      <c r="V37" s="1">
        <v>63110.180999999997</v>
      </c>
      <c r="W37" s="1">
        <v>66267.486000000004</v>
      </c>
      <c r="X37" s="1">
        <v>56216.989000000001</v>
      </c>
      <c r="Y37" s="1">
        <v>79979.520000000004</v>
      </c>
      <c r="Z37" s="1">
        <v>64037.822999999997</v>
      </c>
      <c r="AA37" s="1">
        <v>58774.997000000003</v>
      </c>
      <c r="AB37" s="1">
        <v>44705.43</v>
      </c>
      <c r="AC37" s="1">
        <v>42778.034</v>
      </c>
      <c r="AE37" s="1">
        <v>43958.622000000003</v>
      </c>
    </row>
    <row r="38" spans="1:31">
      <c r="A38" s="1" t="s">
        <v>54</v>
      </c>
      <c r="F38" s="41">
        <v>62941.292000000001</v>
      </c>
      <c r="I38" s="1">
        <v>97187.994000000006</v>
      </c>
      <c r="K38" s="1">
        <v>117579.56786</v>
      </c>
      <c r="L38" s="1">
        <v>135148.5</v>
      </c>
      <c r="M38" s="1">
        <v>149781.834</v>
      </c>
      <c r="N38" s="1">
        <v>170460.13800000001</v>
      </c>
      <c r="O38" s="1">
        <v>200695.76</v>
      </c>
      <c r="P38" s="1">
        <v>192977.32</v>
      </c>
      <c r="Q38" s="1">
        <v>214728.46299999999</v>
      </c>
      <c r="R38" s="1">
        <v>226161.77600000001</v>
      </c>
      <c r="S38" s="1">
        <v>203829.598</v>
      </c>
      <c r="T38" s="1">
        <v>215684.38500000001</v>
      </c>
      <c r="U38" s="1">
        <v>285259.603</v>
      </c>
      <c r="V38" s="1">
        <v>380708.299</v>
      </c>
      <c r="W38" s="1">
        <v>446118.01699999999</v>
      </c>
      <c r="X38" s="1">
        <v>458905.364</v>
      </c>
      <c r="Y38" s="1">
        <v>381940.00099999999</v>
      </c>
      <c r="Z38" s="1">
        <v>363357.30099999998</v>
      </c>
      <c r="AA38" s="1">
        <v>353515.07900000003</v>
      </c>
      <c r="AB38" s="1">
        <v>395850.49300000002</v>
      </c>
      <c r="AC38" s="1">
        <v>383131.962</v>
      </c>
      <c r="AE38" s="1">
        <v>396167.38400000002</v>
      </c>
    </row>
    <row r="39" spans="1:31">
      <c r="A39" s="23" t="s">
        <v>55</v>
      </c>
      <c r="B39" s="23"/>
      <c r="C39" s="23"/>
      <c r="D39" s="23"/>
      <c r="E39" s="23"/>
      <c r="F39" s="44">
        <v>8959.2019999999993</v>
      </c>
      <c r="G39" s="23"/>
      <c r="H39" s="23"/>
      <c r="I39" s="23">
        <v>9312.7849999999999</v>
      </c>
      <c r="J39" s="23"/>
      <c r="K39" s="23">
        <v>9280.8619999999992</v>
      </c>
      <c r="L39" s="23">
        <v>10877.563</v>
      </c>
      <c r="M39" s="23">
        <v>11458.098</v>
      </c>
      <c r="N39" s="23">
        <v>13454.329</v>
      </c>
      <c r="O39" s="23">
        <v>15015.192999999999</v>
      </c>
      <c r="P39" s="23">
        <v>17386.672999999999</v>
      </c>
      <c r="Q39" s="23">
        <v>18399.277999999998</v>
      </c>
      <c r="R39" s="23">
        <v>16769.592000000001</v>
      </c>
      <c r="S39" s="23">
        <v>18733.757000000001</v>
      </c>
      <c r="T39" s="23">
        <v>22720.276000000002</v>
      </c>
      <c r="U39" s="23">
        <v>26879.7</v>
      </c>
      <c r="V39" s="23">
        <v>34137.167999999998</v>
      </c>
      <c r="W39" s="23">
        <v>42229.68</v>
      </c>
      <c r="X39" s="23">
        <v>39406.769999999997</v>
      </c>
      <c r="Y39" s="23">
        <v>37948.508000000002</v>
      </c>
      <c r="Z39" s="23">
        <v>36125.832000000002</v>
      </c>
      <c r="AA39" s="23">
        <v>38398.396999999997</v>
      </c>
      <c r="AB39" s="23">
        <v>37605.434000000001</v>
      </c>
      <c r="AC39" s="23">
        <v>39413.33</v>
      </c>
      <c r="AD39" s="23"/>
      <c r="AE39" s="23">
        <v>37996.756999999998</v>
      </c>
    </row>
    <row r="40" spans="1:31">
      <c r="A40" s="7" t="s">
        <v>56</v>
      </c>
      <c r="B40" s="47">
        <f>SUM(B42:B53)</f>
        <v>0</v>
      </c>
      <c r="C40" s="47">
        <f t="shared" ref="C40:AC40" si="12">SUM(C42:C53)</f>
        <v>0</v>
      </c>
      <c r="D40" s="47">
        <f t="shared" si="12"/>
        <v>0</v>
      </c>
      <c r="E40" s="47">
        <f t="shared" si="12"/>
        <v>0</v>
      </c>
      <c r="F40" s="47">
        <f t="shared" si="12"/>
        <v>458137.32299999997</v>
      </c>
      <c r="G40" s="47">
        <f t="shared" si="12"/>
        <v>0</v>
      </c>
      <c r="H40" s="47">
        <f t="shared" si="12"/>
        <v>0</v>
      </c>
      <c r="I40" s="47">
        <f t="shared" si="12"/>
        <v>482772.12400000001</v>
      </c>
      <c r="J40" s="47">
        <f t="shared" si="12"/>
        <v>0</v>
      </c>
      <c r="K40" s="47">
        <f t="shared" si="12"/>
        <v>520565.47435000003</v>
      </c>
      <c r="L40" s="47">
        <f t="shared" si="12"/>
        <v>603348.48300000001</v>
      </c>
      <c r="M40" s="47">
        <f t="shared" si="12"/>
        <v>683996.13300000003</v>
      </c>
      <c r="N40" s="47">
        <f t="shared" si="12"/>
        <v>874506.59399999992</v>
      </c>
      <c r="O40" s="47">
        <f t="shared" si="12"/>
        <v>1030548.6199999999</v>
      </c>
      <c r="P40" s="47">
        <f t="shared" si="12"/>
        <v>1112065.9139999999</v>
      </c>
      <c r="Q40" s="47">
        <f t="shared" si="12"/>
        <v>1187643.138</v>
      </c>
      <c r="R40" s="47">
        <f t="shared" si="12"/>
        <v>1189204.774</v>
      </c>
      <c r="S40" s="47">
        <f t="shared" si="12"/>
        <v>1257824.4779999999</v>
      </c>
      <c r="T40" s="47">
        <f t="shared" si="12"/>
        <v>1399190.1700000002</v>
      </c>
      <c r="U40" s="47">
        <f t="shared" si="12"/>
        <v>1756970.0340000002</v>
      </c>
      <c r="V40" s="47">
        <f t="shared" si="12"/>
        <v>2675056.7649999997</v>
      </c>
      <c r="W40" s="47">
        <f t="shared" si="12"/>
        <v>3235147.9779999997</v>
      </c>
      <c r="X40" s="47">
        <f t="shared" si="12"/>
        <v>3058836.8170000003</v>
      </c>
      <c r="Y40" s="47">
        <f t="shared" si="12"/>
        <v>2340113.6529999999</v>
      </c>
      <c r="Z40" s="47">
        <f t="shared" si="12"/>
        <v>2213070.4910000004</v>
      </c>
      <c r="AA40" s="47">
        <f t="shared" si="12"/>
        <v>2064604.8979999996</v>
      </c>
      <c r="AB40" s="47">
        <f t="shared" si="12"/>
        <v>2244715.6349999998</v>
      </c>
      <c r="AC40" s="47">
        <f t="shared" si="12"/>
        <v>2107008.3429999999</v>
      </c>
      <c r="AD40" s="47">
        <f t="shared" ref="AD40:AE40" si="13">SUM(AD42:AD53)</f>
        <v>0</v>
      </c>
      <c r="AE40" s="47">
        <f t="shared" si="13"/>
        <v>2140013.7919999999</v>
      </c>
    </row>
    <row r="41" spans="1:31">
      <c r="A41" s="7" t="s">
        <v>97</v>
      </c>
      <c r="X41" s="1">
        <v>0</v>
      </c>
      <c r="Y41" s="1" t="e">
        <f>#REF!/1000</f>
        <v>#REF!</v>
      </c>
      <c r="AB41" s="1">
        <v>0</v>
      </c>
      <c r="AC41" s="1">
        <v>0</v>
      </c>
    </row>
    <row r="42" spans="1:31">
      <c r="A42" s="1" t="s">
        <v>57</v>
      </c>
      <c r="F42" s="41">
        <v>81541.101999999999</v>
      </c>
      <c r="I42" s="1">
        <v>92195.679000000004</v>
      </c>
      <c r="K42" s="1">
        <v>106955.26203</v>
      </c>
      <c r="L42" s="1">
        <v>132167.41500000001</v>
      </c>
      <c r="M42" s="1">
        <v>146743.864</v>
      </c>
      <c r="N42" s="1">
        <v>196031.15299999999</v>
      </c>
      <c r="O42" s="1">
        <v>226262.603</v>
      </c>
      <c r="P42" s="1">
        <v>249814.29300000001</v>
      </c>
      <c r="Q42" s="1">
        <v>270560.65899999999</v>
      </c>
      <c r="R42" s="1">
        <v>273057.93099999998</v>
      </c>
      <c r="S42" s="1">
        <v>283880.821</v>
      </c>
      <c r="T42" s="1">
        <v>310747.93900000001</v>
      </c>
      <c r="U42" s="1">
        <v>372080.56699999998</v>
      </c>
      <c r="V42" s="1">
        <v>534901.61399999994</v>
      </c>
      <c r="W42" s="1">
        <v>652052.90700000001</v>
      </c>
      <c r="X42" s="1">
        <v>626175.47900000005</v>
      </c>
      <c r="Y42" s="1">
        <v>354526.42099999997</v>
      </c>
      <c r="Z42" s="1">
        <v>340380.27299999999</v>
      </c>
      <c r="AA42" s="1">
        <v>325271.08199999999</v>
      </c>
      <c r="AB42" s="1">
        <v>475489.56300000002</v>
      </c>
      <c r="AC42" s="1">
        <v>452172.02100000001</v>
      </c>
      <c r="AE42" s="1">
        <v>464833.66800000001</v>
      </c>
    </row>
    <row r="43" spans="1:31">
      <c r="A43" s="1" t="s">
        <v>58</v>
      </c>
      <c r="F43" s="41">
        <v>35894.133000000002</v>
      </c>
      <c r="I43" s="1">
        <v>31162.965</v>
      </c>
      <c r="K43" s="1">
        <v>32957.919000000002</v>
      </c>
      <c r="L43" s="1">
        <v>41785.059000000001</v>
      </c>
      <c r="M43" s="1">
        <v>46877.142999999996</v>
      </c>
      <c r="N43" s="1">
        <v>63728.273999999998</v>
      </c>
      <c r="O43" s="1">
        <v>79299.035999999993</v>
      </c>
      <c r="P43" s="1">
        <v>80908.767999999996</v>
      </c>
      <c r="Q43" s="1">
        <v>84272.368000000002</v>
      </c>
      <c r="R43" s="1">
        <v>83251.353000000003</v>
      </c>
      <c r="S43" s="1">
        <v>90076.712</v>
      </c>
      <c r="T43" s="1">
        <v>97441.001000000004</v>
      </c>
      <c r="U43" s="1">
        <v>126133.518</v>
      </c>
      <c r="V43" s="1">
        <v>233632.65100000001</v>
      </c>
      <c r="W43" s="1">
        <v>285832.00699999998</v>
      </c>
      <c r="X43" s="1">
        <v>286446.87900000002</v>
      </c>
      <c r="Y43" s="1">
        <v>291052.15600000002</v>
      </c>
      <c r="Z43" s="1">
        <v>264328.11599999998</v>
      </c>
      <c r="AA43" s="1">
        <v>241829.073</v>
      </c>
      <c r="AB43" s="1">
        <v>172378.73300000001</v>
      </c>
      <c r="AC43" s="1">
        <v>151683.65299999999</v>
      </c>
      <c r="AE43" s="1">
        <v>172901.22700000001</v>
      </c>
    </row>
    <row r="44" spans="1:31">
      <c r="A44" s="1" t="s">
        <v>59</v>
      </c>
      <c r="F44" s="41">
        <v>36690.879999999997</v>
      </c>
      <c r="I44" s="1">
        <v>33635.659</v>
      </c>
      <c r="K44" s="1">
        <v>33614.815000000002</v>
      </c>
      <c r="L44" s="1">
        <v>39550.008999999998</v>
      </c>
      <c r="M44" s="1">
        <v>44458.81</v>
      </c>
      <c r="N44" s="1">
        <v>57127.116000000002</v>
      </c>
      <c r="O44" s="1">
        <v>76810.228000000003</v>
      </c>
      <c r="P44" s="1">
        <v>84453.762000000002</v>
      </c>
      <c r="Q44" s="1">
        <v>88417.676999999996</v>
      </c>
      <c r="R44" s="1">
        <v>85232.896999999997</v>
      </c>
      <c r="S44" s="1">
        <v>78837.088000000003</v>
      </c>
      <c r="T44" s="1">
        <v>88969.206999999995</v>
      </c>
      <c r="U44" s="1">
        <v>118130.77499999999</v>
      </c>
      <c r="V44" s="1">
        <v>194689.685</v>
      </c>
      <c r="W44" s="1">
        <v>224373.905</v>
      </c>
      <c r="X44" s="1">
        <v>183433.17199999999</v>
      </c>
      <c r="Y44" s="1">
        <v>161394.39000000001</v>
      </c>
      <c r="Z44" s="1">
        <v>148655.671</v>
      </c>
      <c r="AA44" s="1">
        <v>145110.55600000001</v>
      </c>
      <c r="AB44" s="1">
        <v>140344.83600000001</v>
      </c>
      <c r="AC44" s="1">
        <v>130790.882</v>
      </c>
      <c r="AE44" s="1">
        <v>130853.325</v>
      </c>
    </row>
    <row r="45" spans="1:31">
      <c r="A45" s="1" t="s">
        <v>60</v>
      </c>
      <c r="F45" s="41">
        <v>22111.895</v>
      </c>
      <c r="I45" s="1">
        <v>26670.175999999999</v>
      </c>
      <c r="K45" s="1">
        <v>30049.691569999999</v>
      </c>
      <c r="L45" s="1">
        <v>31947.821</v>
      </c>
      <c r="M45" s="1">
        <v>36669.658000000003</v>
      </c>
      <c r="N45" s="1">
        <v>45194.972000000002</v>
      </c>
      <c r="O45" s="1">
        <v>52233.298999999999</v>
      </c>
      <c r="P45" s="1">
        <v>58148.451000000001</v>
      </c>
      <c r="Q45" s="1">
        <v>61489.440999999999</v>
      </c>
      <c r="R45" s="1">
        <v>61142.400000000001</v>
      </c>
      <c r="S45" s="1">
        <v>60714.108999999997</v>
      </c>
      <c r="T45" s="1">
        <v>63582.250999999997</v>
      </c>
      <c r="U45" s="1">
        <v>73454.153000000006</v>
      </c>
      <c r="V45" s="1">
        <v>117473.32799999999</v>
      </c>
      <c r="W45" s="1">
        <v>144123.33300000001</v>
      </c>
      <c r="X45" s="1">
        <v>138621.26300000001</v>
      </c>
      <c r="Y45" s="1">
        <v>96735.505000000005</v>
      </c>
      <c r="Z45" s="1">
        <v>89448.634999999995</v>
      </c>
      <c r="AA45" s="1">
        <v>87433.542000000001</v>
      </c>
      <c r="AB45" s="1">
        <v>112538.90700000001</v>
      </c>
      <c r="AC45" s="1">
        <v>107988.55100000001</v>
      </c>
      <c r="AE45" s="1">
        <v>122073.07</v>
      </c>
    </row>
    <row r="46" spans="1:31">
      <c r="A46" s="1" t="s">
        <v>61</v>
      </c>
      <c r="F46" s="41">
        <v>82606.460999999996</v>
      </c>
      <c r="I46" s="1">
        <v>85294.850999999995</v>
      </c>
      <c r="K46" s="1">
        <v>74542.26535999999</v>
      </c>
      <c r="L46" s="1">
        <v>80980.663</v>
      </c>
      <c r="M46" s="1">
        <v>96499.462</v>
      </c>
      <c r="N46" s="1">
        <v>128685.734</v>
      </c>
      <c r="O46" s="1">
        <v>151484.94200000001</v>
      </c>
      <c r="P46" s="1">
        <v>157522.83199999999</v>
      </c>
      <c r="Q46" s="1">
        <v>183310.65100000001</v>
      </c>
      <c r="R46" s="1">
        <v>186858.81599999999</v>
      </c>
      <c r="S46" s="1">
        <v>206674.652</v>
      </c>
      <c r="T46" s="1">
        <v>240143.48499999999</v>
      </c>
      <c r="U46" s="1">
        <v>301316.04300000001</v>
      </c>
      <c r="V46" s="1">
        <v>482813.76299999998</v>
      </c>
      <c r="W46" s="1">
        <v>550504.29099999997</v>
      </c>
      <c r="X46" s="1">
        <v>516788.35800000001</v>
      </c>
      <c r="Y46" s="1">
        <v>445175.71</v>
      </c>
      <c r="Z46" s="1">
        <v>409076.88199999998</v>
      </c>
      <c r="AA46" s="1">
        <v>373434.076</v>
      </c>
      <c r="AB46" s="1">
        <v>339317.59899999999</v>
      </c>
      <c r="AC46" s="1">
        <v>309976.17800000001</v>
      </c>
      <c r="AE46" s="1">
        <v>297726.06199999998</v>
      </c>
    </row>
    <row r="47" spans="1:31">
      <c r="A47" s="1" t="s">
        <v>62</v>
      </c>
      <c r="F47" s="41">
        <v>45284.364999999998</v>
      </c>
      <c r="I47" s="1">
        <v>63437.224999999999</v>
      </c>
      <c r="K47" s="1">
        <v>71957.903519999993</v>
      </c>
      <c r="L47" s="1">
        <v>67900.914000000004</v>
      </c>
      <c r="M47" s="1">
        <v>76642.358999999997</v>
      </c>
      <c r="N47" s="1">
        <v>89599.914000000004</v>
      </c>
      <c r="O47" s="1">
        <v>101265.879</v>
      </c>
      <c r="P47" s="1">
        <v>104961.989</v>
      </c>
      <c r="Q47" s="1">
        <v>109522.75199999999</v>
      </c>
      <c r="R47" s="1">
        <v>107044.651</v>
      </c>
      <c r="S47" s="1">
        <v>125578.56600000001</v>
      </c>
      <c r="T47" s="1">
        <v>137863.565</v>
      </c>
      <c r="U47" s="1">
        <v>157846.28</v>
      </c>
      <c r="V47" s="1">
        <v>239136.71100000001</v>
      </c>
      <c r="W47" s="1">
        <v>263847</v>
      </c>
      <c r="X47" s="1">
        <v>262850.78499999997</v>
      </c>
      <c r="Y47" s="1">
        <v>207846.2</v>
      </c>
      <c r="Z47" s="1">
        <v>199549.837</v>
      </c>
      <c r="AA47" s="1">
        <v>193710.86199999999</v>
      </c>
      <c r="AB47" s="1">
        <v>221538.33199999999</v>
      </c>
      <c r="AC47" s="1">
        <v>213296.34899999999</v>
      </c>
      <c r="AE47" s="1">
        <v>208398.44200000001</v>
      </c>
    </row>
    <row r="48" spans="1:31">
      <c r="A48" s="1" t="s">
        <v>63</v>
      </c>
      <c r="F48" s="41">
        <v>28591.628000000001</v>
      </c>
      <c r="I48" s="1">
        <v>15336.77</v>
      </c>
      <c r="K48" s="1">
        <v>31438.546999999999</v>
      </c>
      <c r="L48" s="1">
        <v>25617.631000000001</v>
      </c>
      <c r="M48" s="1">
        <v>36554.216</v>
      </c>
      <c r="N48" s="1">
        <v>38315.629000000001</v>
      </c>
      <c r="O48" s="1">
        <v>44693.875</v>
      </c>
      <c r="P48" s="1">
        <v>50962.451000000001</v>
      </c>
      <c r="Q48" s="1">
        <v>52300.667000000001</v>
      </c>
      <c r="R48" s="1">
        <v>51090.375999999997</v>
      </c>
      <c r="S48" s="1">
        <v>53856.423000000003</v>
      </c>
      <c r="T48" s="1">
        <v>65060.512000000002</v>
      </c>
      <c r="U48" s="1">
        <v>73773.379000000001</v>
      </c>
      <c r="V48" s="1">
        <v>122326.274</v>
      </c>
      <c r="W48" s="1">
        <v>201163.372</v>
      </c>
      <c r="X48" s="1">
        <v>201715.076</v>
      </c>
      <c r="Y48" s="1">
        <v>187883.128</v>
      </c>
      <c r="Z48" s="1">
        <v>209317.56899999999</v>
      </c>
      <c r="AA48" s="1">
        <v>191097.03</v>
      </c>
      <c r="AB48" s="1">
        <v>171083.7</v>
      </c>
      <c r="AC48" s="1">
        <v>163349.16699999999</v>
      </c>
      <c r="AE48" s="1">
        <v>164104.89199999999</v>
      </c>
    </row>
    <row r="49" spans="1:31">
      <c r="A49" s="1" t="s">
        <v>64</v>
      </c>
      <c r="F49" s="41">
        <v>10745.26</v>
      </c>
      <c r="I49" s="1">
        <v>9636.6020000000008</v>
      </c>
      <c r="K49" s="1">
        <v>16791.222000000002</v>
      </c>
      <c r="L49" s="1">
        <v>20308.251</v>
      </c>
      <c r="M49" s="1">
        <v>21569.381000000001</v>
      </c>
      <c r="N49" s="1">
        <v>26458.186000000002</v>
      </c>
      <c r="O49" s="1">
        <v>26645.143</v>
      </c>
      <c r="P49" s="1">
        <v>30146.323</v>
      </c>
      <c r="Q49" s="1">
        <v>29337.643</v>
      </c>
      <c r="R49" s="1">
        <v>26737.457999999999</v>
      </c>
      <c r="S49" s="1">
        <v>28825.766</v>
      </c>
      <c r="T49" s="1">
        <v>32558.187000000002</v>
      </c>
      <c r="U49" s="1">
        <v>39238.834000000003</v>
      </c>
      <c r="V49" s="1">
        <v>64513.184000000001</v>
      </c>
      <c r="W49" s="1">
        <v>79830.998999999996</v>
      </c>
      <c r="X49" s="1">
        <v>78720.432000000001</v>
      </c>
      <c r="Y49" s="1">
        <v>62018.667999999998</v>
      </c>
      <c r="Z49" s="1">
        <v>58576.832000000002</v>
      </c>
      <c r="AA49" s="1">
        <v>57907.964</v>
      </c>
      <c r="AB49" s="1">
        <v>55422.038</v>
      </c>
      <c r="AC49" s="1">
        <v>53999.925999999999</v>
      </c>
      <c r="AE49" s="1">
        <v>54485.356</v>
      </c>
    </row>
    <row r="50" spans="1:31">
      <c r="A50" s="1" t="s">
        <v>65</v>
      </c>
      <c r="F50" s="41">
        <v>7381.9229999999998</v>
      </c>
      <c r="I50" s="1">
        <v>6487.7039999999997</v>
      </c>
      <c r="K50" s="1">
        <v>7065.6201900000005</v>
      </c>
      <c r="L50" s="1">
        <v>10671.605</v>
      </c>
      <c r="M50" s="1">
        <v>9923.7430000000004</v>
      </c>
      <c r="N50" s="1">
        <v>9555.8369999999995</v>
      </c>
      <c r="O50" s="1">
        <v>11104.59</v>
      </c>
      <c r="P50" s="1">
        <v>11166.844999999999</v>
      </c>
      <c r="Q50" s="1">
        <v>12148.177</v>
      </c>
      <c r="R50" s="1">
        <v>11159.550999999999</v>
      </c>
      <c r="S50" s="1">
        <v>10875.76</v>
      </c>
      <c r="T50" s="1">
        <v>8118.6840000000002</v>
      </c>
      <c r="U50" s="1">
        <v>14572.871999999999</v>
      </c>
      <c r="V50" s="1">
        <v>19878.719000000001</v>
      </c>
      <c r="W50" s="1">
        <v>22236.569</v>
      </c>
      <c r="X50" s="1">
        <v>22295.571</v>
      </c>
      <c r="Y50" s="1">
        <v>19891.511999999999</v>
      </c>
      <c r="Z50" s="1">
        <v>19272.128000000001</v>
      </c>
      <c r="AA50" s="1">
        <v>16864.223999999998</v>
      </c>
      <c r="AB50" s="1">
        <v>20491.671999999999</v>
      </c>
      <c r="AC50" s="1">
        <v>20922.186000000002</v>
      </c>
      <c r="AE50" s="1">
        <v>21406.21</v>
      </c>
    </row>
    <row r="51" spans="1:31">
      <c r="A51" s="1" t="s">
        <v>66</v>
      </c>
      <c r="F51" s="41">
        <v>68779.13</v>
      </c>
      <c r="I51" s="1">
        <v>82086.381999999998</v>
      </c>
      <c r="K51" s="1">
        <v>79961.206000000006</v>
      </c>
      <c r="L51" s="1">
        <v>102357.57</v>
      </c>
      <c r="M51" s="1">
        <v>109754.853</v>
      </c>
      <c r="N51" s="1">
        <v>139560.47899999999</v>
      </c>
      <c r="O51" s="1">
        <v>169262.29800000001</v>
      </c>
      <c r="P51" s="1">
        <v>186309.677</v>
      </c>
      <c r="Q51" s="1">
        <v>200161.98499999999</v>
      </c>
      <c r="R51" s="1">
        <v>208250.43100000001</v>
      </c>
      <c r="S51" s="1">
        <v>227639.71900000001</v>
      </c>
      <c r="T51" s="1">
        <v>250081.53400000001</v>
      </c>
      <c r="U51" s="1">
        <v>347395.17300000001</v>
      </c>
      <c r="V51" s="1">
        <v>465184.29100000003</v>
      </c>
      <c r="W51" s="1">
        <v>559818.91500000004</v>
      </c>
      <c r="X51" s="1">
        <v>490696.11099999998</v>
      </c>
      <c r="Y51" s="1">
        <v>423455.83100000001</v>
      </c>
      <c r="Z51" s="1">
        <v>384183.77100000001</v>
      </c>
      <c r="AA51" s="1">
        <v>347426.67099999997</v>
      </c>
      <c r="AB51" s="1">
        <v>326780.46999999997</v>
      </c>
      <c r="AC51" s="1">
        <v>307455.81599999999</v>
      </c>
      <c r="AE51" s="1">
        <v>327008.20400000003</v>
      </c>
    </row>
    <row r="52" spans="1:31">
      <c r="A52" s="1" t="s">
        <v>67</v>
      </c>
      <c r="F52" s="41">
        <v>264.49700000000001</v>
      </c>
      <c r="I52" s="1">
        <v>427.13099999999997</v>
      </c>
      <c r="K52" s="1">
        <v>4629.1546799999996</v>
      </c>
      <c r="L52" s="1">
        <v>5889.25</v>
      </c>
      <c r="M52" s="1">
        <v>6424.7479999999996</v>
      </c>
      <c r="N52" s="1">
        <v>11024.703</v>
      </c>
      <c r="O52" s="1">
        <v>6497.0159999999996</v>
      </c>
      <c r="P52" s="1">
        <v>7854.915</v>
      </c>
      <c r="Q52" s="1">
        <v>7611.1260000000002</v>
      </c>
      <c r="R52" s="1">
        <v>7319.1890000000003</v>
      </c>
      <c r="S52" s="1">
        <v>7854.21</v>
      </c>
      <c r="T52" s="1">
        <v>8069.42</v>
      </c>
      <c r="U52" s="1">
        <v>16910.744999999999</v>
      </c>
      <c r="V52" s="1">
        <v>14960.049000000001</v>
      </c>
      <c r="W52" s="1">
        <v>15783.316999999999</v>
      </c>
      <c r="X52" s="1">
        <v>15395.504000000001</v>
      </c>
      <c r="Y52" s="1">
        <v>22655.613000000001</v>
      </c>
      <c r="Z52" s="1">
        <v>23487.544000000002</v>
      </c>
      <c r="AA52" s="1">
        <v>22560.617999999999</v>
      </c>
      <c r="AB52" s="1">
        <v>20942.87</v>
      </c>
      <c r="AC52" s="1">
        <v>20745.659</v>
      </c>
      <c r="AE52" s="1">
        <v>28766.58</v>
      </c>
    </row>
    <row r="53" spans="1:31">
      <c r="A53" s="23" t="s">
        <v>68</v>
      </c>
      <c r="B53" s="23"/>
      <c r="C53" s="23"/>
      <c r="D53" s="23"/>
      <c r="E53" s="23"/>
      <c r="F53" s="44">
        <v>38246.048999999999</v>
      </c>
      <c r="G53" s="23"/>
      <c r="H53" s="23"/>
      <c r="I53" s="23">
        <v>36400.980000000003</v>
      </c>
      <c r="J53" s="23"/>
      <c r="K53" s="23">
        <v>30601.867999999999</v>
      </c>
      <c r="L53" s="23">
        <v>44172.294999999998</v>
      </c>
      <c r="M53" s="23">
        <v>51877.896000000001</v>
      </c>
      <c r="N53" s="23">
        <v>69224.596999999994</v>
      </c>
      <c r="O53" s="23">
        <v>84989.710999999996</v>
      </c>
      <c r="P53" s="23">
        <v>89815.607999999993</v>
      </c>
      <c r="Q53" s="23">
        <v>88509.991999999998</v>
      </c>
      <c r="R53" s="23">
        <v>88059.721000000005</v>
      </c>
      <c r="S53" s="23">
        <v>83010.652000000002</v>
      </c>
      <c r="T53" s="23">
        <v>96554.384999999995</v>
      </c>
      <c r="U53" s="23">
        <v>116117.69500000001</v>
      </c>
      <c r="V53" s="23">
        <v>185546.49600000001</v>
      </c>
      <c r="W53" s="23">
        <v>235581.36300000001</v>
      </c>
      <c r="X53" s="23">
        <v>235698.18700000001</v>
      </c>
      <c r="Y53" s="23">
        <v>67478.519</v>
      </c>
      <c r="Z53" s="23">
        <v>66793.232999999993</v>
      </c>
      <c r="AA53" s="23">
        <v>61959.199999999997</v>
      </c>
      <c r="AB53" s="23">
        <v>188386.91500000001</v>
      </c>
      <c r="AC53" s="23">
        <v>174627.95499999999</v>
      </c>
      <c r="AD53" s="23"/>
      <c r="AE53" s="23">
        <v>147456.75599999999</v>
      </c>
    </row>
    <row r="54" spans="1:31">
      <c r="A54" s="7" t="s">
        <v>69</v>
      </c>
      <c r="B54" s="47">
        <f>SUM(B56:B64)</f>
        <v>0</v>
      </c>
      <c r="C54" s="47">
        <f t="shared" ref="C54:AC54" si="14">SUM(C56:C64)</f>
        <v>0</v>
      </c>
      <c r="D54" s="47">
        <f t="shared" si="14"/>
        <v>0</v>
      </c>
      <c r="E54" s="47">
        <f t="shared" si="14"/>
        <v>0</v>
      </c>
      <c r="F54" s="47">
        <f t="shared" si="14"/>
        <v>350080.946</v>
      </c>
      <c r="G54" s="47">
        <f t="shared" si="14"/>
        <v>0</v>
      </c>
      <c r="H54" s="47">
        <f t="shared" si="14"/>
        <v>0</v>
      </c>
      <c r="I54" s="47">
        <f t="shared" si="14"/>
        <v>469255.70899999997</v>
      </c>
      <c r="J54" s="47">
        <f t="shared" si="14"/>
        <v>0</v>
      </c>
      <c r="K54" s="47">
        <f t="shared" si="14"/>
        <v>492221.36109000002</v>
      </c>
      <c r="L54" s="47">
        <f t="shared" si="14"/>
        <v>492044.09600000002</v>
      </c>
      <c r="M54" s="47">
        <f t="shared" si="14"/>
        <v>556757.94499999995</v>
      </c>
      <c r="N54" s="47">
        <f t="shared" si="14"/>
        <v>703145.53599999996</v>
      </c>
      <c r="O54" s="47">
        <f t="shared" si="14"/>
        <v>768918.24699999997</v>
      </c>
      <c r="P54" s="47">
        <f t="shared" si="14"/>
        <v>855683.10200000007</v>
      </c>
      <c r="Q54" s="47">
        <f t="shared" si="14"/>
        <v>902364.23899999994</v>
      </c>
      <c r="R54" s="47">
        <f t="shared" si="14"/>
        <v>887614.41500000015</v>
      </c>
      <c r="S54" s="47">
        <f t="shared" si="14"/>
        <v>909475.25800000015</v>
      </c>
      <c r="T54" s="47">
        <f t="shared" si="14"/>
        <v>1004186.085</v>
      </c>
      <c r="U54" s="47">
        <f t="shared" si="14"/>
        <v>1178753.675</v>
      </c>
      <c r="V54" s="47">
        <f t="shared" si="14"/>
        <v>1681962.6950000001</v>
      </c>
      <c r="W54" s="47">
        <f t="shared" si="14"/>
        <v>1899424.0530000003</v>
      </c>
      <c r="X54" s="47">
        <f t="shared" si="14"/>
        <v>1983440.5249999999</v>
      </c>
      <c r="Y54" s="47">
        <f t="shared" si="14"/>
        <v>1988484.4190000002</v>
      </c>
      <c r="Z54" s="47">
        <f t="shared" si="14"/>
        <v>2000147.4900000002</v>
      </c>
      <c r="AA54" s="47">
        <f t="shared" si="14"/>
        <v>2000691.3639999998</v>
      </c>
      <c r="AB54" s="47">
        <f t="shared" si="14"/>
        <v>1862083.0370000002</v>
      </c>
      <c r="AC54" s="47">
        <f t="shared" si="14"/>
        <v>1771522.6810000001</v>
      </c>
      <c r="AD54" s="47">
        <f t="shared" ref="AD54:AE54" si="15">SUM(AD56:AD64)</f>
        <v>0</v>
      </c>
      <c r="AE54" s="47">
        <f t="shared" si="15"/>
        <v>1794975.6330000001</v>
      </c>
    </row>
    <row r="55" spans="1:31">
      <c r="A55" s="7" t="s">
        <v>97</v>
      </c>
      <c r="X55" s="1">
        <v>0</v>
      </c>
      <c r="Y55" s="1" t="e">
        <f>#REF!/1000</f>
        <v>#REF!</v>
      </c>
      <c r="AB55" s="1">
        <v>0</v>
      </c>
      <c r="AC55" s="1">
        <v>0</v>
      </c>
    </row>
    <row r="56" spans="1:31">
      <c r="A56" s="1" t="s">
        <v>70</v>
      </c>
      <c r="F56" s="41">
        <v>10352.684999999999</v>
      </c>
      <c r="I56" s="1">
        <v>20086.994999999999</v>
      </c>
      <c r="K56" s="1">
        <v>22395.585749999995</v>
      </c>
      <c r="L56" s="1">
        <v>22884.227999999999</v>
      </c>
      <c r="M56" s="1">
        <v>27945.898000000001</v>
      </c>
      <c r="N56" s="1">
        <v>30618.280999999999</v>
      </c>
      <c r="O56" s="1">
        <v>35176.105000000003</v>
      </c>
      <c r="P56" s="1">
        <v>38590.362999999998</v>
      </c>
      <c r="Q56" s="1">
        <v>41638.222000000002</v>
      </c>
      <c r="R56" s="1">
        <v>44179.421999999999</v>
      </c>
      <c r="S56" s="1">
        <v>45862.161</v>
      </c>
      <c r="T56" s="1">
        <v>56003.580999999998</v>
      </c>
      <c r="U56" s="1">
        <v>67398.293999999994</v>
      </c>
      <c r="V56" s="1">
        <v>93789.888000000006</v>
      </c>
      <c r="W56" s="1">
        <v>112810.609</v>
      </c>
      <c r="X56" s="1">
        <v>116112.789</v>
      </c>
      <c r="Y56" s="1">
        <v>114378.068</v>
      </c>
      <c r="Z56" s="1">
        <v>112925.88800000001</v>
      </c>
      <c r="AA56" s="1">
        <v>113033.417</v>
      </c>
      <c r="AB56" s="1">
        <v>107093.34</v>
      </c>
      <c r="AC56" s="1">
        <v>109041.755</v>
      </c>
      <c r="AE56" s="1">
        <v>104676.469</v>
      </c>
    </row>
    <row r="57" spans="1:31">
      <c r="A57" s="1" t="s">
        <v>71</v>
      </c>
      <c r="F57" s="41">
        <v>2890.732</v>
      </c>
      <c r="I57" s="1">
        <v>3576.1840000000002</v>
      </c>
      <c r="K57" s="1">
        <v>4207.3310000000001</v>
      </c>
      <c r="L57" s="1">
        <v>6463.7290000000003</v>
      </c>
      <c r="M57" s="1">
        <v>7232.9949999999999</v>
      </c>
      <c r="N57" s="1">
        <v>8739.2350000000006</v>
      </c>
      <c r="O57" s="1">
        <v>10764.989</v>
      </c>
      <c r="P57" s="1">
        <v>12450.057000000001</v>
      </c>
      <c r="Q57" s="1">
        <v>13668.038</v>
      </c>
      <c r="R57" s="1">
        <v>14432.06</v>
      </c>
      <c r="S57" s="1">
        <v>15709.299000000001</v>
      </c>
      <c r="T57" s="1">
        <v>17573.492999999999</v>
      </c>
      <c r="U57" s="1">
        <v>20800.847000000002</v>
      </c>
      <c r="V57" s="1">
        <v>32325.916000000001</v>
      </c>
      <c r="W57" s="1">
        <v>40916.656999999999</v>
      </c>
      <c r="X57" s="1">
        <v>41952.811000000002</v>
      </c>
      <c r="Y57" s="1">
        <v>43535.764000000003</v>
      </c>
      <c r="Z57" s="1">
        <v>41706.186999999998</v>
      </c>
      <c r="AA57" s="1">
        <v>40448.370000000003</v>
      </c>
      <c r="AB57" s="1">
        <v>36754.108</v>
      </c>
      <c r="AC57" s="1">
        <v>34167.281999999999</v>
      </c>
      <c r="AE57" s="1">
        <v>34367.258999999998</v>
      </c>
    </row>
    <row r="58" spans="1:31" s="11" customFormat="1">
      <c r="A58" s="1" t="s">
        <v>72</v>
      </c>
      <c r="B58" s="1"/>
      <c r="C58" s="1"/>
      <c r="D58" s="1"/>
      <c r="E58" s="1"/>
      <c r="F58" s="41">
        <v>38282.154000000002</v>
      </c>
      <c r="G58" s="1"/>
      <c r="H58" s="1"/>
      <c r="I58" s="1">
        <v>48136.161</v>
      </c>
      <c r="J58" s="1"/>
      <c r="K58" s="1">
        <v>44314.383000000002</v>
      </c>
      <c r="L58" s="1">
        <v>63029.008000000002</v>
      </c>
      <c r="M58" s="1">
        <v>67820.525999999998</v>
      </c>
      <c r="N58" s="1">
        <v>76300.654999999999</v>
      </c>
      <c r="O58" s="1">
        <v>85574.767999999996</v>
      </c>
      <c r="P58" s="1">
        <v>87726.025999999998</v>
      </c>
      <c r="Q58" s="1">
        <v>90101.862999999998</v>
      </c>
      <c r="R58" s="1">
        <v>87453.365000000005</v>
      </c>
      <c r="S58" s="1">
        <v>89182.104000000007</v>
      </c>
      <c r="T58" s="1">
        <v>102870.068</v>
      </c>
      <c r="U58" s="1">
        <v>120771.931</v>
      </c>
      <c r="V58" s="1">
        <v>177500.69899999999</v>
      </c>
      <c r="W58" s="1">
        <v>207389.698</v>
      </c>
      <c r="X58" s="1">
        <v>223952.13</v>
      </c>
      <c r="Y58" s="1">
        <v>215401.12400000001</v>
      </c>
      <c r="Z58" s="1">
        <v>221853.00099999999</v>
      </c>
      <c r="AA58" s="1">
        <v>218682.288</v>
      </c>
      <c r="AB58" s="1">
        <v>202676.489</v>
      </c>
      <c r="AC58" s="1">
        <v>188030.07699999999</v>
      </c>
      <c r="AD58" s="1"/>
      <c r="AE58" s="1">
        <v>189137.16800000001</v>
      </c>
    </row>
    <row r="59" spans="1:31">
      <c r="A59" s="1" t="s">
        <v>73</v>
      </c>
      <c r="F59" s="41">
        <v>3334.6550000000002</v>
      </c>
      <c r="I59" s="1">
        <v>4371.2870000000003</v>
      </c>
      <c r="K59" s="1">
        <v>5598.6363399999973</v>
      </c>
      <c r="L59" s="1">
        <v>3988.5140000000001</v>
      </c>
      <c r="M59" s="1">
        <v>4132.0919999999996</v>
      </c>
      <c r="N59" s="1">
        <v>5173.826</v>
      </c>
      <c r="O59" s="1">
        <v>6381.32</v>
      </c>
      <c r="P59" s="1">
        <v>6813.58</v>
      </c>
      <c r="Q59" s="1">
        <v>7213.2579999999998</v>
      </c>
      <c r="R59" s="1">
        <v>5847.85</v>
      </c>
      <c r="S59" s="1">
        <v>7323.0309999999999</v>
      </c>
      <c r="T59" s="1">
        <v>7661.5640000000003</v>
      </c>
      <c r="U59" s="1">
        <v>9855.3410000000003</v>
      </c>
      <c r="V59" s="1">
        <v>18934.175999999999</v>
      </c>
      <c r="W59" s="1">
        <v>23462.859</v>
      </c>
      <c r="X59" s="1">
        <v>21773.437999999998</v>
      </c>
      <c r="Y59" s="1">
        <v>20753.016</v>
      </c>
      <c r="Z59" s="1">
        <v>20753.030999999999</v>
      </c>
      <c r="AA59" s="1">
        <v>22561.075000000001</v>
      </c>
      <c r="AB59" s="1">
        <v>21931.026999999998</v>
      </c>
      <c r="AC59" s="1">
        <v>19247.745999999999</v>
      </c>
      <c r="AE59" s="1">
        <v>20083.659</v>
      </c>
    </row>
    <row r="60" spans="1:31">
      <c r="A60" s="1" t="s">
        <v>74</v>
      </c>
      <c r="F60" s="41">
        <v>48836.508999999998</v>
      </c>
      <c r="I60" s="1">
        <v>62369.902000000002</v>
      </c>
      <c r="K60" s="1">
        <v>72368.998999999996</v>
      </c>
      <c r="L60" s="1">
        <v>79147.426999999996</v>
      </c>
      <c r="M60" s="1">
        <v>87293.539000000004</v>
      </c>
      <c r="N60" s="1">
        <v>132703.92300000001</v>
      </c>
      <c r="O60" s="1">
        <v>134186.51500000001</v>
      </c>
      <c r="P60" s="1">
        <v>152317.91</v>
      </c>
      <c r="Q60" s="1">
        <v>157771.12599999999</v>
      </c>
      <c r="R60" s="1">
        <v>159968.15299999999</v>
      </c>
      <c r="S60" s="1">
        <v>175450.9</v>
      </c>
      <c r="T60" s="1">
        <v>196408.75</v>
      </c>
      <c r="U60" s="1">
        <v>234372.204</v>
      </c>
      <c r="V60" s="1">
        <v>348121.033</v>
      </c>
      <c r="W60" s="1">
        <v>369434.81300000002</v>
      </c>
      <c r="X60" s="1">
        <v>381218.924</v>
      </c>
      <c r="Y60" s="1">
        <v>353712.96500000003</v>
      </c>
      <c r="Z60" s="1">
        <v>358294.48700000002</v>
      </c>
      <c r="AA60" s="1">
        <v>345613.33500000002</v>
      </c>
      <c r="AB60" s="1">
        <v>312179.07500000001</v>
      </c>
      <c r="AC60" s="1">
        <v>286130.11200000002</v>
      </c>
      <c r="AE60" s="1">
        <v>291346.42</v>
      </c>
    </row>
    <row r="61" spans="1:31">
      <c r="A61" s="1" t="s">
        <v>75</v>
      </c>
      <c r="F61" s="41">
        <v>191751.94399999999</v>
      </c>
      <c r="I61" s="1">
        <v>266958.44199999998</v>
      </c>
      <c r="K61" s="1">
        <v>277960.53000000003</v>
      </c>
      <c r="L61" s="1">
        <v>247100.997</v>
      </c>
      <c r="M61" s="1">
        <v>284518.84600000002</v>
      </c>
      <c r="N61" s="1">
        <v>351107.61700000003</v>
      </c>
      <c r="O61" s="1">
        <v>384139.67099999997</v>
      </c>
      <c r="P61" s="1">
        <v>431195.17800000001</v>
      </c>
      <c r="Q61" s="1">
        <v>452219.46799999999</v>
      </c>
      <c r="R61" s="1">
        <v>439950.386</v>
      </c>
      <c r="S61" s="1">
        <v>434522.66700000002</v>
      </c>
      <c r="T61" s="1">
        <v>467157.24699999997</v>
      </c>
      <c r="U61" s="1">
        <v>543429.64300000004</v>
      </c>
      <c r="V61" s="1">
        <v>738163.28599999996</v>
      </c>
      <c r="W61" s="1">
        <v>829066.49300000002</v>
      </c>
      <c r="X61" s="1">
        <v>877610.73</v>
      </c>
      <c r="Y61" s="1">
        <v>912728.89399999997</v>
      </c>
      <c r="Z61" s="1">
        <v>922198.85499999998</v>
      </c>
      <c r="AA61" s="1">
        <v>941071.57200000004</v>
      </c>
      <c r="AB61" s="1">
        <v>883583.64599999995</v>
      </c>
      <c r="AC61" s="1">
        <v>847065.40800000005</v>
      </c>
      <c r="AE61" s="1">
        <v>858246.71799999999</v>
      </c>
    </row>
    <row r="62" spans="1:31">
      <c r="A62" s="1" t="s">
        <v>76</v>
      </c>
      <c r="F62" s="41">
        <v>43840.81</v>
      </c>
      <c r="I62" s="1">
        <v>53620.792000000001</v>
      </c>
      <c r="K62" s="1">
        <v>55571.451999999997</v>
      </c>
      <c r="L62" s="1">
        <v>60404.692999999999</v>
      </c>
      <c r="M62" s="1">
        <v>67475.053</v>
      </c>
      <c r="N62" s="1">
        <v>85784.173999999999</v>
      </c>
      <c r="O62" s="1">
        <v>98524.150999999998</v>
      </c>
      <c r="P62" s="1">
        <v>110531.336</v>
      </c>
      <c r="Q62" s="1">
        <v>123353.961</v>
      </c>
      <c r="R62" s="1">
        <v>122039.042</v>
      </c>
      <c r="S62" s="1">
        <v>127541.891</v>
      </c>
      <c r="T62" s="1">
        <v>140058.364</v>
      </c>
      <c r="U62" s="1">
        <v>158608.302</v>
      </c>
      <c r="V62" s="1">
        <v>243465.75899999999</v>
      </c>
      <c r="W62" s="1">
        <v>278712.30099999998</v>
      </c>
      <c r="X62" s="1">
        <v>280382.87199999997</v>
      </c>
      <c r="Y62" s="1">
        <v>281894.36099999998</v>
      </c>
      <c r="Z62" s="1">
        <v>275772.78999999998</v>
      </c>
      <c r="AA62" s="1">
        <v>274230.80900000001</v>
      </c>
      <c r="AB62" s="1">
        <v>257884.655</v>
      </c>
      <c r="AC62" s="1">
        <v>251734.92499999999</v>
      </c>
      <c r="AE62" s="1">
        <v>252790.82</v>
      </c>
    </row>
    <row r="63" spans="1:31">
      <c r="A63" s="1" t="s">
        <v>77</v>
      </c>
      <c r="F63" s="41">
        <v>8152.2079999999996</v>
      </c>
      <c r="I63" s="1">
        <v>6944.5079999999998</v>
      </c>
      <c r="K63" s="1">
        <v>6341.89</v>
      </c>
      <c r="L63" s="1">
        <v>5259.9660000000003</v>
      </c>
      <c r="M63" s="1">
        <v>6512.9769999999999</v>
      </c>
      <c r="N63" s="1">
        <v>8128.73</v>
      </c>
      <c r="O63" s="1">
        <v>8608.8960000000006</v>
      </c>
      <c r="P63" s="1">
        <v>10350.325999999999</v>
      </c>
      <c r="Q63" s="1">
        <v>11247.188</v>
      </c>
      <c r="R63" s="1">
        <v>8682.6630000000005</v>
      </c>
      <c r="S63" s="1">
        <v>9367.8439999999991</v>
      </c>
      <c r="T63" s="1">
        <v>11568.453</v>
      </c>
      <c r="U63" s="1">
        <v>14718.976000000001</v>
      </c>
      <c r="V63" s="1">
        <v>20686.281999999999</v>
      </c>
      <c r="W63" s="1">
        <v>26078.377</v>
      </c>
      <c r="X63" s="1">
        <v>29893.620999999999</v>
      </c>
      <c r="Y63" s="1">
        <v>30652.724999999999</v>
      </c>
      <c r="Z63" s="1">
        <v>31234.982</v>
      </c>
      <c r="AA63" s="1">
        <v>30658.342000000001</v>
      </c>
      <c r="AB63" s="1">
        <v>30914.32</v>
      </c>
      <c r="AC63" s="1">
        <v>29196.967000000001</v>
      </c>
      <c r="AE63" s="1">
        <v>37237.279999999999</v>
      </c>
    </row>
    <row r="64" spans="1:31">
      <c r="A64" s="23" t="s">
        <v>78</v>
      </c>
      <c r="B64" s="23"/>
      <c r="C64" s="23"/>
      <c r="D64" s="23"/>
      <c r="E64" s="23"/>
      <c r="F64" s="44">
        <v>2639.2489999999998</v>
      </c>
      <c r="G64" s="23"/>
      <c r="H64" s="23"/>
      <c r="I64" s="23">
        <v>3191.4380000000001</v>
      </c>
      <c r="J64" s="23"/>
      <c r="K64" s="23">
        <v>3462.5540000000001</v>
      </c>
      <c r="L64" s="23">
        <v>3765.5340000000001</v>
      </c>
      <c r="M64" s="23">
        <v>3826.0189999999998</v>
      </c>
      <c r="N64" s="23">
        <v>4589.0950000000003</v>
      </c>
      <c r="O64" s="23">
        <v>5561.8320000000003</v>
      </c>
      <c r="P64" s="23">
        <v>5708.326</v>
      </c>
      <c r="Q64" s="23">
        <v>5151.1149999999998</v>
      </c>
      <c r="R64" s="23">
        <v>5061.4740000000002</v>
      </c>
      <c r="S64" s="23">
        <v>4515.3609999999999</v>
      </c>
      <c r="T64" s="23">
        <v>4884.5649999999996</v>
      </c>
      <c r="U64" s="23">
        <v>8798.1370000000006</v>
      </c>
      <c r="V64" s="23">
        <v>8975.6560000000009</v>
      </c>
      <c r="W64" s="23">
        <v>11552.245999999999</v>
      </c>
      <c r="X64" s="23">
        <v>10543.21</v>
      </c>
      <c r="Y64" s="23">
        <v>15427.502</v>
      </c>
      <c r="Z64" s="23">
        <v>15408.269</v>
      </c>
      <c r="AA64" s="23">
        <v>14392.156000000001</v>
      </c>
      <c r="AB64" s="23">
        <v>9066.3770000000004</v>
      </c>
      <c r="AC64" s="23">
        <v>6908.4089999999997</v>
      </c>
      <c r="AD64" s="23"/>
      <c r="AE64" s="23">
        <v>7089.84</v>
      </c>
    </row>
    <row r="65" spans="1:31">
      <c r="A65" s="45" t="s">
        <v>79</v>
      </c>
      <c r="B65" s="45"/>
      <c r="C65" s="45"/>
      <c r="D65" s="45"/>
      <c r="E65" s="45"/>
      <c r="F65" s="46">
        <v>0</v>
      </c>
      <c r="G65" s="45"/>
      <c r="H65" s="45"/>
      <c r="I65" s="45">
        <v>0</v>
      </c>
      <c r="J65" s="45"/>
      <c r="K65" s="45">
        <v>0</v>
      </c>
      <c r="L65" s="45">
        <v>0</v>
      </c>
      <c r="M65" s="45">
        <v>0</v>
      </c>
      <c r="N65" s="45">
        <v>0</v>
      </c>
      <c r="O65" s="45">
        <v>0</v>
      </c>
      <c r="P65" s="45">
        <v>0</v>
      </c>
      <c r="Q65" s="45">
        <v>0</v>
      </c>
      <c r="R65" s="45">
        <v>0</v>
      </c>
      <c r="S65" s="45">
        <v>0</v>
      </c>
      <c r="T65" s="45">
        <v>0</v>
      </c>
      <c r="U65" s="45"/>
      <c r="V65" s="45">
        <v>0</v>
      </c>
      <c r="W65" s="45">
        <v>0</v>
      </c>
      <c r="X65" s="23"/>
      <c r="Y65" s="23"/>
      <c r="Z65" s="23"/>
      <c r="AA65" s="23"/>
      <c r="AB65" s="23"/>
      <c r="AC65" s="23"/>
      <c r="AD65" s="23"/>
      <c r="AE65" s="23"/>
    </row>
    <row r="67" spans="1:31">
      <c r="I67" s="19" t="s">
        <v>99</v>
      </c>
      <c r="J67" s="19" t="s">
        <v>138</v>
      </c>
      <c r="K67" s="19"/>
      <c r="L67" s="19" t="s">
        <v>101</v>
      </c>
      <c r="M67" s="19"/>
      <c r="N67" s="19"/>
      <c r="O67" s="19" t="s">
        <v>99</v>
      </c>
      <c r="P67" s="19" t="s">
        <v>99</v>
      </c>
      <c r="Q67" s="19" t="s">
        <v>99</v>
      </c>
      <c r="R67" s="19" t="s">
        <v>99</v>
      </c>
      <c r="S67" s="19"/>
      <c r="T67" s="19"/>
      <c r="U67" s="19"/>
      <c r="V67" s="19"/>
      <c r="W67" s="19"/>
    </row>
    <row r="68" spans="1:31">
      <c r="I68" s="1" t="s">
        <v>102</v>
      </c>
      <c r="J68" s="1" t="s">
        <v>103</v>
      </c>
      <c r="L68" s="1" t="s">
        <v>104</v>
      </c>
      <c r="O68" s="1" t="s">
        <v>102</v>
      </c>
      <c r="P68" s="1" t="s">
        <v>102</v>
      </c>
      <c r="Q68" s="1" t="s">
        <v>102</v>
      </c>
      <c r="R68" s="1" t="s">
        <v>102</v>
      </c>
    </row>
    <row r="69" spans="1:31">
      <c r="I69" s="1" t="s">
        <v>105</v>
      </c>
      <c r="J69" s="1" t="s">
        <v>106</v>
      </c>
      <c r="O69" s="1" t="s">
        <v>105</v>
      </c>
      <c r="P69" s="1" t="s">
        <v>105</v>
      </c>
      <c r="Q69" s="1" t="s">
        <v>105</v>
      </c>
      <c r="R69" s="1" t="s">
        <v>105</v>
      </c>
    </row>
    <row r="70" spans="1:31">
      <c r="J70" s="1" t="s">
        <v>107</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tabColor indexed="62"/>
  </sheetPr>
  <dimension ref="A1:AE102"/>
  <sheetViews>
    <sheetView showZeros="0" zoomScale="80" zoomScaleNormal="80" workbookViewId="0">
      <pane xSplit="1" ySplit="5" topLeftCell="Q6" activePane="bottomRight" state="frozen"/>
      <selection pane="topRight" activeCell="B52" sqref="B52"/>
      <selection pane="bottomLeft" activeCell="B52" sqref="B52"/>
      <selection pane="bottomRight" activeCell="AG19" sqref="AG19"/>
    </sheetView>
  </sheetViews>
  <sheetFormatPr defaultColWidth="9.85546875" defaultRowHeight="12.75"/>
  <cols>
    <col min="1" max="1" width="23.42578125" style="43" customWidth="1"/>
    <col min="2" max="21" width="12.42578125" style="1" customWidth="1"/>
    <col min="22" max="23" width="12.42578125" style="84" customWidth="1"/>
    <col min="24" max="29" width="10.85546875" style="1" customWidth="1"/>
    <col min="30" max="31" width="12.42578125" style="1" customWidth="1"/>
    <col min="32" max="57" width="10.85546875" style="1" customWidth="1"/>
    <col min="58" max="16384" width="9.85546875" style="1"/>
  </cols>
  <sheetData>
    <row r="1" spans="1:31">
      <c r="A1" s="7" t="s">
        <v>94</v>
      </c>
      <c r="B1"/>
      <c r="C1"/>
      <c r="D1"/>
      <c r="E1"/>
      <c r="F1"/>
      <c r="G1"/>
      <c r="H1"/>
      <c r="I1"/>
      <c r="J1"/>
      <c r="K1"/>
      <c r="L1"/>
      <c r="M1"/>
      <c r="N1"/>
      <c r="O1"/>
      <c r="P1"/>
      <c r="Q1"/>
      <c r="R1"/>
      <c r="S1"/>
      <c r="T1"/>
      <c r="U1"/>
      <c r="V1" s="80"/>
      <c r="W1" s="80"/>
      <c r="AA1" s="1">
        <v>1000</v>
      </c>
    </row>
    <row r="2" spans="1:31">
      <c r="A2" s="9"/>
      <c r="B2"/>
      <c r="C2"/>
      <c r="D2"/>
      <c r="E2"/>
      <c r="F2"/>
      <c r="G2"/>
      <c r="H2"/>
      <c r="I2"/>
      <c r="J2"/>
      <c r="K2"/>
      <c r="L2"/>
      <c r="M2"/>
      <c r="N2"/>
      <c r="O2"/>
      <c r="P2"/>
      <c r="Q2"/>
      <c r="R2"/>
      <c r="S2"/>
      <c r="T2"/>
      <c r="U2"/>
      <c r="V2" s="80"/>
      <c r="W2" s="80"/>
    </row>
    <row r="3" spans="1:31">
      <c r="A3" s="1" t="s">
        <v>139</v>
      </c>
      <c r="B3"/>
      <c r="C3"/>
      <c r="D3"/>
      <c r="E3"/>
      <c r="F3"/>
      <c r="G3"/>
      <c r="H3"/>
      <c r="I3"/>
      <c r="J3"/>
      <c r="K3"/>
      <c r="L3"/>
      <c r="M3"/>
      <c r="N3"/>
      <c r="O3"/>
      <c r="P3"/>
      <c r="Q3"/>
      <c r="R3"/>
      <c r="S3"/>
      <c r="T3"/>
      <c r="U3"/>
      <c r="V3" s="80"/>
      <c r="W3" s="80"/>
    </row>
    <row r="4" spans="1:31" s="32" customFormat="1">
      <c r="B4" s="32">
        <v>1984</v>
      </c>
      <c r="C4" s="32">
        <v>1985</v>
      </c>
      <c r="D4" s="32">
        <v>1986</v>
      </c>
      <c r="E4" s="32">
        <v>1991</v>
      </c>
      <c r="F4" s="32">
        <v>1992</v>
      </c>
      <c r="G4" s="32">
        <v>1993</v>
      </c>
      <c r="H4" s="32">
        <v>1994</v>
      </c>
      <c r="I4" s="32">
        <v>1995</v>
      </c>
      <c r="J4" s="32">
        <v>1996</v>
      </c>
      <c r="K4" s="32">
        <v>1997</v>
      </c>
      <c r="L4" s="32">
        <v>2000</v>
      </c>
      <c r="M4" s="39">
        <v>2001</v>
      </c>
      <c r="N4" s="39">
        <v>2002</v>
      </c>
      <c r="O4" s="39">
        <v>2003</v>
      </c>
      <c r="P4" s="39">
        <v>2004</v>
      </c>
      <c r="Q4" s="32">
        <v>2005</v>
      </c>
      <c r="R4" s="32">
        <v>2006</v>
      </c>
      <c r="S4" s="39">
        <v>2007</v>
      </c>
      <c r="T4" s="39">
        <v>2008</v>
      </c>
      <c r="U4" s="39">
        <v>2009</v>
      </c>
      <c r="V4" s="81">
        <v>2010</v>
      </c>
      <c r="W4" s="81">
        <v>2011</v>
      </c>
      <c r="X4" s="32" t="s">
        <v>111</v>
      </c>
      <c r="Y4" s="32" t="s">
        <v>112</v>
      </c>
      <c r="Z4" s="32" t="s">
        <v>113</v>
      </c>
      <c r="AA4" s="32" t="s">
        <v>114</v>
      </c>
      <c r="AB4" s="95" t="s">
        <v>115</v>
      </c>
      <c r="AC4" s="95" t="s">
        <v>116</v>
      </c>
      <c r="AD4" s="96">
        <v>2018</v>
      </c>
      <c r="AE4" s="96">
        <v>2019</v>
      </c>
    </row>
    <row r="5" spans="1:31" s="8" customFormat="1">
      <c r="B5" s="8" t="s">
        <v>96</v>
      </c>
      <c r="C5" s="8" t="s">
        <v>96</v>
      </c>
      <c r="D5" s="8" t="s">
        <v>96</v>
      </c>
      <c r="E5" s="8" t="s">
        <v>96</v>
      </c>
      <c r="F5" s="8" t="s">
        <v>96</v>
      </c>
      <c r="G5" s="8" t="s">
        <v>96</v>
      </c>
      <c r="H5" s="8" t="s">
        <v>96</v>
      </c>
      <c r="I5" s="8" t="s">
        <v>96</v>
      </c>
      <c r="J5" s="8" t="s">
        <v>96</v>
      </c>
      <c r="K5" s="8" t="s">
        <v>96</v>
      </c>
      <c r="L5" s="8" t="s">
        <v>96</v>
      </c>
      <c r="M5" s="8" t="s">
        <v>96</v>
      </c>
      <c r="N5" s="8" t="s">
        <v>96</v>
      </c>
      <c r="O5" s="8" t="s">
        <v>96</v>
      </c>
      <c r="P5" s="8" t="s">
        <v>96</v>
      </c>
      <c r="Q5" s="8" t="s">
        <v>96</v>
      </c>
      <c r="R5" s="8" t="s">
        <v>96</v>
      </c>
      <c r="S5" s="8" t="s">
        <v>96</v>
      </c>
      <c r="T5" s="8" t="s">
        <v>96</v>
      </c>
      <c r="U5" s="8" t="s">
        <v>96</v>
      </c>
      <c r="V5" s="81" t="s">
        <v>96</v>
      </c>
      <c r="W5" s="81" t="s">
        <v>96</v>
      </c>
      <c r="X5" s="81" t="s">
        <v>96</v>
      </c>
      <c r="Y5" s="81" t="s">
        <v>96</v>
      </c>
      <c r="Z5" s="81" t="s">
        <v>96</v>
      </c>
      <c r="AA5" s="81" t="s">
        <v>96</v>
      </c>
      <c r="AB5" s="81" t="s">
        <v>96</v>
      </c>
      <c r="AC5" s="81" t="s">
        <v>96</v>
      </c>
      <c r="AD5" s="8" t="s">
        <v>96</v>
      </c>
      <c r="AE5" s="8" t="s">
        <v>96</v>
      </c>
    </row>
    <row r="6" spans="1:31">
      <c r="A6" s="23" t="s">
        <v>24</v>
      </c>
      <c r="B6" s="1">
        <f>139510+320704</f>
        <v>460214</v>
      </c>
      <c r="C6" s="1">
        <f>137127+322654</f>
        <v>459781</v>
      </c>
      <c r="D6" s="1">
        <f>206028+390847</f>
        <v>596875</v>
      </c>
      <c r="E6" s="1">
        <f>873535.984+815009.936</f>
        <v>1688545.92</v>
      </c>
      <c r="F6" s="48">
        <f>+F7+F25+F40+F54+F65</f>
        <v>2469830.5260000001</v>
      </c>
      <c r="G6" s="1">
        <f>1033064.189+1151686.646+198775.876</f>
        <v>2383526.7110000001</v>
      </c>
      <c r="H6" s="1">
        <f>1071150.183+1477700.791</f>
        <v>2548850.9739999999</v>
      </c>
      <c r="I6" s="48">
        <f>+I7+I25+I40+I54+I65</f>
        <v>2473567.3259999999</v>
      </c>
      <c r="J6" s="1">
        <f>1266198.778+1639842.742</f>
        <v>2906041.52</v>
      </c>
      <c r="K6" s="48">
        <f t="shared" ref="K6:U6" si="0">+K7+K25+K40+K54+K65</f>
        <v>3121292.3624499999</v>
      </c>
      <c r="L6" s="48">
        <f t="shared" si="0"/>
        <v>3440453.8459999999</v>
      </c>
      <c r="M6" s="48">
        <f t="shared" si="0"/>
        <v>3919988.0130000003</v>
      </c>
      <c r="N6" s="48">
        <f t="shared" si="0"/>
        <v>9941163.188000001</v>
      </c>
      <c r="O6" s="48">
        <f t="shared" si="0"/>
        <v>10489420.162</v>
      </c>
      <c r="P6" s="48">
        <f t="shared" si="0"/>
        <v>12040545.375</v>
      </c>
      <c r="Q6" s="48">
        <f t="shared" si="0"/>
        <v>12290086.002999999</v>
      </c>
      <c r="R6" s="48">
        <f t="shared" si="0"/>
        <v>12824068.991</v>
      </c>
      <c r="S6" s="48">
        <f t="shared" si="0"/>
        <v>14286515.348999999</v>
      </c>
      <c r="T6" s="48">
        <f t="shared" si="0"/>
        <v>14655069.877000002</v>
      </c>
      <c r="U6" s="48">
        <f t="shared" si="0"/>
        <v>11234963.261999998</v>
      </c>
      <c r="V6" s="82">
        <f t="shared" ref="V6:W6" si="1">+V7+V25+V40+V54+V65</f>
        <v>2860185.6950000003</v>
      </c>
      <c r="W6" s="82">
        <f t="shared" si="1"/>
        <v>3354121.1599999997</v>
      </c>
      <c r="X6" s="82">
        <f t="shared" ref="X6:Y6" si="2">+X7+X25+X40+X54+X65</f>
        <v>3163493.3810000005</v>
      </c>
      <c r="Y6" s="82">
        <f t="shared" si="2"/>
        <v>2742308.2409999999</v>
      </c>
      <c r="Z6" s="82">
        <f t="shared" ref="Z6:AA6" si="3">+Z7+Z25+Z40+Z54+Z65</f>
        <v>3180302.7119999998</v>
      </c>
      <c r="AA6" s="82">
        <f t="shared" si="3"/>
        <v>2801078.7950000004</v>
      </c>
      <c r="AB6" s="82">
        <f t="shared" ref="AB6:AE6" si="4">+AB7+AB25+AB40+AB54+AB65</f>
        <v>6469743.5310000004</v>
      </c>
      <c r="AC6" s="82">
        <f t="shared" si="4"/>
        <v>9161119.6150000002</v>
      </c>
      <c r="AD6" s="48">
        <f t="shared" si="4"/>
        <v>0</v>
      </c>
      <c r="AE6" s="48">
        <f t="shared" si="4"/>
        <v>15756470.312000003</v>
      </c>
    </row>
    <row r="7" spans="1:31">
      <c r="A7" s="1" t="s">
        <v>25</v>
      </c>
      <c r="B7" s="47">
        <f>SUM(B8:B24)</f>
        <v>155981</v>
      </c>
      <c r="C7" s="47">
        <f t="shared" ref="C7:U7" si="5">SUM(C8:C24)</f>
        <v>121173</v>
      </c>
      <c r="D7" s="47">
        <f t="shared" si="5"/>
        <v>190288</v>
      </c>
      <c r="E7" s="47">
        <f t="shared" si="5"/>
        <v>625365.74600000004</v>
      </c>
      <c r="F7" s="47">
        <f t="shared" si="5"/>
        <v>646159.40300000005</v>
      </c>
      <c r="G7" s="47">
        <f t="shared" si="5"/>
        <v>671347.55700000003</v>
      </c>
      <c r="H7" s="47">
        <f t="shared" si="5"/>
        <v>630170.55599999998</v>
      </c>
      <c r="I7" s="47">
        <f t="shared" si="5"/>
        <v>763446.95</v>
      </c>
      <c r="J7" s="47">
        <f t="shared" si="5"/>
        <v>996976.20100000012</v>
      </c>
      <c r="K7" s="47">
        <f t="shared" si="5"/>
        <v>1081000.1402699999</v>
      </c>
      <c r="L7" s="47">
        <f t="shared" si="5"/>
        <v>1053774.4479999999</v>
      </c>
      <c r="M7" s="47">
        <f t="shared" si="5"/>
        <v>993035.08600000001</v>
      </c>
      <c r="N7" s="47">
        <f t="shared" si="5"/>
        <v>3669364.0920000002</v>
      </c>
      <c r="O7" s="47">
        <f t="shared" si="5"/>
        <v>3448998.8880000003</v>
      </c>
      <c r="P7" s="47">
        <f t="shared" si="5"/>
        <v>3989679.4249999998</v>
      </c>
      <c r="Q7" s="47">
        <f t="shared" si="5"/>
        <v>4231126.2929999996</v>
      </c>
      <c r="R7" s="47">
        <f t="shared" si="5"/>
        <v>4053995.71</v>
      </c>
      <c r="S7" s="47">
        <f t="shared" si="5"/>
        <v>4528694.2209999999</v>
      </c>
      <c r="T7" s="47">
        <f t="shared" si="5"/>
        <v>4770529.3660000004</v>
      </c>
      <c r="U7" s="47">
        <f t="shared" si="5"/>
        <v>4126490.1279999996</v>
      </c>
      <c r="V7" s="83">
        <f t="shared" ref="V7:W7" si="6">SUM(V8:V24)</f>
        <v>1282832.807</v>
      </c>
      <c r="W7" s="83">
        <f t="shared" si="6"/>
        <v>1478250.9029999999</v>
      </c>
      <c r="X7" s="83">
        <f t="shared" ref="X7:Y7" si="7">SUM(X8:X24)</f>
        <v>1693401.7680000004</v>
      </c>
      <c r="Y7" s="83">
        <f t="shared" si="7"/>
        <v>1481073.273</v>
      </c>
      <c r="Z7" s="83">
        <f t="shared" ref="Z7:AA7" si="8">SUM(Z8:Z24)</f>
        <v>1442746.2020000003</v>
      </c>
      <c r="AA7" s="83">
        <f t="shared" si="8"/>
        <v>1509383.9830000002</v>
      </c>
      <c r="AB7" s="83">
        <f t="shared" ref="AB7:AE7" si="9">SUM(AB8:AB24)</f>
        <v>2924779.7629999998</v>
      </c>
      <c r="AC7" s="83">
        <f t="shared" si="9"/>
        <v>3090276.0759999999</v>
      </c>
      <c r="AD7" s="47">
        <f t="shared" si="9"/>
        <v>0</v>
      </c>
      <c r="AE7" s="47">
        <f t="shared" si="9"/>
        <v>5349839.943</v>
      </c>
    </row>
    <row r="8" spans="1:31">
      <c r="A8" s="7" t="s">
        <v>97</v>
      </c>
    </row>
    <row r="9" spans="1:31">
      <c r="A9" s="1" t="s">
        <v>26</v>
      </c>
      <c r="B9" s="84">
        <f>2618+6972</f>
        <v>9590</v>
      </c>
      <c r="C9" s="84">
        <f>3145+6550</f>
        <v>9695</v>
      </c>
      <c r="D9" s="84">
        <f>4493+7242</f>
        <v>11735</v>
      </c>
      <c r="E9" s="84">
        <f>26373.854+27078.472</f>
        <v>53452.326000000001</v>
      </c>
      <c r="F9" s="87">
        <v>59985.256999999998</v>
      </c>
      <c r="G9" s="84">
        <f>29031.542+31495.057</f>
        <v>60526.599000000002</v>
      </c>
      <c r="H9" s="84">
        <f>28330.162+37127.276</f>
        <v>65457.437999999995</v>
      </c>
      <c r="I9" s="84">
        <v>74937.37</v>
      </c>
      <c r="J9" s="84">
        <f>34650.388+62128.575</f>
        <v>96778.962999999989</v>
      </c>
      <c r="K9" s="84">
        <v>74889.264999999999</v>
      </c>
      <c r="L9" s="84">
        <v>104605.75999999999</v>
      </c>
      <c r="M9" s="84">
        <v>83015.157000000007</v>
      </c>
      <c r="N9" s="84">
        <v>239170.92600000001</v>
      </c>
      <c r="O9" s="84">
        <v>225273.36499999999</v>
      </c>
      <c r="P9" s="84">
        <v>253348.16699999999</v>
      </c>
      <c r="Q9" s="84">
        <v>303165.897</v>
      </c>
      <c r="R9" s="84">
        <v>314447.11099999998</v>
      </c>
      <c r="S9" s="84">
        <v>324777.22600000002</v>
      </c>
      <c r="T9" s="84">
        <v>299966.10800000001</v>
      </c>
      <c r="U9" s="84">
        <v>229134.851</v>
      </c>
      <c r="V9" s="84">
        <v>73749.327999999994</v>
      </c>
      <c r="W9" s="84">
        <v>47164.377</v>
      </c>
      <c r="X9" s="1">
        <v>34296.440999999999</v>
      </c>
      <c r="Y9" s="1">
        <v>41360.152999999998</v>
      </c>
      <c r="Z9" s="1">
        <v>32964.173999999999</v>
      </c>
      <c r="AA9" s="1">
        <v>27588.072</v>
      </c>
      <c r="AB9" s="1">
        <v>238772.44099999999</v>
      </c>
      <c r="AC9" s="1">
        <v>37659.218999999997</v>
      </c>
      <c r="AE9" s="1">
        <v>412715.14899999998</v>
      </c>
    </row>
    <row r="10" spans="1:31">
      <c r="A10" s="1" t="s">
        <v>27</v>
      </c>
      <c r="B10" s="84">
        <f>2416+3003</f>
        <v>5419</v>
      </c>
      <c r="C10" s="84">
        <f>2997+3139</f>
        <v>6136</v>
      </c>
      <c r="D10" s="84">
        <f>3130+3171</f>
        <v>6301</v>
      </c>
      <c r="E10" s="84">
        <f>13602.273+23441.01+0</f>
        <v>37043.282999999996</v>
      </c>
      <c r="F10" s="87">
        <v>27118.651999999998</v>
      </c>
      <c r="G10" s="84">
        <f>13413.237+18153.547</f>
        <v>31566.784</v>
      </c>
      <c r="H10" s="84">
        <f>10921.293+22272.673</f>
        <v>33193.966</v>
      </c>
      <c r="I10" s="84">
        <v>52852.290999999997</v>
      </c>
      <c r="J10" s="84">
        <f>12203.91+29780.226</f>
        <v>41984.135999999999</v>
      </c>
      <c r="K10" s="84">
        <v>43295.675999999999</v>
      </c>
      <c r="L10" s="84">
        <v>31106.238000000001</v>
      </c>
      <c r="M10" s="84">
        <v>51608.53</v>
      </c>
      <c r="N10" s="84">
        <v>160068.49600000001</v>
      </c>
      <c r="O10" s="84">
        <v>131600.416</v>
      </c>
      <c r="P10" s="84">
        <v>131058.12699999999</v>
      </c>
      <c r="Q10" s="84">
        <v>147771.68700000001</v>
      </c>
      <c r="R10" s="84">
        <v>175402.14499999999</v>
      </c>
      <c r="S10" s="84">
        <v>191038.954</v>
      </c>
      <c r="T10" s="84">
        <v>203614.39199999999</v>
      </c>
      <c r="U10" s="84">
        <v>168742.247</v>
      </c>
      <c r="V10" s="84">
        <v>37624.216</v>
      </c>
      <c r="W10" s="84">
        <v>40365.682000000001</v>
      </c>
      <c r="X10" s="1">
        <v>40505.623</v>
      </c>
      <c r="Y10" s="1">
        <v>45834.428</v>
      </c>
      <c r="Z10" s="1">
        <v>47612.66</v>
      </c>
      <c r="AA10" s="1">
        <v>55279.923000000003</v>
      </c>
      <c r="AB10" s="1">
        <v>100469.10400000001</v>
      </c>
      <c r="AC10" s="1">
        <v>84097.255000000005</v>
      </c>
      <c r="AE10" s="1">
        <v>80154.603000000003</v>
      </c>
    </row>
    <row r="11" spans="1:31">
      <c r="A11" s="1" t="s">
        <v>28</v>
      </c>
      <c r="B11" s="84"/>
      <c r="C11" s="84"/>
      <c r="D11" s="84">
        <f>2601+0</f>
        <v>2601</v>
      </c>
      <c r="E11" s="84">
        <v>23107.506000000001</v>
      </c>
      <c r="F11" s="87">
        <v>23412.978999999999</v>
      </c>
      <c r="G11" s="84"/>
      <c r="H11" s="84"/>
      <c r="I11" s="84">
        <v>19629.350999999999</v>
      </c>
      <c r="J11" s="84">
        <f>2157.529+12937.172</f>
        <v>15094.701000000001</v>
      </c>
      <c r="K11" s="84">
        <v>11732.259</v>
      </c>
      <c r="L11" s="84">
        <v>15782.645</v>
      </c>
      <c r="M11" s="84">
        <v>0</v>
      </c>
      <c r="N11" s="84">
        <v>6300.8789999999999</v>
      </c>
      <c r="O11" s="84">
        <v>7585.2280000000001</v>
      </c>
      <c r="P11" s="84">
        <v>8432.6170000000002</v>
      </c>
      <c r="Q11" s="84">
        <v>10091.314</v>
      </c>
      <c r="R11" s="84">
        <v>7743.7730000000001</v>
      </c>
      <c r="S11" s="84">
        <v>6094.6360000000004</v>
      </c>
      <c r="T11" s="84">
        <v>9405.9419999999991</v>
      </c>
      <c r="U11" s="84">
        <v>12699.620999999999</v>
      </c>
      <c r="V11" s="84">
        <v>1203.116</v>
      </c>
      <c r="W11" s="84">
        <v>6906.3329999999996</v>
      </c>
      <c r="X11" s="1">
        <v>64824.699000000001</v>
      </c>
      <c r="Y11" s="1">
        <v>0</v>
      </c>
      <c r="Z11" s="1">
        <v>3379.625</v>
      </c>
      <c r="AA11" s="1">
        <v>4306.2370000000001</v>
      </c>
      <c r="AB11" s="1">
        <v>0</v>
      </c>
      <c r="AC11" s="1">
        <v>0</v>
      </c>
      <c r="AE11" s="1">
        <v>7696.62</v>
      </c>
    </row>
    <row r="12" spans="1:31">
      <c r="A12" s="1" t="s">
        <v>29</v>
      </c>
      <c r="B12" s="84">
        <f>383+1119</f>
        <v>1502</v>
      </c>
      <c r="C12" s="84">
        <f>0+929</f>
        <v>929</v>
      </c>
      <c r="D12" s="84">
        <f>194+1441</f>
        <v>1635</v>
      </c>
      <c r="E12" s="84">
        <f>1976.954+20396.517+0</f>
        <v>22373.471000000001</v>
      </c>
      <c r="F12" s="87">
        <v>8542.1620000000003</v>
      </c>
      <c r="G12" s="84">
        <f>1129.336+5724.632</f>
        <v>6853.9679999999998</v>
      </c>
      <c r="H12" s="84">
        <f>479.047+3318.708</f>
        <v>3797.7550000000001</v>
      </c>
      <c r="I12" s="84">
        <v>16049.128000000001</v>
      </c>
      <c r="J12" s="84">
        <f>1608.655+16368.577</f>
        <v>17977.232</v>
      </c>
      <c r="K12" s="84">
        <v>11424.467000000001</v>
      </c>
      <c r="L12" s="84">
        <v>-1906.933</v>
      </c>
      <c r="M12" s="84">
        <v>23273.379000000001</v>
      </c>
      <c r="N12" s="84">
        <v>518723.326</v>
      </c>
      <c r="O12" s="84">
        <v>547206.51199999999</v>
      </c>
      <c r="P12" s="84">
        <v>496717.33399999997</v>
      </c>
      <c r="Q12" s="84">
        <v>491263.49800000002</v>
      </c>
      <c r="R12" s="84">
        <v>501446.99400000001</v>
      </c>
      <c r="S12" s="84">
        <v>516074.092</v>
      </c>
      <c r="T12" s="84">
        <v>543494.79</v>
      </c>
      <c r="U12" s="84">
        <v>444252.96500000003</v>
      </c>
      <c r="V12" s="84">
        <v>120428.125</v>
      </c>
      <c r="W12" s="84">
        <v>134169.65</v>
      </c>
      <c r="X12" s="1">
        <v>319317.83799999999</v>
      </c>
      <c r="Y12" s="1">
        <v>269136.87199999997</v>
      </c>
      <c r="Z12" s="1">
        <v>188761.86300000001</v>
      </c>
      <c r="AA12" s="1">
        <v>170537.08900000001</v>
      </c>
      <c r="AB12" s="1">
        <v>96977.455000000002</v>
      </c>
      <c r="AC12" s="1">
        <v>306879.97899999999</v>
      </c>
      <c r="AE12" s="1">
        <v>502889.68199999997</v>
      </c>
    </row>
    <row r="13" spans="1:31">
      <c r="A13" s="1" t="s">
        <v>30</v>
      </c>
      <c r="B13" s="84">
        <v>28</v>
      </c>
      <c r="C13" s="84">
        <v>0</v>
      </c>
      <c r="D13" s="84">
        <f>0+8</f>
        <v>8</v>
      </c>
      <c r="E13" s="84">
        <f>326.509+529.623+0</f>
        <v>856.13200000000006</v>
      </c>
      <c r="F13" s="87">
        <v>0</v>
      </c>
      <c r="G13" s="84">
        <f>114.245+381.767</f>
        <v>496.012</v>
      </c>
      <c r="H13" s="84">
        <f>1.871+488.499</f>
        <v>490.37</v>
      </c>
      <c r="I13" s="84">
        <v>-521.31200000000001</v>
      </c>
      <c r="J13" s="84">
        <f>81.357+424.44</f>
        <v>505.79700000000003</v>
      </c>
      <c r="K13" s="84">
        <v>1453.6089999999999</v>
      </c>
      <c r="L13" s="84">
        <v>-3268.7719999999999</v>
      </c>
      <c r="M13" s="84">
        <v>550.63800000000003</v>
      </c>
      <c r="N13" s="84">
        <v>83873.345000000001</v>
      </c>
      <c r="O13" s="84">
        <v>42323.964999999997</v>
      </c>
      <c r="P13" s="84">
        <v>87085.839000000007</v>
      </c>
      <c r="Q13" s="84">
        <v>85998.217999999993</v>
      </c>
      <c r="R13" s="84">
        <v>107209.284</v>
      </c>
      <c r="S13" s="84">
        <v>125418.923</v>
      </c>
      <c r="T13" s="84">
        <v>84578.258000000002</v>
      </c>
      <c r="U13" s="84">
        <v>135961.27799999999</v>
      </c>
      <c r="V13" s="84">
        <v>30971.863000000001</v>
      </c>
      <c r="W13" s="84">
        <v>30485.423999999999</v>
      </c>
      <c r="X13" s="1">
        <v>28541.196</v>
      </c>
      <c r="Y13" s="1">
        <v>14374.092000000001</v>
      </c>
      <c r="Z13" s="1">
        <v>29192.637999999999</v>
      </c>
      <c r="AA13" s="1">
        <v>25749.984</v>
      </c>
      <c r="AB13" s="1">
        <v>78741.807000000001</v>
      </c>
      <c r="AC13" s="1">
        <v>74172.672000000006</v>
      </c>
      <c r="AE13" s="1">
        <v>345945.08799999999</v>
      </c>
    </row>
    <row r="14" spans="1:31">
      <c r="A14" s="1" t="s">
        <v>31</v>
      </c>
      <c r="B14" s="84">
        <f>17275+10814</f>
        <v>28089</v>
      </c>
      <c r="C14" s="84">
        <f>21555+11120</f>
        <v>32675</v>
      </c>
      <c r="D14" s="84">
        <f>23411+11755</f>
        <v>35166</v>
      </c>
      <c r="E14" s="84">
        <f>47727.043+15632.715+0</f>
        <v>63359.758000000002</v>
      </c>
      <c r="F14" s="87">
        <v>65733.835000000006</v>
      </c>
      <c r="G14" s="84">
        <f>64639.523+13919.07</f>
        <v>78558.592999999993</v>
      </c>
      <c r="H14" s="84">
        <f>64196.825+18536.2</f>
        <v>82733.024999999994</v>
      </c>
      <c r="I14" s="84">
        <v>80651.142999999996</v>
      </c>
      <c r="J14" s="84">
        <f>58061.303+15000.84</f>
        <v>73062.142999999996</v>
      </c>
      <c r="K14" s="84">
        <v>94575.377999999997</v>
      </c>
      <c r="L14" s="84">
        <v>91058.21</v>
      </c>
      <c r="M14" s="84">
        <v>83444.370999999999</v>
      </c>
      <c r="N14" s="84">
        <v>144793.55300000001</v>
      </c>
      <c r="O14" s="84">
        <v>150028.78400000001</v>
      </c>
      <c r="P14" s="84">
        <v>163121.76500000001</v>
      </c>
      <c r="Q14" s="84">
        <v>175115.99900000001</v>
      </c>
      <c r="R14" s="84">
        <v>172523.38800000001</v>
      </c>
      <c r="S14" s="84">
        <v>191596.679</v>
      </c>
      <c r="T14" s="84">
        <v>197651.524</v>
      </c>
      <c r="U14" s="84">
        <v>234510.02</v>
      </c>
      <c r="V14" s="84">
        <v>15515.602000000001</v>
      </c>
      <c r="W14" s="84">
        <v>13169.796</v>
      </c>
      <c r="X14" s="1">
        <v>20010.253000000001</v>
      </c>
      <c r="Y14" s="1">
        <v>20531.905999999999</v>
      </c>
      <c r="Z14" s="1">
        <v>16710.169999999998</v>
      </c>
      <c r="AA14" s="1">
        <v>15194.678</v>
      </c>
      <c r="AB14" s="1">
        <v>13852.931</v>
      </c>
      <c r="AC14" s="1">
        <v>28935.257000000001</v>
      </c>
      <c r="AE14" s="1">
        <v>1519.2180000000001</v>
      </c>
    </row>
    <row r="15" spans="1:31">
      <c r="A15" s="1" t="s">
        <v>32</v>
      </c>
      <c r="B15" s="84">
        <f>1789+2582</f>
        <v>4371</v>
      </c>
      <c r="C15" s="84">
        <f>1655+1018</f>
        <v>2673</v>
      </c>
      <c r="D15" s="84">
        <f>3676+863</f>
        <v>4539</v>
      </c>
      <c r="E15" s="84">
        <f>2458.931+10651.723+0</f>
        <v>13110.654</v>
      </c>
      <c r="F15" s="87">
        <v>4612.7610000000004</v>
      </c>
      <c r="G15" s="84">
        <f>2099.201+14874.151</f>
        <v>16973.351999999999</v>
      </c>
      <c r="H15" s="84">
        <f>3019.534+11187.7</f>
        <v>14207.234</v>
      </c>
      <c r="I15" s="84">
        <v>47968.286</v>
      </c>
      <c r="J15" s="84">
        <f>5476.2+12701.492</f>
        <v>18177.691999999999</v>
      </c>
      <c r="K15" s="84">
        <v>22117.074000000001</v>
      </c>
      <c r="L15" s="84">
        <v>19235.145</v>
      </c>
      <c r="M15" s="84">
        <v>21108.478999999999</v>
      </c>
      <c r="N15" s="84">
        <v>68666.335000000006</v>
      </c>
      <c r="O15" s="84">
        <v>95158.706999999995</v>
      </c>
      <c r="P15" s="84">
        <v>121900.78200000001</v>
      </c>
      <c r="Q15" s="84">
        <v>105427.76300000001</v>
      </c>
      <c r="R15" s="84">
        <v>108662.65</v>
      </c>
      <c r="S15" s="84">
        <v>127806.64200000001</v>
      </c>
      <c r="T15" s="84">
        <v>148647.65900000001</v>
      </c>
      <c r="U15" s="84">
        <v>102510.08100000001</v>
      </c>
      <c r="V15" s="84">
        <v>40287.796000000002</v>
      </c>
      <c r="W15" s="84">
        <v>50921.256000000001</v>
      </c>
      <c r="X15" s="1">
        <v>50693.142</v>
      </c>
      <c r="Y15" s="1">
        <v>85231.438999999998</v>
      </c>
      <c r="Z15" s="1">
        <v>76531.243000000002</v>
      </c>
      <c r="AA15" s="1">
        <v>33662.578000000001</v>
      </c>
      <c r="AB15" s="1">
        <v>159606.51500000001</v>
      </c>
      <c r="AC15" s="100">
        <v>-8368.0139999999992</v>
      </c>
      <c r="AE15" s="1">
        <v>255000.655</v>
      </c>
    </row>
    <row r="16" spans="1:31">
      <c r="A16" s="1" t="s">
        <v>33</v>
      </c>
      <c r="B16" s="84">
        <v>2714</v>
      </c>
      <c r="C16" s="84">
        <f>0+2456</f>
        <v>2456</v>
      </c>
      <c r="D16" s="84">
        <v>4474</v>
      </c>
      <c r="E16" s="84">
        <f>8991.102+115367.608+0</f>
        <v>124358.70999999999</v>
      </c>
      <c r="F16" s="87">
        <v>64875.127</v>
      </c>
      <c r="G16" s="84">
        <f>23741.496+25348.964+1181.129</f>
        <v>50271.589</v>
      </c>
      <c r="H16" s="84">
        <f>25625.297+32787.496</f>
        <v>58412.792999999998</v>
      </c>
      <c r="I16" s="84">
        <v>53558.995999999999</v>
      </c>
      <c r="J16" s="84">
        <f>25818.844+32977.355</f>
        <v>58796.199000000008</v>
      </c>
      <c r="K16" s="84">
        <v>61572.336859999996</v>
      </c>
      <c r="L16" s="84">
        <v>76481.482999999993</v>
      </c>
      <c r="M16" s="84">
        <v>57868.023000000001</v>
      </c>
      <c r="N16" s="84">
        <v>86907.554999999993</v>
      </c>
      <c r="O16" s="84">
        <v>58168.512000000002</v>
      </c>
      <c r="P16" s="84">
        <v>62588.654999999999</v>
      </c>
      <c r="Q16" s="84">
        <v>81252.293999999994</v>
      </c>
      <c r="R16" s="84">
        <v>59471.716</v>
      </c>
      <c r="S16" s="84">
        <v>71765.159</v>
      </c>
      <c r="T16" s="84">
        <v>83587.819000000003</v>
      </c>
      <c r="U16" s="84">
        <v>47667.364000000001</v>
      </c>
      <c r="V16" s="84">
        <v>23543.127</v>
      </c>
      <c r="W16" s="84">
        <v>45584.421000000002</v>
      </c>
      <c r="X16" s="1">
        <v>51454.718999999997</v>
      </c>
      <c r="Y16" s="1">
        <v>26376.871999999999</v>
      </c>
      <c r="Z16" s="1">
        <v>70360.039000000004</v>
      </c>
      <c r="AA16" s="1">
        <v>33306.398999999998</v>
      </c>
      <c r="AB16" s="1">
        <v>169246.10699999999</v>
      </c>
      <c r="AC16" s="1">
        <v>184230.14600000001</v>
      </c>
      <c r="AE16" s="1">
        <v>436490.598</v>
      </c>
    </row>
    <row r="17" spans="1:31">
      <c r="A17" s="1" t="s">
        <v>34</v>
      </c>
      <c r="B17" s="84">
        <f>10+1956+968</f>
        <v>2934</v>
      </c>
      <c r="C17" s="84">
        <f>479+2629</f>
        <v>3108</v>
      </c>
      <c r="D17" s="84">
        <f>502+2589</f>
        <v>3091</v>
      </c>
      <c r="E17" s="84">
        <f>5345.816+7149.766</f>
        <v>12495.581999999999</v>
      </c>
      <c r="F17" s="87">
        <v>11428.174000000001</v>
      </c>
      <c r="G17" s="84">
        <f>7265.143+10788.515+1375.083</f>
        <v>19428.740999999998</v>
      </c>
      <c r="H17" s="84">
        <f>9024.19+6521.925</f>
        <v>15546.115000000002</v>
      </c>
      <c r="I17" s="84">
        <v>36171.748</v>
      </c>
      <c r="J17" s="84">
        <f>10843.949+21840.909</f>
        <v>32684.858</v>
      </c>
      <c r="K17" s="84">
        <v>25410.331999999999</v>
      </c>
      <c r="L17" s="84">
        <v>40729.012999999999</v>
      </c>
      <c r="M17" s="84">
        <v>44873.514999999999</v>
      </c>
      <c r="N17" s="84">
        <v>124120.558</v>
      </c>
      <c r="O17" s="84">
        <v>151415.48499999999</v>
      </c>
      <c r="P17" s="84">
        <v>152071.038</v>
      </c>
      <c r="Q17" s="84">
        <v>178457.234</v>
      </c>
      <c r="R17" s="84">
        <v>142057.53200000001</v>
      </c>
      <c r="S17" s="84">
        <v>149998.46599999999</v>
      </c>
      <c r="T17" s="84">
        <v>136198.326</v>
      </c>
      <c r="U17" s="84">
        <v>96172.873999999996</v>
      </c>
      <c r="V17" s="84">
        <v>36462.446000000004</v>
      </c>
      <c r="W17" s="84">
        <v>46535.156000000003</v>
      </c>
      <c r="X17" s="1">
        <v>62448.815999999999</v>
      </c>
      <c r="Y17" s="1">
        <v>18097.921999999999</v>
      </c>
      <c r="Z17" s="1">
        <v>16144.821</v>
      </c>
      <c r="AA17" s="1">
        <v>17691.047999999999</v>
      </c>
      <c r="AB17" s="1">
        <v>40736.038</v>
      </c>
      <c r="AC17" s="1">
        <v>24087.738000000001</v>
      </c>
      <c r="AE17" s="1">
        <v>242238.95800000001</v>
      </c>
    </row>
    <row r="18" spans="1:31">
      <c r="A18" s="1" t="s">
        <v>35</v>
      </c>
      <c r="B18" s="84">
        <f>734+20480+323+1859</f>
        <v>23396</v>
      </c>
      <c r="C18" s="84">
        <f>951+494</f>
        <v>1445</v>
      </c>
      <c r="D18" s="84">
        <v>1695</v>
      </c>
      <c r="E18" s="84">
        <f>4802.398+0</f>
        <v>4802.3980000000001</v>
      </c>
      <c r="F18" s="87">
        <v>23137.257000000001</v>
      </c>
      <c r="G18" s="84">
        <f>6915.632+10041.652+12395.03</f>
        <v>29352.313999999998</v>
      </c>
      <c r="H18" s="84">
        <f>8729.648+8522.857</f>
        <v>17252.504999999997</v>
      </c>
      <c r="I18" s="84">
        <v>12320.513999999999</v>
      </c>
      <c r="J18" s="84">
        <f>5181.517+16679.313</f>
        <v>21860.829999999998</v>
      </c>
      <c r="K18" s="84">
        <v>29607.871999999999</v>
      </c>
      <c r="L18" s="84">
        <v>24452.421999999999</v>
      </c>
      <c r="M18" s="84">
        <v>-7735.6610000000001</v>
      </c>
      <c r="N18" s="84">
        <v>200899.82699999999</v>
      </c>
      <c r="O18" s="84">
        <v>207088.46400000001</v>
      </c>
      <c r="P18" s="84">
        <v>234691.234</v>
      </c>
      <c r="Q18" s="84">
        <v>251905.01199999999</v>
      </c>
      <c r="R18" s="84">
        <v>297994.592</v>
      </c>
      <c r="S18" s="84">
        <v>343161.88500000001</v>
      </c>
      <c r="T18" s="84">
        <v>356240.39500000002</v>
      </c>
      <c r="U18" s="84">
        <v>403163.53399999999</v>
      </c>
      <c r="V18" s="84">
        <v>41058.944000000003</v>
      </c>
      <c r="W18" s="84">
        <v>45905.446000000004</v>
      </c>
      <c r="X18" s="1">
        <v>43854.811000000002</v>
      </c>
      <c r="Y18" s="1">
        <v>21712.556</v>
      </c>
      <c r="Z18" s="1">
        <v>40903.622000000003</v>
      </c>
      <c r="AA18" s="1">
        <v>47043.133999999998</v>
      </c>
      <c r="AB18" s="1">
        <v>41785.019</v>
      </c>
      <c r="AC18" s="1">
        <v>64635.207000000002</v>
      </c>
      <c r="AE18" s="1">
        <v>161659.37599999999</v>
      </c>
    </row>
    <row r="19" spans="1:31">
      <c r="A19" s="1" t="s">
        <v>36</v>
      </c>
      <c r="B19" s="84">
        <v>225</v>
      </c>
      <c r="C19" s="84">
        <f>0+234</f>
        <v>234</v>
      </c>
      <c r="D19" s="84">
        <v>254</v>
      </c>
      <c r="E19" s="84">
        <f>5030.557+5011.255</f>
        <v>10041.812</v>
      </c>
      <c r="F19" s="87">
        <v>12284.870999999999</v>
      </c>
      <c r="G19" s="84">
        <f>6757.301+639.19+56306.441</f>
        <v>63702.932000000001</v>
      </c>
      <c r="H19" s="84">
        <f>6713.507+-7419.903</f>
        <v>-706.39600000000064</v>
      </c>
      <c r="I19" s="84">
        <v>4735.6530000000002</v>
      </c>
      <c r="J19" s="84">
        <f>3615.003+1254.056</f>
        <v>4869.0590000000002</v>
      </c>
      <c r="K19" s="84">
        <v>-2798.1750000000002</v>
      </c>
      <c r="L19" s="84">
        <v>8817.1080000000002</v>
      </c>
      <c r="M19" s="84">
        <v>5753.335</v>
      </c>
      <c r="N19" s="84">
        <v>104123.80100000001</v>
      </c>
      <c r="O19" s="84">
        <v>134400.856</v>
      </c>
      <c r="P19" s="84">
        <v>136199.36600000001</v>
      </c>
      <c r="Q19" s="84">
        <v>134195.68700000001</v>
      </c>
      <c r="R19" s="84">
        <v>153268.95199999999</v>
      </c>
      <c r="S19" s="84">
        <v>169268.61</v>
      </c>
      <c r="T19" s="84">
        <v>148740.902</v>
      </c>
      <c r="U19" s="84">
        <v>114824.95699999999</v>
      </c>
      <c r="V19" s="84">
        <v>14453.154</v>
      </c>
      <c r="W19" s="84">
        <v>8867.5679999999993</v>
      </c>
      <c r="X19" s="1">
        <v>6140.92</v>
      </c>
      <c r="Y19" s="1">
        <v>6354.5569999999998</v>
      </c>
      <c r="Z19" s="1">
        <v>8308.8799999999992</v>
      </c>
      <c r="AA19" s="1">
        <v>20139.548999999999</v>
      </c>
      <c r="AB19" s="1">
        <v>48175.28</v>
      </c>
      <c r="AC19" s="1">
        <v>89041.072</v>
      </c>
      <c r="AE19" s="1">
        <v>89275.913</v>
      </c>
    </row>
    <row r="20" spans="1:31">
      <c r="A20" s="1" t="s">
        <v>37</v>
      </c>
      <c r="B20" s="84">
        <f>345+2288</f>
        <v>2633</v>
      </c>
      <c r="C20" s="84">
        <f>219+6957</f>
        <v>7176</v>
      </c>
      <c r="D20" s="84">
        <f>212+4600</f>
        <v>4812</v>
      </c>
      <c r="E20" s="84">
        <f>7266.975+(-631.75)</f>
        <v>6635.2250000000004</v>
      </c>
      <c r="F20" s="87">
        <v>8670.973</v>
      </c>
      <c r="G20" s="84">
        <f>9685.121+2848.413</f>
        <v>12533.534</v>
      </c>
      <c r="H20" s="84">
        <f>6867.347+8168.518</f>
        <v>15035.865</v>
      </c>
      <c r="I20" s="84">
        <v>25650.865000000002</v>
      </c>
      <c r="J20" s="84">
        <f>5597.852+5550.959</f>
        <v>11148.811</v>
      </c>
      <c r="K20" s="84">
        <v>21358.992999999999</v>
      </c>
      <c r="L20" s="84">
        <v>24072.507000000001</v>
      </c>
      <c r="M20" s="84">
        <v>14088.707</v>
      </c>
      <c r="N20" s="84">
        <v>98323.161999999997</v>
      </c>
      <c r="O20" s="84">
        <v>110396.905</v>
      </c>
      <c r="P20" s="84">
        <v>116647.391</v>
      </c>
      <c r="Q20" s="84">
        <v>129615.72900000001</v>
      </c>
      <c r="R20" s="84">
        <v>141382.565</v>
      </c>
      <c r="S20" s="84">
        <v>155563.416</v>
      </c>
      <c r="T20" s="84">
        <v>148724.12599999999</v>
      </c>
      <c r="U20" s="84">
        <v>113014.88800000001</v>
      </c>
      <c r="V20" s="84">
        <v>14053.531999999999</v>
      </c>
      <c r="W20" s="84">
        <v>16800.859</v>
      </c>
      <c r="X20" s="1">
        <v>14180.745000000001</v>
      </c>
      <c r="Y20" s="1">
        <v>32193.424999999999</v>
      </c>
      <c r="Z20" s="1">
        <v>15218.449000000001</v>
      </c>
      <c r="AA20" s="1">
        <v>18060.965</v>
      </c>
      <c r="AB20" s="1">
        <v>23324.516</v>
      </c>
      <c r="AC20" s="1">
        <v>45074.485000000001</v>
      </c>
      <c r="AE20" s="1">
        <v>237938.598</v>
      </c>
    </row>
    <row r="21" spans="1:31" s="11" customFormat="1">
      <c r="A21" s="1" t="s">
        <v>38</v>
      </c>
      <c r="B21" s="84">
        <v>2225</v>
      </c>
      <c r="C21" s="84">
        <f>1055+2319</f>
        <v>3374</v>
      </c>
      <c r="D21" s="84">
        <f>2195+908</f>
        <v>3103</v>
      </c>
      <c r="E21" s="84">
        <f>5573.744+5182.374</f>
        <v>10756.117999999999</v>
      </c>
      <c r="F21" s="87">
        <v>21967.646000000001</v>
      </c>
      <c r="G21" s="84">
        <f>3313.658+6180.627</f>
        <v>9494.2849999999999</v>
      </c>
      <c r="H21" s="84">
        <f>2490.234+8695.559</f>
        <v>11185.793</v>
      </c>
      <c r="I21" s="84">
        <v>12621.532999999999</v>
      </c>
      <c r="J21" s="84">
        <f>2734.973-613.996</f>
        <v>2120.9769999999999</v>
      </c>
      <c r="K21" s="84">
        <v>14452.046279999999</v>
      </c>
      <c r="L21" s="84">
        <v>42999.277999999998</v>
      </c>
      <c r="M21" s="84">
        <v>-7325.9849999999997</v>
      </c>
      <c r="N21" s="84">
        <v>114964.27899999999</v>
      </c>
      <c r="O21" s="84">
        <v>56352.512000000002</v>
      </c>
      <c r="P21" s="84">
        <v>162504.228</v>
      </c>
      <c r="Q21" s="84">
        <v>166077.307</v>
      </c>
      <c r="R21" s="84">
        <v>167403.69899999999</v>
      </c>
      <c r="S21" s="84">
        <v>150518.47899999999</v>
      </c>
      <c r="T21" s="84">
        <v>161678.34</v>
      </c>
      <c r="U21" s="84">
        <v>175166.28400000001</v>
      </c>
      <c r="V21" s="84">
        <v>10089.815000000001</v>
      </c>
      <c r="W21" s="84">
        <v>634.91800000000001</v>
      </c>
      <c r="X21" s="1">
        <v>257.39100000000002</v>
      </c>
      <c r="Y21" s="1">
        <v>3451.2689999999998</v>
      </c>
      <c r="Z21" s="1">
        <v>615.05499999999995</v>
      </c>
      <c r="AA21" s="1">
        <v>3988</v>
      </c>
      <c r="AB21" s="1">
        <v>83148.236999999994</v>
      </c>
      <c r="AC21" s="1">
        <v>74567.392000000007</v>
      </c>
      <c r="AD21" s="1"/>
      <c r="AE21" s="1">
        <v>100927.985</v>
      </c>
    </row>
    <row r="22" spans="1:31">
      <c r="A22" s="1" t="s">
        <v>39</v>
      </c>
      <c r="B22" s="84">
        <f>25042+25346</f>
        <v>50388</v>
      </c>
      <c r="C22" s="84">
        <f>16809+24265</f>
        <v>41074</v>
      </c>
      <c r="D22" s="84">
        <f>56514+45498</f>
        <v>102012</v>
      </c>
      <c r="E22" s="84">
        <f>90600.104+112646.57</f>
        <v>203246.674</v>
      </c>
      <c r="F22" s="87">
        <v>271274.522</v>
      </c>
      <c r="G22" s="84">
        <f>93450.362+138880.092</f>
        <v>232330.454</v>
      </c>
      <c r="H22" s="84">
        <f>106875.733+166590.12</f>
        <v>273465.853</v>
      </c>
      <c r="I22" s="84">
        <v>270594.85800000001</v>
      </c>
      <c r="J22" s="84">
        <f>163257.133+391819.731</f>
        <v>555076.86400000006</v>
      </c>
      <c r="K22" s="84">
        <v>596007.03099999996</v>
      </c>
      <c r="L22" s="84">
        <v>532553.70200000005</v>
      </c>
      <c r="M22" s="84">
        <v>576507.196</v>
      </c>
      <c r="N22" s="84">
        <v>1303992.5209999999</v>
      </c>
      <c r="O22" s="84">
        <v>1149106.33</v>
      </c>
      <c r="P22" s="84">
        <v>1458486.797</v>
      </c>
      <c r="Q22" s="84">
        <v>1555000.693</v>
      </c>
      <c r="R22" s="84">
        <v>1255260.855</v>
      </c>
      <c r="S22" s="84">
        <v>1524960.175</v>
      </c>
      <c r="T22" s="84">
        <v>1691759.48</v>
      </c>
      <c r="U22" s="84">
        <v>1263210.831</v>
      </c>
      <c r="V22" s="84">
        <v>719021.90800000005</v>
      </c>
      <c r="W22" s="84">
        <v>965490.11399999994</v>
      </c>
      <c r="X22" s="1">
        <v>885167.16</v>
      </c>
      <c r="Y22" s="1">
        <v>833358.55799999996</v>
      </c>
      <c r="Z22" s="1">
        <v>837689.42700000003</v>
      </c>
      <c r="AA22" s="1">
        <v>962844.69400000002</v>
      </c>
      <c r="AB22" s="1">
        <v>1551595.01</v>
      </c>
      <c r="AC22" s="1">
        <v>1801306.1089999999</v>
      </c>
      <c r="AE22" s="1">
        <v>2202652.9569999999</v>
      </c>
    </row>
    <row r="23" spans="1:31">
      <c r="A23" s="1" t="s">
        <v>40</v>
      </c>
      <c r="B23" s="84">
        <f>843+1100+717</f>
        <v>2660</v>
      </c>
      <c r="C23" s="84">
        <f>2115+3858</f>
        <v>5973</v>
      </c>
      <c r="D23" s="84">
        <f>2116+2172</f>
        <v>4288</v>
      </c>
      <c r="E23" s="84">
        <f>5169.946+24592.226</f>
        <v>29762.171999999999</v>
      </c>
      <c r="F23" s="87">
        <v>6960.3090000000002</v>
      </c>
      <c r="G23" s="84">
        <f>9825.084+17952.76+314.598</f>
        <v>28092.441999999999</v>
      </c>
      <c r="H23" s="84">
        <f>8510.019+-3187.69</f>
        <v>5322.3289999999997</v>
      </c>
      <c r="I23" s="84">
        <v>28434.585999999999</v>
      </c>
      <c r="J23" s="84">
        <f>6469.053+16035.937</f>
        <v>22504.989999999998</v>
      </c>
      <c r="K23" s="84">
        <v>42244.004000000001</v>
      </c>
      <c r="L23" s="84">
        <v>12235.732</v>
      </c>
      <c r="M23" s="84">
        <v>4797.7550000000001</v>
      </c>
      <c r="N23" s="84">
        <v>292489.39600000001</v>
      </c>
      <c r="O23" s="84">
        <v>281056.30800000002</v>
      </c>
      <c r="P23" s="84">
        <v>305178.05599999998</v>
      </c>
      <c r="Q23" s="84">
        <v>317077.55099999998</v>
      </c>
      <c r="R23" s="84">
        <v>344404.46100000001</v>
      </c>
      <c r="S23" s="84">
        <v>374119.85600000003</v>
      </c>
      <c r="T23" s="84">
        <v>447272.49900000001</v>
      </c>
      <c r="U23" s="84">
        <v>473328.23499999999</v>
      </c>
      <c r="V23" s="84">
        <v>82574.803</v>
      </c>
      <c r="W23" s="84">
        <v>5532.1840000000002</v>
      </c>
      <c r="X23" s="1">
        <v>31221.897000000001</v>
      </c>
      <c r="Y23" s="1">
        <v>39168.161999999997</v>
      </c>
      <c r="Z23" s="1">
        <v>34980.684999999998</v>
      </c>
      <c r="AA23" s="1">
        <v>49385.631000000001</v>
      </c>
      <c r="AB23" s="1">
        <v>46601.394999999997</v>
      </c>
      <c r="AC23" s="1">
        <v>51367.663999999997</v>
      </c>
      <c r="AE23" s="1">
        <v>51955.241999999998</v>
      </c>
    </row>
    <row r="24" spans="1:31">
      <c r="A24" s="23" t="s">
        <v>41</v>
      </c>
      <c r="B24" s="85">
        <f>15445+4362</f>
        <v>19807</v>
      </c>
      <c r="C24" s="85">
        <f>0+4225</f>
        <v>4225</v>
      </c>
      <c r="D24" s="85">
        <v>4574</v>
      </c>
      <c r="E24" s="85">
        <f>9751.004+212.921+0</f>
        <v>9963.9250000000011</v>
      </c>
      <c r="F24" s="88">
        <v>36154.877999999997</v>
      </c>
      <c r="G24" s="85">
        <f>15898.841+15267.117</f>
        <v>31165.957999999999</v>
      </c>
      <c r="H24" s="85">
        <f>12740.762+22035.149</f>
        <v>34775.911</v>
      </c>
      <c r="I24" s="85">
        <v>27791.94</v>
      </c>
      <c r="J24" s="85">
        <f>11799.014+12533.935</f>
        <v>24332.949000000001</v>
      </c>
      <c r="K24" s="85">
        <v>33657.972130000002</v>
      </c>
      <c r="L24" s="85">
        <v>34820.910000000003</v>
      </c>
      <c r="M24" s="85">
        <v>41207.646999999997</v>
      </c>
      <c r="N24" s="85">
        <v>121946.133</v>
      </c>
      <c r="O24" s="85">
        <v>101836.539</v>
      </c>
      <c r="P24" s="85">
        <v>99648.028999999995</v>
      </c>
      <c r="Q24" s="85">
        <v>98710.41</v>
      </c>
      <c r="R24" s="85">
        <v>105315.993</v>
      </c>
      <c r="S24" s="85">
        <v>106531.023</v>
      </c>
      <c r="T24" s="85">
        <v>108968.806</v>
      </c>
      <c r="U24" s="85">
        <v>112130.098</v>
      </c>
      <c r="V24" s="85">
        <v>21795.031999999999</v>
      </c>
      <c r="W24" s="85">
        <v>19717.719000000001</v>
      </c>
      <c r="X24" s="23">
        <v>40486.116999999998</v>
      </c>
      <c r="Y24" s="23">
        <v>23891.062000000002</v>
      </c>
      <c r="Z24" s="23">
        <v>23372.850999999999</v>
      </c>
      <c r="AA24" s="23">
        <v>24606.002</v>
      </c>
      <c r="AB24" s="23">
        <v>231747.908</v>
      </c>
      <c r="AC24" s="23">
        <v>232589.89499999999</v>
      </c>
      <c r="AD24" s="23"/>
      <c r="AE24" s="23">
        <v>220779.30100000001</v>
      </c>
    </row>
    <row r="25" spans="1:31">
      <c r="A25" s="7" t="s">
        <v>42</v>
      </c>
      <c r="B25" s="83">
        <f>SUM(B27:B39)</f>
        <v>0</v>
      </c>
      <c r="C25" s="83">
        <f t="shared" ref="C25:AC25" si="10">SUM(C27:C39)</f>
        <v>0</v>
      </c>
      <c r="D25" s="83">
        <f t="shared" si="10"/>
        <v>0</v>
      </c>
      <c r="E25" s="83">
        <f t="shared" si="10"/>
        <v>0</v>
      </c>
      <c r="F25" s="83">
        <f t="shared" si="10"/>
        <v>428782.60999999993</v>
      </c>
      <c r="G25" s="83">
        <f t="shared" si="10"/>
        <v>0</v>
      </c>
      <c r="H25" s="83">
        <f t="shared" si="10"/>
        <v>0</v>
      </c>
      <c r="I25" s="83">
        <f t="shared" si="10"/>
        <v>590864.63800000015</v>
      </c>
      <c r="J25" s="83">
        <f t="shared" si="10"/>
        <v>0</v>
      </c>
      <c r="K25" s="83">
        <f t="shared" si="10"/>
        <v>585961.24126000004</v>
      </c>
      <c r="L25" s="83">
        <f t="shared" si="10"/>
        <v>850975.01100000006</v>
      </c>
      <c r="M25" s="83">
        <f t="shared" si="10"/>
        <v>956937.8550000001</v>
      </c>
      <c r="N25" s="83">
        <f t="shared" si="10"/>
        <v>2373069.2050000001</v>
      </c>
      <c r="O25" s="83">
        <f t="shared" si="10"/>
        <v>2804058.6120000002</v>
      </c>
      <c r="P25" s="83">
        <f t="shared" si="10"/>
        <v>2847720.3679999993</v>
      </c>
      <c r="Q25" s="83">
        <f t="shared" si="10"/>
        <v>3057400.9870000002</v>
      </c>
      <c r="R25" s="83">
        <f t="shared" si="10"/>
        <v>3351770.6989999996</v>
      </c>
      <c r="S25" s="83">
        <f t="shared" si="10"/>
        <v>3927651.2889999994</v>
      </c>
      <c r="T25" s="83">
        <f t="shared" si="10"/>
        <v>3235640.0880000005</v>
      </c>
      <c r="U25" s="83">
        <f t="shared" si="10"/>
        <v>2881221.1860000002</v>
      </c>
      <c r="V25" s="83">
        <f t="shared" si="10"/>
        <v>613416.84299999999</v>
      </c>
      <c r="W25" s="83">
        <f t="shared" si="10"/>
        <v>801255.00399999996</v>
      </c>
      <c r="X25" s="83">
        <f t="shared" si="10"/>
        <v>566152.34500000009</v>
      </c>
      <c r="Y25" s="83">
        <f t="shared" si="10"/>
        <v>563017.19200000004</v>
      </c>
      <c r="Z25" s="83">
        <f t="shared" si="10"/>
        <v>741962.40399999998</v>
      </c>
      <c r="AA25" s="83">
        <f t="shared" si="10"/>
        <v>477942.26300000004</v>
      </c>
      <c r="AB25" s="83">
        <f t="shared" si="10"/>
        <v>1666571.3640000001</v>
      </c>
      <c r="AC25" s="83">
        <f t="shared" si="10"/>
        <v>3452903.0060000001</v>
      </c>
      <c r="AD25" s="47">
        <f t="shared" ref="AD25:AE25" si="11">SUM(AD27:AD39)</f>
        <v>0</v>
      </c>
      <c r="AE25" s="47">
        <f t="shared" si="11"/>
        <v>6711026.8230000017</v>
      </c>
    </row>
    <row r="26" spans="1:31">
      <c r="A26" s="7" t="s">
        <v>97</v>
      </c>
      <c r="B26" s="84"/>
      <c r="C26" s="84"/>
      <c r="D26" s="84"/>
      <c r="E26" s="84"/>
      <c r="F26" s="84"/>
      <c r="G26" s="84"/>
      <c r="H26" s="84"/>
      <c r="I26" s="84"/>
      <c r="J26" s="84"/>
      <c r="K26" s="84"/>
      <c r="L26" s="84"/>
      <c r="M26" s="84"/>
      <c r="N26" s="84"/>
      <c r="O26" s="84"/>
      <c r="P26" s="84"/>
      <c r="Q26" s="84"/>
      <c r="R26" s="84"/>
      <c r="S26" s="84"/>
      <c r="T26" s="84"/>
      <c r="U26" s="84"/>
      <c r="X26" s="1">
        <v>0</v>
      </c>
      <c r="Y26" s="1">
        <v>0</v>
      </c>
      <c r="AB26" s="1">
        <v>0</v>
      </c>
      <c r="AC26" s="1">
        <v>0</v>
      </c>
    </row>
    <row r="27" spans="1:31">
      <c r="A27" s="1" t="s">
        <v>43</v>
      </c>
      <c r="B27" s="84"/>
      <c r="C27" s="84"/>
      <c r="D27" s="84"/>
      <c r="E27" s="84"/>
      <c r="F27" s="87">
        <v>1751.7239999999999</v>
      </c>
      <c r="G27" s="84"/>
      <c r="H27" s="84"/>
      <c r="I27" s="84">
        <v>3150.183</v>
      </c>
      <c r="J27" s="84"/>
      <c r="K27" s="84">
        <v>6390.7860000000001</v>
      </c>
      <c r="L27" s="84">
        <v>7029.0959999999995</v>
      </c>
      <c r="M27" s="84">
        <v>7347.5230000000001</v>
      </c>
      <c r="N27" s="84">
        <v>6368.6350000000002</v>
      </c>
      <c r="O27" s="84">
        <v>63735.3</v>
      </c>
      <c r="P27" s="84">
        <v>64468.09</v>
      </c>
      <c r="Q27" s="84">
        <v>80866.502999999997</v>
      </c>
      <c r="R27" s="84">
        <v>76781.919999999998</v>
      </c>
      <c r="S27" s="84">
        <v>64113.042999999998</v>
      </c>
      <c r="T27" s="84">
        <v>89500.743000000002</v>
      </c>
      <c r="U27" s="84">
        <v>4931.2950000000001</v>
      </c>
      <c r="V27" s="84">
        <v>4479.1809999999996</v>
      </c>
      <c r="W27" s="84">
        <v>7275.8590000000004</v>
      </c>
      <c r="X27" s="1">
        <v>15349.705</v>
      </c>
      <c r="Y27" s="1">
        <v>13310.278</v>
      </c>
      <c r="Z27" s="1">
        <v>10549.563</v>
      </c>
      <c r="AA27" s="1">
        <v>152.74199999999999</v>
      </c>
      <c r="AB27" s="1">
        <v>571.01</v>
      </c>
      <c r="AC27" s="1">
        <v>17767.936000000002</v>
      </c>
      <c r="AE27" s="1">
        <v>-7774.1390000000001</v>
      </c>
    </row>
    <row r="28" spans="1:31">
      <c r="A28" s="1" t="s">
        <v>44</v>
      </c>
      <c r="B28" s="84"/>
      <c r="C28" s="84"/>
      <c r="D28" s="84"/>
      <c r="E28" s="84"/>
      <c r="F28" s="87">
        <v>38398.534</v>
      </c>
      <c r="G28" s="84"/>
      <c r="H28" s="84"/>
      <c r="I28" s="84">
        <v>73610.955000000002</v>
      </c>
      <c r="J28" s="84"/>
      <c r="K28" s="84">
        <v>73294.493000000002</v>
      </c>
      <c r="L28" s="84">
        <v>70269.967999999993</v>
      </c>
      <c r="M28" s="84">
        <v>67784.010999999999</v>
      </c>
      <c r="N28" s="84">
        <v>194121.32500000001</v>
      </c>
      <c r="O28" s="84">
        <v>201318.12700000001</v>
      </c>
      <c r="P28" s="84">
        <v>224302.451</v>
      </c>
      <c r="Q28" s="84">
        <v>234875.367</v>
      </c>
      <c r="R28" s="84">
        <v>259300.758</v>
      </c>
      <c r="S28" s="84">
        <v>285741.109</v>
      </c>
      <c r="T28" s="84">
        <v>329515.12900000002</v>
      </c>
      <c r="U28" s="84">
        <v>314218.66600000003</v>
      </c>
      <c r="V28" s="84">
        <v>11563.308000000001</v>
      </c>
      <c r="W28" s="84">
        <v>9678.7960000000003</v>
      </c>
      <c r="X28" s="1">
        <v>10038.035</v>
      </c>
      <c r="Y28" s="1">
        <v>16542.839</v>
      </c>
      <c r="Z28" s="1">
        <v>10396.897000000001</v>
      </c>
      <c r="AA28" s="1">
        <v>9825.1869999999999</v>
      </c>
      <c r="AB28" s="1">
        <v>302203.04100000003</v>
      </c>
      <c r="AC28" s="1">
        <v>316959.09499999997</v>
      </c>
      <c r="AE28" s="1">
        <v>6109</v>
      </c>
    </row>
    <row r="29" spans="1:31">
      <c r="A29" s="1" t="s">
        <v>45</v>
      </c>
      <c r="B29" s="84"/>
      <c r="C29" s="84"/>
      <c r="D29" s="84"/>
      <c r="E29" s="84"/>
      <c r="F29" s="87">
        <v>220160.71100000001</v>
      </c>
      <c r="G29" s="84"/>
      <c r="H29" s="84"/>
      <c r="I29" s="84">
        <v>367771.66600000003</v>
      </c>
      <c r="J29" s="84"/>
      <c r="K29" s="84">
        <v>361362.47200000001</v>
      </c>
      <c r="L29" s="84">
        <v>567797.48899999994</v>
      </c>
      <c r="M29" s="84">
        <v>726701.549</v>
      </c>
      <c r="N29" s="84">
        <v>1115166.774</v>
      </c>
      <c r="O29" s="84">
        <v>1268958.8559999999</v>
      </c>
      <c r="P29" s="84">
        <v>1426446.01</v>
      </c>
      <c r="Q29" s="84">
        <v>1442094.602</v>
      </c>
      <c r="R29" s="84">
        <v>1516817.99</v>
      </c>
      <c r="S29" s="84">
        <v>2064797.6529999999</v>
      </c>
      <c r="T29" s="84">
        <v>1378285.399</v>
      </c>
      <c r="U29" s="84">
        <v>1229389.3370000001</v>
      </c>
      <c r="V29" s="84">
        <v>197746.788</v>
      </c>
      <c r="W29" s="84">
        <v>311714.38400000002</v>
      </c>
      <c r="X29" s="1">
        <v>216079.45699999999</v>
      </c>
      <c r="Y29" s="1">
        <v>198007.78</v>
      </c>
      <c r="Z29" s="1">
        <v>345322.72499999998</v>
      </c>
      <c r="AA29" s="1">
        <v>159991.856</v>
      </c>
      <c r="AB29" s="1">
        <v>447726.359</v>
      </c>
      <c r="AC29" s="1">
        <v>1846415.7420000001</v>
      </c>
      <c r="AE29" s="1">
        <v>5558777.3320000004</v>
      </c>
    </row>
    <row r="30" spans="1:31">
      <c r="A30" s="1" t="s">
        <v>46</v>
      </c>
      <c r="B30" s="84"/>
      <c r="C30" s="84"/>
      <c r="D30" s="84"/>
      <c r="E30" s="84"/>
      <c r="F30" s="87">
        <v>67407.687999999995</v>
      </c>
      <c r="G30" s="84"/>
      <c r="H30" s="84"/>
      <c r="I30" s="84">
        <v>37908.542999999998</v>
      </c>
      <c r="J30" s="84"/>
      <c r="K30" s="84">
        <v>41415.106</v>
      </c>
      <c r="L30" s="84">
        <v>88085.37</v>
      </c>
      <c r="M30" s="84">
        <v>86452.842999999993</v>
      </c>
      <c r="N30" s="84">
        <v>-126661.238</v>
      </c>
      <c r="O30" s="84">
        <v>167544.34700000001</v>
      </c>
      <c r="P30" s="84">
        <v>145567.954</v>
      </c>
      <c r="Q30" s="84">
        <v>211191.07699999999</v>
      </c>
      <c r="R30" s="84">
        <v>230976.285</v>
      </c>
      <c r="S30" s="84">
        <v>251063.209</v>
      </c>
      <c r="T30" s="84">
        <v>261334.47</v>
      </c>
      <c r="U30" s="84">
        <v>275532.37</v>
      </c>
      <c r="V30" s="84">
        <v>138306.228</v>
      </c>
      <c r="W30" s="84">
        <v>151840.04500000001</v>
      </c>
      <c r="X30" s="1">
        <v>18301.147000000001</v>
      </c>
      <c r="Y30" s="1">
        <v>18034.13</v>
      </c>
      <c r="Z30" s="1">
        <v>27968.741999999998</v>
      </c>
      <c r="AA30" s="1">
        <v>13813.288</v>
      </c>
      <c r="AB30" s="1">
        <v>247449.549</v>
      </c>
      <c r="AC30" s="1">
        <v>586138.90899999999</v>
      </c>
      <c r="AE30" s="1">
        <v>-139219.185</v>
      </c>
    </row>
    <row r="31" spans="1:31">
      <c r="A31" s="1" t="s">
        <v>47</v>
      </c>
      <c r="B31" s="84"/>
      <c r="C31" s="84"/>
      <c r="D31" s="84"/>
      <c r="E31" s="84"/>
      <c r="F31" s="87">
        <v>3938.5810000000001</v>
      </c>
      <c r="G31" s="84"/>
      <c r="H31" s="84"/>
      <c r="I31" s="84">
        <v>1569.8150000000001</v>
      </c>
      <c r="J31" s="84"/>
      <c r="K31" s="84">
        <v>1264.626</v>
      </c>
      <c r="L31" s="84">
        <v>1069.3579999999999</v>
      </c>
      <c r="M31" s="84">
        <v>1504.9390000000001</v>
      </c>
      <c r="N31" s="84">
        <v>114676.83</v>
      </c>
      <c r="O31" s="84">
        <v>50197.803999999996</v>
      </c>
      <c r="P31" s="84">
        <v>50188.493999999999</v>
      </c>
      <c r="Q31" s="84">
        <v>47807.680999999997</v>
      </c>
      <c r="R31" s="84">
        <v>65325.326999999997</v>
      </c>
      <c r="S31" s="84">
        <v>82746.460000000006</v>
      </c>
      <c r="T31" s="84">
        <v>95815.483999999997</v>
      </c>
      <c r="U31" s="84">
        <v>99541.370999999999</v>
      </c>
      <c r="V31" s="84">
        <v>-17585.931</v>
      </c>
      <c r="W31" s="84">
        <v>2010.4659999999999</v>
      </c>
      <c r="X31" s="1">
        <v>21583.532999999999</v>
      </c>
      <c r="Y31" s="1">
        <v>17230.315999999999</v>
      </c>
      <c r="Z31" s="1">
        <v>32452.36</v>
      </c>
      <c r="AA31" s="1">
        <v>23602.202000000001</v>
      </c>
      <c r="AB31" s="1">
        <v>128303.427</v>
      </c>
      <c r="AC31" s="1">
        <v>103740.486</v>
      </c>
      <c r="AE31" s="1">
        <v>73252.076000000001</v>
      </c>
    </row>
    <row r="32" spans="1:31">
      <c r="A32" s="1" t="s">
        <v>48</v>
      </c>
      <c r="B32" s="84"/>
      <c r="C32" s="84"/>
      <c r="D32" s="84"/>
      <c r="E32" s="84"/>
      <c r="F32" s="87">
        <v>3922.6489999999999</v>
      </c>
      <c r="G32" s="84"/>
      <c r="H32" s="84"/>
      <c r="I32" s="84">
        <v>2758.7440000000001</v>
      </c>
      <c r="J32" s="84"/>
      <c r="K32" s="84">
        <v>11163.925999999999</v>
      </c>
      <c r="L32" s="84">
        <v>9880.0630000000001</v>
      </c>
      <c r="M32" s="84">
        <v>19199.971000000001</v>
      </c>
      <c r="N32" s="84">
        <v>45997.184999999998</v>
      </c>
      <c r="O32" s="84">
        <v>20866.732</v>
      </c>
      <c r="P32" s="84">
        <v>27732.438999999998</v>
      </c>
      <c r="Q32" s="84">
        <v>59446.680999999997</v>
      </c>
      <c r="R32" s="84">
        <v>57030.557000000001</v>
      </c>
      <c r="S32" s="84">
        <v>53783.504000000001</v>
      </c>
      <c r="T32" s="84">
        <v>66598.837</v>
      </c>
      <c r="U32" s="84">
        <v>69441.664999999994</v>
      </c>
      <c r="V32" s="84">
        <v>20966.594000000001</v>
      </c>
      <c r="W32" s="84">
        <v>15694.442999999999</v>
      </c>
      <c r="X32" s="1">
        <v>17986.904999999999</v>
      </c>
      <c r="Y32" s="1">
        <v>22595.231</v>
      </c>
      <c r="Z32" s="1">
        <v>21363.580999999998</v>
      </c>
      <c r="AA32" s="1">
        <v>18870.396000000001</v>
      </c>
      <c r="AB32" s="1">
        <v>36314.205000000002</v>
      </c>
      <c r="AC32" s="1">
        <v>43543.671000000002</v>
      </c>
      <c r="AE32" s="1">
        <v>43677.228000000003</v>
      </c>
    </row>
    <row r="33" spans="1:31">
      <c r="A33" s="1" t="s">
        <v>49</v>
      </c>
      <c r="B33" s="84"/>
      <c r="C33" s="84"/>
      <c r="D33" s="84"/>
      <c r="E33" s="84"/>
      <c r="F33" s="87">
        <v>2352.627</v>
      </c>
      <c r="G33" s="84"/>
      <c r="H33" s="84"/>
      <c r="I33" s="84">
        <v>1883.377</v>
      </c>
      <c r="J33" s="84"/>
      <c r="K33" s="84">
        <v>161.17099999999999</v>
      </c>
      <c r="L33" s="84">
        <v>2894.52</v>
      </c>
      <c r="M33" s="84">
        <v>6117.5640000000003</v>
      </c>
      <c r="N33" s="84">
        <v>24438.981</v>
      </c>
      <c r="O33" s="84">
        <v>49025.207999999999</v>
      </c>
      <c r="P33" s="84">
        <v>49702.283000000003</v>
      </c>
      <c r="Q33" s="84">
        <v>49968.650999999998</v>
      </c>
      <c r="R33" s="84">
        <v>53715.038999999997</v>
      </c>
      <c r="S33" s="84">
        <v>53959.516000000003</v>
      </c>
      <c r="T33" s="84">
        <v>53557.188000000002</v>
      </c>
      <c r="U33" s="84">
        <v>27238.966</v>
      </c>
      <c r="V33" s="84">
        <v>3327.3009999999999</v>
      </c>
      <c r="W33" s="84">
        <v>5426.866</v>
      </c>
      <c r="X33" s="1">
        <v>3658.9569999999999</v>
      </c>
      <c r="Y33" s="1">
        <v>4318.3209999999999</v>
      </c>
      <c r="Z33" s="1">
        <v>4398.393</v>
      </c>
      <c r="AA33" s="1">
        <v>3800.0920000000001</v>
      </c>
      <c r="AB33" s="1">
        <v>14813.036</v>
      </c>
      <c r="AC33" s="1">
        <v>14123.683000000001</v>
      </c>
      <c r="AE33" s="1">
        <v>34393.298000000003</v>
      </c>
    </row>
    <row r="34" spans="1:31">
      <c r="A34" s="1" t="s">
        <v>50</v>
      </c>
      <c r="B34" s="84"/>
      <c r="C34" s="84"/>
      <c r="D34" s="84"/>
      <c r="E34" s="84"/>
      <c r="F34" s="87">
        <v>2122.1869999999999</v>
      </c>
      <c r="G34" s="84"/>
      <c r="H34" s="84"/>
      <c r="I34" s="84">
        <v>166.203</v>
      </c>
      <c r="J34" s="84"/>
      <c r="K34" s="84">
        <v>1325.095</v>
      </c>
      <c r="L34" s="84">
        <v>-357.351</v>
      </c>
      <c r="M34" s="84">
        <v>-3427.549</v>
      </c>
      <c r="N34" s="84">
        <v>50169.762999999999</v>
      </c>
      <c r="O34" s="84">
        <v>60813.968999999997</v>
      </c>
      <c r="P34" s="84">
        <v>71201.471000000005</v>
      </c>
      <c r="Q34" s="84">
        <v>78723.22</v>
      </c>
      <c r="R34" s="84">
        <v>95087.793999999994</v>
      </c>
      <c r="S34" s="84">
        <v>110911.658</v>
      </c>
      <c r="T34" s="84">
        <v>89411.423999999999</v>
      </c>
      <c r="U34" s="84">
        <v>115499.052</v>
      </c>
      <c r="V34" s="84">
        <v>31495.127</v>
      </c>
      <c r="W34" s="84">
        <v>39981.048000000003</v>
      </c>
      <c r="X34" s="1">
        <v>12745.449000000001</v>
      </c>
      <c r="Y34" s="1">
        <v>30060.080999999998</v>
      </c>
      <c r="Z34" s="1">
        <v>37456.714</v>
      </c>
      <c r="AA34" s="1">
        <v>3209.9229999999998</v>
      </c>
      <c r="AB34" s="1">
        <v>13043</v>
      </c>
      <c r="AC34" s="1">
        <v>24724</v>
      </c>
      <c r="AE34" s="1">
        <v>26204.348999999998</v>
      </c>
    </row>
    <row r="35" spans="1:31">
      <c r="A35" s="1" t="s">
        <v>51</v>
      </c>
      <c r="B35" s="84"/>
      <c r="C35" s="84"/>
      <c r="D35" s="84"/>
      <c r="E35" s="84"/>
      <c r="F35" s="87">
        <v>17802.794999999998</v>
      </c>
      <c r="G35" s="84"/>
      <c r="H35" s="84"/>
      <c r="I35" s="84">
        <v>25629.412</v>
      </c>
      <c r="J35" s="84"/>
      <c r="K35" s="84">
        <v>2341.8052599999996</v>
      </c>
      <c r="L35" s="84">
        <v>5913.6210000000001</v>
      </c>
      <c r="M35" s="84">
        <v>-21327.036</v>
      </c>
      <c r="N35" s="84">
        <v>165174.52600000001</v>
      </c>
      <c r="O35" s="84">
        <v>137034.99</v>
      </c>
      <c r="P35" s="84">
        <v>131773.72700000001</v>
      </c>
      <c r="Q35" s="84">
        <v>184222.152</v>
      </c>
      <c r="R35" s="84">
        <v>223918.48800000001</v>
      </c>
      <c r="S35" s="84">
        <v>187696.155</v>
      </c>
      <c r="T35" s="84">
        <v>227952.99100000001</v>
      </c>
      <c r="U35" s="84">
        <v>203346.245</v>
      </c>
      <c r="V35" s="84">
        <v>146603.908</v>
      </c>
      <c r="W35" s="84">
        <v>161178.33100000001</v>
      </c>
      <c r="X35" s="1">
        <v>131787.99</v>
      </c>
      <c r="Y35" s="1">
        <v>128535.535</v>
      </c>
      <c r="Z35" s="1">
        <v>132200.36900000001</v>
      </c>
      <c r="AA35" s="1">
        <v>136108.81899999999</v>
      </c>
      <c r="AB35" s="1">
        <v>169326.65</v>
      </c>
      <c r="AC35" s="1">
        <v>190551.93799999999</v>
      </c>
      <c r="AE35" s="1">
        <v>605692.69799999997</v>
      </c>
    </row>
    <row r="36" spans="1:31">
      <c r="A36" s="1" t="s">
        <v>52</v>
      </c>
      <c r="B36" s="84"/>
      <c r="C36" s="84"/>
      <c r="D36" s="84"/>
      <c r="E36" s="84"/>
      <c r="F36" s="87">
        <v>7618.3770000000004</v>
      </c>
      <c r="G36" s="84"/>
      <c r="H36" s="84"/>
      <c r="I36" s="84">
        <v>10235.164000000001</v>
      </c>
      <c r="J36" s="84"/>
      <c r="K36" s="84">
        <v>25655.098999999998</v>
      </c>
      <c r="L36" s="84">
        <v>17138.856</v>
      </c>
      <c r="M36" s="84">
        <v>2882.0909999999999</v>
      </c>
      <c r="N36" s="84">
        <v>168081.26199999999</v>
      </c>
      <c r="O36" s="84">
        <v>181499.26199999999</v>
      </c>
      <c r="P36" s="84">
        <v>184165.01300000001</v>
      </c>
      <c r="Q36" s="84">
        <v>188172.70600000001</v>
      </c>
      <c r="R36" s="84">
        <v>224389.84299999999</v>
      </c>
      <c r="S36" s="84">
        <v>242018.06599999999</v>
      </c>
      <c r="T36" s="84">
        <v>186128.712</v>
      </c>
      <c r="U36" s="84">
        <v>105696.989</v>
      </c>
      <c r="V36" s="84">
        <v>34796.856</v>
      </c>
      <c r="W36" s="84">
        <v>36041.165000000001</v>
      </c>
      <c r="X36" s="1">
        <v>46664.654000000002</v>
      </c>
      <c r="Y36" s="1">
        <v>45910.964</v>
      </c>
      <c r="Z36" s="1">
        <v>74573.604999999996</v>
      </c>
      <c r="AA36" s="1">
        <v>70698.154999999999</v>
      </c>
      <c r="AB36" s="1">
        <v>123309.003</v>
      </c>
      <c r="AC36" s="1">
        <v>116813.227</v>
      </c>
      <c r="AE36" s="1">
        <v>206677.764</v>
      </c>
    </row>
    <row r="37" spans="1:31">
      <c r="A37" s="1" t="s">
        <v>53</v>
      </c>
      <c r="B37" s="84"/>
      <c r="C37" s="84"/>
      <c r="D37" s="84"/>
      <c r="E37" s="84"/>
      <c r="F37" s="87">
        <v>16746.885999999999</v>
      </c>
      <c r="G37" s="84"/>
      <c r="H37" s="84"/>
      <c r="I37" s="84">
        <v>12397.204</v>
      </c>
      <c r="J37" s="84"/>
      <c r="K37" s="84">
        <v>28874.077000000001</v>
      </c>
      <c r="L37" s="84">
        <v>12967.609</v>
      </c>
      <c r="M37" s="84">
        <v>10102.757</v>
      </c>
      <c r="N37" s="84">
        <v>308576.26</v>
      </c>
      <c r="O37" s="84">
        <v>308014.59600000002</v>
      </c>
      <c r="P37" s="84">
        <v>135869.91399999999</v>
      </c>
      <c r="Q37" s="84">
        <v>105377.942</v>
      </c>
      <c r="R37" s="84">
        <v>128265.985</v>
      </c>
      <c r="S37" s="84">
        <v>123269.61199999999</v>
      </c>
      <c r="T37" s="84">
        <v>80766.186000000002</v>
      </c>
      <c r="U37" s="84">
        <v>79292.917000000001</v>
      </c>
      <c r="V37" s="84">
        <v>40439.639000000003</v>
      </c>
      <c r="W37" s="84">
        <v>47186.587</v>
      </c>
      <c r="X37" s="1">
        <v>49857.021999999997</v>
      </c>
      <c r="Y37" s="1">
        <v>48691.605000000003</v>
      </c>
      <c r="Z37" s="1">
        <v>44388.555999999997</v>
      </c>
      <c r="AA37" s="1">
        <v>35642.114999999998</v>
      </c>
      <c r="AB37" s="1">
        <v>61987.85</v>
      </c>
      <c r="AC37" s="1">
        <v>108604.003</v>
      </c>
      <c r="AE37" s="1">
        <v>158796.62400000001</v>
      </c>
    </row>
    <row r="38" spans="1:31">
      <c r="A38" s="1" t="s">
        <v>54</v>
      </c>
      <c r="B38" s="84"/>
      <c r="C38" s="84"/>
      <c r="D38" s="84"/>
      <c r="E38" s="84"/>
      <c r="F38" s="87">
        <v>36171.442999999999</v>
      </c>
      <c r="G38" s="84"/>
      <c r="H38" s="84"/>
      <c r="I38" s="84">
        <v>47306.235999999997</v>
      </c>
      <c r="J38" s="84"/>
      <c r="K38" s="84">
        <v>30030.487000000001</v>
      </c>
      <c r="L38" s="84">
        <v>70598.743000000002</v>
      </c>
      <c r="M38" s="84">
        <v>42152.642</v>
      </c>
      <c r="N38" s="84">
        <v>292010.74300000002</v>
      </c>
      <c r="O38" s="84">
        <v>279001.76400000002</v>
      </c>
      <c r="P38" s="84">
        <v>320391.59600000002</v>
      </c>
      <c r="Q38" s="84">
        <v>357408.17499999999</v>
      </c>
      <c r="R38" s="84">
        <v>401530.46600000001</v>
      </c>
      <c r="S38" s="84">
        <v>388475.20799999998</v>
      </c>
      <c r="T38" s="84">
        <v>357046.342</v>
      </c>
      <c r="U38" s="84">
        <v>335512.16399999999</v>
      </c>
      <c r="V38" s="84">
        <v>1277.8440000000001</v>
      </c>
      <c r="W38" s="84">
        <v>13227.013999999999</v>
      </c>
      <c r="X38" s="1">
        <v>22099.491000000002</v>
      </c>
      <c r="Y38" s="1">
        <v>19780.112000000001</v>
      </c>
      <c r="Z38" s="1">
        <v>0</v>
      </c>
      <c r="AA38" s="1">
        <v>1E-3</v>
      </c>
      <c r="AB38" s="1">
        <v>34912.682000000001</v>
      </c>
      <c r="AC38" s="1">
        <v>40255.851000000002</v>
      </c>
      <c r="AE38" s="1">
        <v>134294.77799999999</v>
      </c>
    </row>
    <row r="39" spans="1:31">
      <c r="A39" s="23" t="s">
        <v>55</v>
      </c>
      <c r="B39" s="85"/>
      <c r="C39" s="85"/>
      <c r="D39" s="85"/>
      <c r="E39" s="85"/>
      <c r="F39" s="88">
        <v>10388.407999999999</v>
      </c>
      <c r="G39" s="85"/>
      <c r="H39" s="85"/>
      <c r="I39" s="85">
        <v>6477.1360000000004</v>
      </c>
      <c r="J39" s="85"/>
      <c r="K39" s="85">
        <v>2682.098</v>
      </c>
      <c r="L39" s="85">
        <v>-2312.3310000000001</v>
      </c>
      <c r="M39" s="85">
        <v>11446.55</v>
      </c>
      <c r="N39" s="85">
        <v>14948.159</v>
      </c>
      <c r="O39" s="85">
        <v>16047.656999999999</v>
      </c>
      <c r="P39" s="85">
        <v>15910.925999999999</v>
      </c>
      <c r="Q39" s="85">
        <v>17246.23</v>
      </c>
      <c r="R39" s="85">
        <v>18630.246999999999</v>
      </c>
      <c r="S39" s="85">
        <v>19076.096000000001</v>
      </c>
      <c r="T39" s="85">
        <v>19727.183000000001</v>
      </c>
      <c r="U39" s="85">
        <v>21580.149000000001</v>
      </c>
      <c r="V39" s="85">
        <v>0</v>
      </c>
      <c r="W39" s="85">
        <v>0</v>
      </c>
      <c r="X39" s="23">
        <v>0</v>
      </c>
      <c r="Y39" s="23">
        <v>0</v>
      </c>
      <c r="Z39" s="23">
        <v>890.899</v>
      </c>
      <c r="AA39" s="23">
        <v>2227.4870000000001</v>
      </c>
      <c r="AB39" s="23">
        <v>86611.551999999996</v>
      </c>
      <c r="AC39" s="23">
        <v>43264.464999999997</v>
      </c>
      <c r="AD39" s="23"/>
      <c r="AE39" s="23">
        <v>10145</v>
      </c>
    </row>
    <row r="40" spans="1:31">
      <c r="A40" s="7" t="s">
        <v>56</v>
      </c>
      <c r="B40" s="83">
        <f>SUM(B42:B53)</f>
        <v>0</v>
      </c>
      <c r="C40" s="83">
        <f t="shared" ref="C40:AB40" si="12">SUM(C42:C53)</f>
        <v>0</v>
      </c>
      <c r="D40" s="83">
        <f t="shared" si="12"/>
        <v>0</v>
      </c>
      <c r="E40" s="83">
        <f t="shared" si="12"/>
        <v>0</v>
      </c>
      <c r="F40" s="83">
        <f t="shared" si="12"/>
        <v>967568.74399999995</v>
      </c>
      <c r="G40" s="83">
        <f t="shared" si="12"/>
        <v>0</v>
      </c>
      <c r="H40" s="83">
        <f t="shared" si="12"/>
        <v>0</v>
      </c>
      <c r="I40" s="83">
        <f t="shared" si="12"/>
        <v>594112.40299999993</v>
      </c>
      <c r="J40" s="83">
        <f t="shared" si="12"/>
        <v>0</v>
      </c>
      <c r="K40" s="83">
        <f t="shared" si="12"/>
        <v>828924.55700000003</v>
      </c>
      <c r="L40" s="83">
        <f t="shared" si="12"/>
        <v>792035.10499999998</v>
      </c>
      <c r="M40" s="83">
        <f t="shared" si="12"/>
        <v>1145994.1530000002</v>
      </c>
      <c r="N40" s="83">
        <f t="shared" si="12"/>
        <v>2682373.0320000001</v>
      </c>
      <c r="O40" s="83">
        <f t="shared" si="12"/>
        <v>3012782.3360000001</v>
      </c>
      <c r="P40" s="83">
        <f t="shared" si="12"/>
        <v>3951515.4550000005</v>
      </c>
      <c r="Q40" s="83">
        <f t="shared" si="12"/>
        <v>3557839.6840000004</v>
      </c>
      <c r="R40" s="83">
        <f t="shared" si="12"/>
        <v>3819346.6730000004</v>
      </c>
      <c r="S40" s="83">
        <f t="shared" si="12"/>
        <v>4011949.8029999998</v>
      </c>
      <c r="T40" s="83">
        <f t="shared" si="12"/>
        <v>4946714.6219999995</v>
      </c>
      <c r="U40" s="83">
        <f t="shared" si="12"/>
        <v>2328034.6109999996</v>
      </c>
      <c r="V40" s="83">
        <f t="shared" si="12"/>
        <v>642396.66400000011</v>
      </c>
      <c r="W40" s="83">
        <f t="shared" si="12"/>
        <v>536483.63900000008</v>
      </c>
      <c r="X40" s="83">
        <f t="shared" si="12"/>
        <v>520557.092</v>
      </c>
      <c r="Y40" s="83">
        <f t="shared" si="12"/>
        <v>500996.50599999994</v>
      </c>
      <c r="Z40" s="83">
        <f t="shared" si="12"/>
        <v>740582.66599999997</v>
      </c>
      <c r="AA40" s="83">
        <f t="shared" si="12"/>
        <v>525250.68999999994</v>
      </c>
      <c r="AB40" s="83">
        <f t="shared" si="12"/>
        <v>1470903.8210000002</v>
      </c>
      <c r="AC40" s="83">
        <f>SUM(AC42:AC53)</f>
        <v>1796721.1009999998</v>
      </c>
      <c r="AD40" s="47">
        <f t="shared" ref="AD40:AE40" si="13">SUM(AD42:AD53)</f>
        <v>0</v>
      </c>
      <c r="AE40" s="47">
        <f t="shared" si="13"/>
        <v>1984938.8020000001</v>
      </c>
    </row>
    <row r="41" spans="1:31">
      <c r="A41" s="7" t="s">
        <v>97</v>
      </c>
      <c r="B41" s="84"/>
      <c r="C41" s="84"/>
      <c r="D41" s="84"/>
      <c r="E41" s="84"/>
      <c r="F41" s="84"/>
      <c r="G41" s="84"/>
      <c r="H41" s="84"/>
      <c r="I41" s="84"/>
      <c r="J41" s="84"/>
      <c r="K41" s="84"/>
      <c r="L41" s="84"/>
      <c r="M41" s="84"/>
      <c r="N41" s="84"/>
      <c r="O41" s="84"/>
      <c r="P41" s="84"/>
      <c r="Q41" s="84"/>
      <c r="R41" s="84"/>
      <c r="S41" s="84"/>
      <c r="T41" s="84"/>
      <c r="U41" s="84"/>
      <c r="X41" s="1">
        <v>0</v>
      </c>
      <c r="Y41" s="1">
        <v>0</v>
      </c>
      <c r="AB41" s="1">
        <v>0</v>
      </c>
      <c r="AC41" s="1">
        <v>0</v>
      </c>
    </row>
    <row r="42" spans="1:31">
      <c r="A42" s="1" t="s">
        <v>57</v>
      </c>
      <c r="B42" s="84"/>
      <c r="C42" s="84"/>
      <c r="D42" s="84"/>
      <c r="E42" s="84"/>
      <c r="F42" s="87">
        <v>28301.916000000001</v>
      </c>
      <c r="G42" s="84"/>
      <c r="H42" s="84"/>
      <c r="I42" s="84">
        <v>1403.3430000000001</v>
      </c>
      <c r="J42" s="84"/>
      <c r="K42" s="84">
        <v>-13422.91</v>
      </c>
      <c r="L42" s="84">
        <v>-24699.871999999999</v>
      </c>
      <c r="M42" s="84">
        <v>-47125.56</v>
      </c>
      <c r="N42" s="84">
        <v>510825.61499999999</v>
      </c>
      <c r="O42" s="84">
        <v>608141.53099999996</v>
      </c>
      <c r="P42" s="84">
        <v>1379158.1710000001</v>
      </c>
      <c r="Q42" s="84">
        <v>702377.80099999998</v>
      </c>
      <c r="R42" s="84">
        <v>781742.41</v>
      </c>
      <c r="S42" s="84">
        <v>786470.17799999996</v>
      </c>
      <c r="T42" s="84">
        <v>846592.59</v>
      </c>
      <c r="U42" s="84">
        <v>435931.54800000001</v>
      </c>
      <c r="V42" s="84">
        <v>19598.240000000002</v>
      </c>
      <c r="W42" s="84">
        <v>31008.897000000001</v>
      </c>
      <c r="X42" s="1">
        <v>37223.527000000002</v>
      </c>
      <c r="Y42" s="1">
        <v>31178.307000000001</v>
      </c>
      <c r="Z42" s="1">
        <v>28828.468000000001</v>
      </c>
      <c r="AA42" s="1">
        <v>23256.032999999999</v>
      </c>
      <c r="AB42" s="1">
        <v>267960.54700000002</v>
      </c>
      <c r="AC42" s="1">
        <v>26949.302</v>
      </c>
      <c r="AE42" s="1">
        <v>82557.115000000005</v>
      </c>
    </row>
    <row r="43" spans="1:31">
      <c r="A43" s="1" t="s">
        <v>58</v>
      </c>
      <c r="B43" s="84"/>
      <c r="C43" s="84"/>
      <c r="D43" s="84"/>
      <c r="E43" s="84"/>
      <c r="F43" s="87">
        <v>80956.504000000001</v>
      </c>
      <c r="G43" s="84"/>
      <c r="H43" s="84"/>
      <c r="I43" s="84">
        <v>92093.126000000004</v>
      </c>
      <c r="J43" s="84"/>
      <c r="K43" s="84">
        <v>109600.97500000001</v>
      </c>
      <c r="L43" s="84">
        <v>184182.924</v>
      </c>
      <c r="M43" s="84">
        <v>192010.48699999999</v>
      </c>
      <c r="N43" s="84">
        <v>290112.136</v>
      </c>
      <c r="O43" s="84">
        <v>272415.93599999999</v>
      </c>
      <c r="P43" s="84">
        <v>275853.57</v>
      </c>
      <c r="Q43" s="84">
        <v>381974.30699999997</v>
      </c>
      <c r="R43" s="84">
        <v>373350.85800000001</v>
      </c>
      <c r="S43" s="84">
        <v>374024.58100000001</v>
      </c>
      <c r="T43" s="84">
        <v>418622.73800000001</v>
      </c>
      <c r="U43" s="84">
        <v>250112.60200000001</v>
      </c>
      <c r="V43" s="84">
        <v>34351.678999999996</v>
      </c>
      <c r="W43" s="84">
        <v>27552.223000000002</v>
      </c>
      <c r="X43" s="1">
        <v>28299.797999999999</v>
      </c>
      <c r="Y43" s="1">
        <v>20134.73</v>
      </c>
      <c r="Z43" s="1">
        <v>12103.278</v>
      </c>
      <c r="AA43" s="1">
        <v>12291.203</v>
      </c>
      <c r="AB43" s="1">
        <v>12760.593999999999</v>
      </c>
      <c r="AC43" s="1">
        <v>19158.581999999999</v>
      </c>
      <c r="AE43" s="1">
        <v>108928.00199999999</v>
      </c>
    </row>
    <row r="44" spans="1:31">
      <c r="A44" s="1" t="s">
        <v>59</v>
      </c>
      <c r="B44" s="84"/>
      <c r="C44" s="84"/>
      <c r="D44" s="84"/>
      <c r="E44" s="84"/>
      <c r="F44" s="87">
        <v>51176.936000000002</v>
      </c>
      <c r="G44" s="84"/>
      <c r="H44" s="84"/>
      <c r="I44" s="84">
        <v>83697.827999999994</v>
      </c>
      <c r="J44" s="84"/>
      <c r="K44" s="84">
        <v>86503.016000000003</v>
      </c>
      <c r="L44" s="84">
        <v>100310.72100000001</v>
      </c>
      <c r="M44" s="84">
        <v>114250.978</v>
      </c>
      <c r="N44" s="84">
        <v>198544.682</v>
      </c>
      <c r="O44" s="84">
        <v>203737.95699999999</v>
      </c>
      <c r="P44" s="84">
        <v>225077.984</v>
      </c>
      <c r="Q44" s="84">
        <v>216942.85800000001</v>
      </c>
      <c r="R44" s="84">
        <v>259536.35200000001</v>
      </c>
      <c r="S44" s="84">
        <v>253875.11799999999</v>
      </c>
      <c r="T44" s="84">
        <v>282054.28899999999</v>
      </c>
      <c r="U44" s="84">
        <v>282918.147</v>
      </c>
      <c r="V44" s="84">
        <v>13664.130999999999</v>
      </c>
      <c r="W44" s="84">
        <v>29893.538</v>
      </c>
      <c r="X44" s="1">
        <v>12899.064</v>
      </c>
      <c r="Y44" s="1">
        <v>18260.253000000001</v>
      </c>
      <c r="Z44" s="1">
        <v>40629.294999999998</v>
      </c>
      <c r="AA44" s="1">
        <v>49258.347000000002</v>
      </c>
      <c r="AB44" s="1">
        <v>58521.684000000001</v>
      </c>
      <c r="AC44" s="1">
        <v>50380.654999999999</v>
      </c>
      <c r="AE44" s="1">
        <v>71318.968999999997</v>
      </c>
    </row>
    <row r="45" spans="1:31">
      <c r="A45" s="1" t="s">
        <v>60</v>
      </c>
      <c r="B45" s="84"/>
      <c r="C45" s="84"/>
      <c r="D45" s="84"/>
      <c r="E45" s="84"/>
      <c r="F45" s="87">
        <v>9084.8780000000006</v>
      </c>
      <c r="G45" s="84"/>
      <c r="H45" s="84"/>
      <c r="I45" s="84">
        <v>4880.2039999999997</v>
      </c>
      <c r="J45" s="84"/>
      <c r="K45" s="84">
        <v>11212.912</v>
      </c>
      <c r="L45" s="84">
        <v>7921.5870000000004</v>
      </c>
      <c r="M45" s="84">
        <v>7309.08</v>
      </c>
      <c r="N45" s="84">
        <v>69546.013999999996</v>
      </c>
      <c r="O45" s="84">
        <v>160777.47500000001</v>
      </c>
      <c r="P45" s="84">
        <v>207915.701</v>
      </c>
      <c r="Q45" s="84">
        <v>206238.92800000001</v>
      </c>
      <c r="R45" s="84">
        <v>224835.321</v>
      </c>
      <c r="S45" s="84">
        <v>250618.73300000001</v>
      </c>
      <c r="T45" s="84">
        <v>128880.152</v>
      </c>
      <c r="U45" s="84">
        <v>142856.55100000001</v>
      </c>
      <c r="V45" s="84">
        <v>10242.387000000001</v>
      </c>
      <c r="W45" s="84">
        <v>11377.01</v>
      </c>
      <c r="X45" s="1">
        <v>19239.78</v>
      </c>
      <c r="Y45" s="1">
        <v>13471.387000000001</v>
      </c>
      <c r="Z45" s="1">
        <v>26809.136999999999</v>
      </c>
      <c r="AA45" s="1">
        <v>30917.289000000001</v>
      </c>
      <c r="AB45" s="1">
        <v>85570.06</v>
      </c>
      <c r="AC45" s="1">
        <v>77061.414000000004</v>
      </c>
      <c r="AE45" s="1">
        <v>39656.487999999998</v>
      </c>
    </row>
    <row r="46" spans="1:31">
      <c r="A46" s="1" t="s">
        <v>61</v>
      </c>
      <c r="B46" s="84"/>
      <c r="C46" s="84"/>
      <c r="D46" s="84"/>
      <c r="E46" s="84"/>
      <c r="F46" s="87">
        <v>147957.96299999999</v>
      </c>
      <c r="G46" s="84"/>
      <c r="H46" s="84"/>
      <c r="I46" s="84">
        <v>166258.62899999999</v>
      </c>
      <c r="J46" s="84"/>
      <c r="K46" s="84">
        <v>232774.742</v>
      </c>
      <c r="L46" s="84">
        <v>221296.462</v>
      </c>
      <c r="M46" s="84">
        <v>476784.065</v>
      </c>
      <c r="N46" s="84">
        <v>521540.31699999998</v>
      </c>
      <c r="O46" s="84">
        <v>562017.201</v>
      </c>
      <c r="P46" s="84">
        <v>598683.78099999996</v>
      </c>
      <c r="Q46" s="84">
        <v>607455.97499999998</v>
      </c>
      <c r="R46" s="84">
        <v>659922.97600000002</v>
      </c>
      <c r="S46" s="84">
        <v>685988.73499999999</v>
      </c>
      <c r="T46" s="84">
        <v>1606700.5989999999</v>
      </c>
      <c r="U46" s="84">
        <v>150827.90700000001</v>
      </c>
      <c r="V46" s="84">
        <v>44105.192999999999</v>
      </c>
      <c r="W46" s="84">
        <v>43636.114000000001</v>
      </c>
      <c r="X46" s="1">
        <v>41185.991999999998</v>
      </c>
      <c r="Y46" s="1">
        <v>65109.461000000003</v>
      </c>
      <c r="Z46" s="1">
        <v>80952.910999999993</v>
      </c>
      <c r="AA46" s="1">
        <v>57135.512000000002</v>
      </c>
      <c r="AB46" s="1">
        <v>528230.04</v>
      </c>
      <c r="AC46" s="1">
        <v>550633.147</v>
      </c>
      <c r="AE46" s="1">
        <v>512503.55</v>
      </c>
    </row>
    <row r="47" spans="1:31">
      <c r="A47" s="1" t="s">
        <v>62</v>
      </c>
      <c r="B47" s="84"/>
      <c r="C47" s="84"/>
      <c r="D47" s="84"/>
      <c r="E47" s="84"/>
      <c r="F47" s="87">
        <v>430163.91899999999</v>
      </c>
      <c r="G47" s="84"/>
      <c r="H47" s="84"/>
      <c r="I47" s="84">
        <v>16748.181</v>
      </c>
      <c r="J47" s="84"/>
      <c r="K47" s="84">
        <v>36035.398999999998</v>
      </c>
      <c r="L47" s="84">
        <v>-14201.619000000001</v>
      </c>
      <c r="M47" s="84">
        <v>49892.019</v>
      </c>
      <c r="N47" s="84">
        <v>164443.17800000001</v>
      </c>
      <c r="O47" s="84">
        <v>222170.94899999999</v>
      </c>
      <c r="P47" s="84">
        <v>212536.99900000001</v>
      </c>
      <c r="Q47" s="84">
        <v>226337.44699999999</v>
      </c>
      <c r="R47" s="84">
        <v>230259.853</v>
      </c>
      <c r="S47" s="84">
        <v>243545.20499999999</v>
      </c>
      <c r="T47" s="84">
        <v>348640.02500000002</v>
      </c>
      <c r="U47" s="84">
        <v>82349.214000000007</v>
      </c>
      <c r="V47" s="84">
        <v>82542.8</v>
      </c>
      <c r="W47" s="84">
        <v>62574.695</v>
      </c>
      <c r="X47" s="1">
        <v>33474.218999999997</v>
      </c>
      <c r="Y47" s="1">
        <v>55594.345999999998</v>
      </c>
      <c r="Z47" s="1">
        <v>66878.710000000006</v>
      </c>
      <c r="AA47" s="1">
        <v>36340.597000000002</v>
      </c>
      <c r="AB47" s="1">
        <v>50901.161</v>
      </c>
      <c r="AC47" s="1">
        <v>369310.924</v>
      </c>
      <c r="AE47" s="1">
        <v>-210418.924</v>
      </c>
    </row>
    <row r="48" spans="1:31">
      <c r="A48" s="1" t="s">
        <v>63</v>
      </c>
      <c r="B48" s="84"/>
      <c r="C48" s="84"/>
      <c r="D48" s="84"/>
      <c r="E48" s="84"/>
      <c r="F48" s="87">
        <v>29710.751</v>
      </c>
      <c r="G48" s="84"/>
      <c r="H48" s="84"/>
      <c r="I48" s="84">
        <v>30328.108</v>
      </c>
      <c r="J48" s="84"/>
      <c r="K48" s="84">
        <v>63875.156000000003</v>
      </c>
      <c r="L48" s="84">
        <v>38948.434999999998</v>
      </c>
      <c r="M48" s="84">
        <v>109041.993</v>
      </c>
      <c r="N48" s="84">
        <v>159899.38</v>
      </c>
      <c r="O48" s="84">
        <v>169305.046</v>
      </c>
      <c r="P48" s="84">
        <v>158274.79399999999</v>
      </c>
      <c r="Q48" s="84">
        <v>205189.527</v>
      </c>
      <c r="R48" s="84">
        <v>197350.20600000001</v>
      </c>
      <c r="S48" s="84">
        <v>226107.201</v>
      </c>
      <c r="T48" s="84">
        <v>118479.395</v>
      </c>
      <c r="U48" s="84">
        <v>64097.224000000002</v>
      </c>
      <c r="V48" s="84">
        <v>36310.17</v>
      </c>
      <c r="W48" s="84">
        <v>13742.781000000001</v>
      </c>
      <c r="X48" s="1">
        <v>18804.944</v>
      </c>
      <c r="Y48" s="1">
        <v>6358.3190000000004</v>
      </c>
      <c r="Z48" s="1">
        <v>5249.42</v>
      </c>
      <c r="AA48" s="1">
        <v>15816.914000000001</v>
      </c>
      <c r="AB48" s="1">
        <v>9066.1630000000005</v>
      </c>
      <c r="AC48" s="100">
        <v>63947.624000000003</v>
      </c>
      <c r="AE48" s="1">
        <v>142156.56200000001</v>
      </c>
    </row>
    <row r="49" spans="1:31">
      <c r="A49" s="1" t="s">
        <v>64</v>
      </c>
      <c r="B49" s="84"/>
      <c r="C49" s="84"/>
      <c r="D49" s="84"/>
      <c r="E49" s="84"/>
      <c r="F49" s="87">
        <v>7982.1080000000002</v>
      </c>
      <c r="G49" s="84"/>
      <c r="H49" s="84"/>
      <c r="I49" s="84">
        <v>15507.641</v>
      </c>
      <c r="J49" s="84"/>
      <c r="K49" s="84">
        <v>20963.623</v>
      </c>
      <c r="L49" s="84">
        <v>17391.53</v>
      </c>
      <c r="M49" s="84">
        <v>19397.741000000002</v>
      </c>
      <c r="N49" s="84">
        <v>76188.379000000001</v>
      </c>
      <c r="O49" s="84">
        <v>82487.69</v>
      </c>
      <c r="P49" s="84">
        <v>73135.142000000007</v>
      </c>
      <c r="Q49" s="84">
        <v>87976.452000000005</v>
      </c>
      <c r="R49" s="84">
        <v>96538.6</v>
      </c>
      <c r="S49" s="84">
        <v>108544.431</v>
      </c>
      <c r="T49" s="84">
        <v>113633.09699999999</v>
      </c>
      <c r="U49" s="84">
        <v>84823.716</v>
      </c>
      <c r="V49" s="84">
        <v>33539.514000000003</v>
      </c>
      <c r="W49" s="84">
        <v>16082.638000000001</v>
      </c>
      <c r="X49" s="1">
        <v>27092.11</v>
      </c>
      <c r="Y49" s="1">
        <v>16098.137000000001</v>
      </c>
      <c r="Z49" s="1">
        <v>17514.965</v>
      </c>
      <c r="AA49" s="1">
        <v>45222.972999999998</v>
      </c>
      <c r="AB49" s="1">
        <v>112628.914</v>
      </c>
      <c r="AC49" s="1">
        <v>107587.87300000001</v>
      </c>
      <c r="AE49" s="1">
        <v>64695.678999999996</v>
      </c>
    </row>
    <row r="50" spans="1:31">
      <c r="A50" s="1" t="s">
        <v>65</v>
      </c>
      <c r="B50" s="84"/>
      <c r="C50" s="84"/>
      <c r="D50" s="84"/>
      <c r="E50" s="84"/>
      <c r="F50" s="87">
        <v>790.52700000000004</v>
      </c>
      <c r="G50" s="84"/>
      <c r="H50" s="84"/>
      <c r="I50" s="84">
        <v>3519.0189999999998</v>
      </c>
      <c r="J50" s="84"/>
      <c r="K50" s="84">
        <v>4849.1149999999998</v>
      </c>
      <c r="L50" s="84">
        <v>6166.5820000000003</v>
      </c>
      <c r="M50" s="84">
        <v>1726.27</v>
      </c>
      <c r="N50" s="84">
        <v>35409.5</v>
      </c>
      <c r="O50" s="84">
        <v>32438.767</v>
      </c>
      <c r="P50" s="84">
        <v>41679.699999999997</v>
      </c>
      <c r="Q50" s="84">
        <v>39392.902999999998</v>
      </c>
      <c r="R50" s="84">
        <v>41871.072999999997</v>
      </c>
      <c r="S50" s="84">
        <v>49485.925999999999</v>
      </c>
      <c r="T50" s="84">
        <v>50944.3</v>
      </c>
      <c r="U50" s="84">
        <v>17288.007000000001</v>
      </c>
      <c r="V50" s="84">
        <v>37061.639000000003</v>
      </c>
      <c r="W50" s="84">
        <v>2772.7669999999998</v>
      </c>
      <c r="X50" s="1">
        <v>3373.973</v>
      </c>
      <c r="Y50" s="1">
        <v>2353.5309999999999</v>
      </c>
      <c r="Z50" s="1">
        <v>3941.4029999999998</v>
      </c>
      <c r="AA50" s="1">
        <v>2360.2979999999998</v>
      </c>
      <c r="AB50" s="1">
        <v>13511.212</v>
      </c>
      <c r="AC50" s="1">
        <v>18527.971000000001</v>
      </c>
      <c r="AE50" s="1">
        <v>25224.357</v>
      </c>
    </row>
    <row r="51" spans="1:31">
      <c r="A51" s="1" t="s">
        <v>66</v>
      </c>
      <c r="B51" s="84"/>
      <c r="C51" s="84"/>
      <c r="D51" s="84"/>
      <c r="E51" s="84"/>
      <c r="F51" s="87">
        <v>106315.734</v>
      </c>
      <c r="G51" s="84"/>
      <c r="H51" s="84"/>
      <c r="I51" s="84">
        <v>86796.092999999993</v>
      </c>
      <c r="J51" s="84"/>
      <c r="K51" s="84">
        <v>167575.81200000001</v>
      </c>
      <c r="L51" s="84">
        <v>100769.712</v>
      </c>
      <c r="M51" s="84">
        <v>75916.892999999996</v>
      </c>
      <c r="N51" s="84">
        <v>454623.44099999999</v>
      </c>
      <c r="O51" s="84">
        <v>501079.70799999998</v>
      </c>
      <c r="P51" s="84">
        <v>504828.80200000003</v>
      </c>
      <c r="Q51" s="84">
        <v>588570.57400000002</v>
      </c>
      <c r="R51" s="84">
        <v>638206.57200000004</v>
      </c>
      <c r="S51" s="84">
        <v>698967.78799999994</v>
      </c>
      <c r="T51" s="84">
        <v>670933.228</v>
      </c>
      <c r="U51" s="84">
        <v>401339.92200000002</v>
      </c>
      <c r="V51" s="84">
        <v>78204.288</v>
      </c>
      <c r="W51" s="84">
        <v>67313.774000000005</v>
      </c>
      <c r="X51" s="1">
        <v>71525.337</v>
      </c>
      <c r="Y51" s="1">
        <v>83776.475999999995</v>
      </c>
      <c r="Z51" s="1">
        <v>74712.127999999997</v>
      </c>
      <c r="AA51" s="1">
        <v>68465.225999999995</v>
      </c>
      <c r="AB51" s="1">
        <v>81946.381999999998</v>
      </c>
      <c r="AC51" s="1">
        <v>122750.60799999999</v>
      </c>
      <c r="AE51" s="1">
        <v>713381.17700000003</v>
      </c>
    </row>
    <row r="52" spans="1:31">
      <c r="A52" s="1" t="s">
        <v>67</v>
      </c>
      <c r="B52" s="84"/>
      <c r="C52" s="84"/>
      <c r="D52" s="84"/>
      <c r="E52" s="84"/>
      <c r="F52" s="87">
        <v>7891.3010000000004</v>
      </c>
      <c r="G52" s="84"/>
      <c r="H52" s="84"/>
      <c r="I52" s="84">
        <v>2357.8519999999999</v>
      </c>
      <c r="J52" s="84"/>
      <c r="K52" s="84">
        <v>2322.616</v>
      </c>
      <c r="L52" s="84">
        <v>2292.6930000000002</v>
      </c>
      <c r="M52" s="84">
        <v>2117.2689999999998</v>
      </c>
      <c r="N52" s="84">
        <v>14149.937</v>
      </c>
      <c r="O52" s="84">
        <v>14642.278</v>
      </c>
      <c r="P52" s="84">
        <v>15915.495000000001</v>
      </c>
      <c r="Q52" s="84">
        <v>17070.773000000001</v>
      </c>
      <c r="R52" s="84">
        <v>18186.945</v>
      </c>
      <c r="S52" s="84">
        <v>15212.665999999999</v>
      </c>
      <c r="T52" s="84">
        <v>12875.066999999999</v>
      </c>
      <c r="U52" s="84">
        <v>8865.7999999999993</v>
      </c>
      <c r="V52" s="84">
        <v>18195.624</v>
      </c>
      <c r="W52" s="84">
        <v>20716.341</v>
      </c>
      <c r="X52" s="1">
        <v>16785.565999999999</v>
      </c>
      <c r="Y52" s="1">
        <v>11358.858</v>
      </c>
      <c r="Z52" s="1">
        <v>11813.223</v>
      </c>
      <c r="AA52" s="1">
        <v>7176.326</v>
      </c>
      <c r="AB52" s="1">
        <v>6846.7809999999999</v>
      </c>
      <c r="AC52" s="1">
        <v>6298.2479999999996</v>
      </c>
      <c r="AE52" s="1">
        <v>6594.4319999999998</v>
      </c>
    </row>
    <row r="53" spans="1:31">
      <c r="A53" s="23" t="s">
        <v>68</v>
      </c>
      <c r="B53" s="85"/>
      <c r="C53" s="85"/>
      <c r="D53" s="85"/>
      <c r="E53" s="85"/>
      <c r="F53" s="88">
        <v>67236.206999999995</v>
      </c>
      <c r="G53" s="85"/>
      <c r="H53" s="85"/>
      <c r="I53" s="85">
        <v>90522.379000000001</v>
      </c>
      <c r="J53" s="85"/>
      <c r="K53" s="85">
        <v>106634.101</v>
      </c>
      <c r="L53" s="85">
        <v>151655.95000000001</v>
      </c>
      <c r="M53" s="85">
        <v>144672.91800000001</v>
      </c>
      <c r="N53" s="85">
        <v>187090.45300000001</v>
      </c>
      <c r="O53" s="85">
        <v>183567.79800000001</v>
      </c>
      <c r="P53" s="85">
        <v>258455.31599999999</v>
      </c>
      <c r="Q53" s="85">
        <v>278312.13900000002</v>
      </c>
      <c r="R53" s="85">
        <v>297545.50699999998</v>
      </c>
      <c r="S53" s="85">
        <v>319109.24099999998</v>
      </c>
      <c r="T53" s="85">
        <v>348359.14199999999</v>
      </c>
      <c r="U53" s="85">
        <v>406623.973</v>
      </c>
      <c r="V53" s="85">
        <v>234580.99900000001</v>
      </c>
      <c r="W53" s="85">
        <v>209812.861</v>
      </c>
      <c r="X53" s="23">
        <v>210652.78200000001</v>
      </c>
      <c r="Y53" s="23">
        <v>177302.701</v>
      </c>
      <c r="Z53" s="23">
        <v>371149.728</v>
      </c>
      <c r="AA53" s="23">
        <v>177009.97200000001</v>
      </c>
      <c r="AB53" s="23">
        <v>242960.283</v>
      </c>
      <c r="AC53" s="23">
        <v>384114.75300000003</v>
      </c>
      <c r="AD53" s="23"/>
      <c r="AE53" s="23">
        <v>428341.39500000002</v>
      </c>
    </row>
    <row r="54" spans="1:31">
      <c r="A54" s="7" t="s">
        <v>69</v>
      </c>
      <c r="B54" s="83">
        <f>SUM(B56:B64)</f>
        <v>0</v>
      </c>
      <c r="C54" s="83">
        <f t="shared" ref="C54:AC54" si="14">SUM(C56:C64)</f>
        <v>0</v>
      </c>
      <c r="D54" s="83">
        <f t="shared" si="14"/>
        <v>0</v>
      </c>
      <c r="E54" s="83">
        <f t="shared" si="14"/>
        <v>0</v>
      </c>
      <c r="F54" s="83">
        <f t="shared" si="14"/>
        <v>426430.163</v>
      </c>
      <c r="G54" s="83">
        <f t="shared" si="14"/>
        <v>0</v>
      </c>
      <c r="H54" s="83">
        <f t="shared" si="14"/>
        <v>0</v>
      </c>
      <c r="I54" s="83">
        <f t="shared" si="14"/>
        <v>523436.22900000005</v>
      </c>
      <c r="J54" s="83">
        <f t="shared" si="14"/>
        <v>0</v>
      </c>
      <c r="K54" s="83">
        <f t="shared" si="14"/>
        <v>623467.65899999999</v>
      </c>
      <c r="L54" s="83">
        <f t="shared" si="14"/>
        <v>743211.929</v>
      </c>
      <c r="M54" s="83">
        <f t="shared" si="14"/>
        <v>824020.91899999999</v>
      </c>
      <c r="N54" s="83">
        <f t="shared" si="14"/>
        <v>1211927.024</v>
      </c>
      <c r="O54" s="83">
        <f t="shared" si="14"/>
        <v>1218675.3330000001</v>
      </c>
      <c r="P54" s="83">
        <f t="shared" si="14"/>
        <v>1247345.7010000001</v>
      </c>
      <c r="Q54" s="83">
        <f t="shared" si="14"/>
        <v>1438318.6639999999</v>
      </c>
      <c r="R54" s="83">
        <f t="shared" si="14"/>
        <v>1593231.5589999999</v>
      </c>
      <c r="S54" s="83">
        <f t="shared" si="14"/>
        <v>1809556.8539999998</v>
      </c>
      <c r="T54" s="83">
        <f t="shared" si="14"/>
        <v>1696875.7889999999</v>
      </c>
      <c r="U54" s="83">
        <f t="shared" si="14"/>
        <v>1893541.5989999999</v>
      </c>
      <c r="V54" s="83">
        <f t="shared" si="14"/>
        <v>321539.48099999997</v>
      </c>
      <c r="W54" s="83">
        <f t="shared" si="14"/>
        <v>532315.27400000009</v>
      </c>
      <c r="X54" s="83">
        <f t="shared" si="14"/>
        <v>376704.67000000004</v>
      </c>
      <c r="Y54" s="83">
        <f t="shared" si="14"/>
        <v>197221.215</v>
      </c>
      <c r="Z54" s="83">
        <f t="shared" si="14"/>
        <v>242757.75</v>
      </c>
      <c r="AA54" s="83">
        <f t="shared" si="14"/>
        <v>264684.60599999997</v>
      </c>
      <c r="AB54" s="83">
        <f t="shared" si="14"/>
        <v>381846.63999999996</v>
      </c>
      <c r="AC54" s="83">
        <f t="shared" si="14"/>
        <v>795436.43</v>
      </c>
      <c r="AD54" s="47">
        <f t="shared" ref="AD54:AE54" si="15">SUM(AD56:AD64)</f>
        <v>0</v>
      </c>
      <c r="AE54" s="47">
        <f t="shared" si="15"/>
        <v>1675522.53</v>
      </c>
    </row>
    <row r="55" spans="1:31">
      <c r="A55" s="7" t="s">
        <v>97</v>
      </c>
      <c r="B55" s="84"/>
      <c r="C55" s="84"/>
      <c r="D55" s="84"/>
      <c r="E55" s="84"/>
      <c r="F55" s="84"/>
      <c r="G55" s="84"/>
      <c r="H55" s="84"/>
      <c r="I55" s="84"/>
      <c r="J55" s="84"/>
      <c r="K55" s="84"/>
      <c r="L55" s="84"/>
      <c r="M55" s="84"/>
      <c r="N55" s="84"/>
      <c r="O55" s="84"/>
      <c r="P55" s="84"/>
      <c r="Q55" s="84"/>
      <c r="R55" s="84"/>
      <c r="S55" s="84"/>
      <c r="T55" s="84"/>
      <c r="U55" s="84"/>
      <c r="X55" s="1">
        <v>0</v>
      </c>
      <c r="Y55" s="1">
        <v>0</v>
      </c>
      <c r="AB55" s="1">
        <v>0</v>
      </c>
      <c r="AC55" s="1">
        <v>0</v>
      </c>
    </row>
    <row r="56" spans="1:31">
      <c r="A56" s="1" t="s">
        <v>70</v>
      </c>
      <c r="B56" s="84"/>
      <c r="C56" s="84"/>
      <c r="D56" s="84"/>
      <c r="E56" s="84"/>
      <c r="F56" s="87">
        <v>1363.288</v>
      </c>
      <c r="G56" s="84"/>
      <c r="H56" s="84"/>
      <c r="I56" s="84">
        <v>15507.797</v>
      </c>
      <c r="J56" s="84"/>
      <c r="K56" s="84">
        <v>9125.7440000000006</v>
      </c>
      <c r="L56" s="84">
        <v>13970.813</v>
      </c>
      <c r="M56" s="84">
        <v>29522.133000000002</v>
      </c>
      <c r="N56" s="84">
        <v>126250.534</v>
      </c>
      <c r="O56" s="84">
        <v>158847.52600000001</v>
      </c>
      <c r="P56" s="84">
        <v>185677.601</v>
      </c>
      <c r="Q56" s="84">
        <v>218196.014</v>
      </c>
      <c r="R56" s="84">
        <v>209700.26199999999</v>
      </c>
      <c r="S56" s="84">
        <v>202249.77</v>
      </c>
      <c r="T56" s="84">
        <v>132746.679</v>
      </c>
      <c r="U56" s="84">
        <v>83624.460999999996</v>
      </c>
      <c r="V56" s="84">
        <v>45117.095000000001</v>
      </c>
      <c r="W56" s="84">
        <v>46820.250999999997</v>
      </c>
      <c r="X56" s="1">
        <v>13820.741</v>
      </c>
      <c r="Y56" s="1">
        <v>439.48599999999999</v>
      </c>
      <c r="Z56" s="1">
        <v>3822.86</v>
      </c>
      <c r="AA56" s="1">
        <v>1473.87</v>
      </c>
      <c r="AB56" s="1">
        <v>11685.512000000001</v>
      </c>
      <c r="AC56" s="100">
        <v>316562.2</v>
      </c>
      <c r="AE56" s="1">
        <v>396981.50699999998</v>
      </c>
    </row>
    <row r="57" spans="1:31">
      <c r="A57" s="1" t="s">
        <v>71</v>
      </c>
      <c r="B57" s="84"/>
      <c r="C57" s="84"/>
      <c r="D57" s="84"/>
      <c r="E57" s="84"/>
      <c r="F57" s="87">
        <v>8973.6319999999996</v>
      </c>
      <c r="G57" s="84"/>
      <c r="H57" s="84"/>
      <c r="I57" s="84">
        <v>3290.7220000000002</v>
      </c>
      <c r="J57" s="84"/>
      <c r="K57" s="84">
        <v>5415.5129999999999</v>
      </c>
      <c r="L57" s="84">
        <v>10578.504000000001</v>
      </c>
      <c r="M57" s="84">
        <v>7614.915</v>
      </c>
      <c r="N57" s="84">
        <v>30263.764999999999</v>
      </c>
      <c r="O57" s="84">
        <v>32716.592000000001</v>
      </c>
      <c r="P57" s="84">
        <v>26106.454000000002</v>
      </c>
      <c r="Q57" s="84">
        <v>24632.473000000002</v>
      </c>
      <c r="R57" s="84">
        <v>26361.883000000002</v>
      </c>
      <c r="S57" s="84">
        <v>29963.768</v>
      </c>
      <c r="T57" s="84">
        <v>33351.148999999998</v>
      </c>
      <c r="U57" s="84">
        <v>36285.315000000002</v>
      </c>
      <c r="V57" s="84">
        <v>572</v>
      </c>
      <c r="W57" s="84">
        <v>824</v>
      </c>
      <c r="X57" s="1">
        <v>1126.2660000000001</v>
      </c>
      <c r="Y57" s="1">
        <v>16</v>
      </c>
      <c r="Z57" s="1">
        <v>112.001</v>
      </c>
      <c r="AA57" s="1">
        <v>0</v>
      </c>
      <c r="AB57" s="1">
        <v>0</v>
      </c>
      <c r="AC57" s="1">
        <v>0</v>
      </c>
      <c r="AE57" s="1">
        <v>1212</v>
      </c>
    </row>
    <row r="58" spans="1:31" s="11" customFormat="1">
      <c r="A58" s="1" t="s">
        <v>72</v>
      </c>
      <c r="B58" s="84"/>
      <c r="C58" s="84"/>
      <c r="D58" s="84"/>
      <c r="E58" s="84"/>
      <c r="F58" s="87">
        <v>12242.611000000001</v>
      </c>
      <c r="G58" s="84"/>
      <c r="H58" s="84"/>
      <c r="I58" s="84">
        <v>3381.9119999999998</v>
      </c>
      <c r="J58" s="84"/>
      <c r="K58" s="84">
        <v>13893.763000000001</v>
      </c>
      <c r="L58" s="84">
        <v>82104.876999999993</v>
      </c>
      <c r="M58" s="84">
        <v>80203.464999999997</v>
      </c>
      <c r="N58" s="84">
        <v>140445.891</v>
      </c>
      <c r="O58" s="84">
        <v>134591.41800000001</v>
      </c>
      <c r="P58" s="84">
        <v>145991.81</v>
      </c>
      <c r="Q58" s="84">
        <v>167742.33100000001</v>
      </c>
      <c r="R58" s="84">
        <v>173167.014</v>
      </c>
      <c r="S58" s="84">
        <v>190065.37899999999</v>
      </c>
      <c r="T58" s="84">
        <v>178502.91699999999</v>
      </c>
      <c r="U58" s="84">
        <v>176519.21400000001</v>
      </c>
      <c r="V58" s="84">
        <v>74272.429999999993</v>
      </c>
      <c r="W58" s="84">
        <v>47616.040999999997</v>
      </c>
      <c r="X58" s="1">
        <v>49076.775000000001</v>
      </c>
      <c r="Y58" s="1">
        <v>45213.949000000001</v>
      </c>
      <c r="Z58" s="1">
        <v>54806.735999999997</v>
      </c>
      <c r="AA58" s="1">
        <v>45581.093999999997</v>
      </c>
      <c r="AB58" s="1">
        <v>93140.532999999996</v>
      </c>
      <c r="AC58" s="1">
        <v>79392.793999999994</v>
      </c>
      <c r="AD58" s="1"/>
      <c r="AE58" s="1">
        <v>145759.26999999999</v>
      </c>
    </row>
    <row r="59" spans="1:31">
      <c r="A59" s="1" t="s">
        <v>73</v>
      </c>
      <c r="B59" s="84"/>
      <c r="C59" s="84"/>
      <c r="D59" s="84"/>
      <c r="E59" s="84"/>
      <c r="F59" s="87">
        <v>17627.335999999999</v>
      </c>
      <c r="G59" s="84"/>
      <c r="H59" s="84"/>
      <c r="I59" s="84">
        <v>15190.97</v>
      </c>
      <c r="J59" s="84"/>
      <c r="K59" s="84">
        <v>11640.334000000001</v>
      </c>
      <c r="L59" s="84">
        <v>19736.28</v>
      </c>
      <c r="M59" s="84">
        <v>24422.940999999999</v>
      </c>
      <c r="N59" s="84">
        <v>59155.881000000001</v>
      </c>
      <c r="O59" s="84">
        <v>53290.046000000002</v>
      </c>
      <c r="P59" s="84">
        <v>43930.474000000002</v>
      </c>
      <c r="Q59" s="84">
        <v>42242.989000000001</v>
      </c>
      <c r="R59" s="84">
        <v>53432.942000000003</v>
      </c>
      <c r="S59" s="84">
        <v>51282.216999999997</v>
      </c>
      <c r="T59" s="84">
        <v>16262.09</v>
      </c>
      <c r="U59" s="84">
        <v>137.01400000000001</v>
      </c>
      <c r="V59" s="84">
        <v>1831.432</v>
      </c>
      <c r="W59" s="84">
        <v>1315.605</v>
      </c>
      <c r="X59" s="1">
        <v>766.96500000000003</v>
      </c>
      <c r="Y59" s="1">
        <v>958.13499999999999</v>
      </c>
      <c r="Z59" s="1">
        <v>746.30499999999995</v>
      </c>
      <c r="AA59" s="1">
        <v>3863.6179999999999</v>
      </c>
      <c r="AB59" s="1">
        <v>10113.232</v>
      </c>
      <c r="AC59" s="1">
        <v>5638.89</v>
      </c>
      <c r="AE59" s="1">
        <v>1E-3</v>
      </c>
    </row>
    <row r="60" spans="1:31">
      <c r="A60" s="1" t="s">
        <v>74</v>
      </c>
      <c r="B60" s="84"/>
      <c r="C60" s="84"/>
      <c r="D60" s="84"/>
      <c r="E60" s="84"/>
      <c r="F60" s="87">
        <v>38577.584000000003</v>
      </c>
      <c r="G60" s="84"/>
      <c r="H60" s="84"/>
      <c r="I60" s="84">
        <v>53495.06</v>
      </c>
      <c r="J60" s="84"/>
      <c r="K60" s="84">
        <v>104915.095</v>
      </c>
      <c r="L60" s="84">
        <v>67770.760999999999</v>
      </c>
      <c r="M60" s="84">
        <v>100085.144</v>
      </c>
      <c r="N60" s="84">
        <v>301794.50900000002</v>
      </c>
      <c r="O60" s="84">
        <v>309776.11499999999</v>
      </c>
      <c r="P60" s="84">
        <v>207005.174</v>
      </c>
      <c r="Q60" s="84">
        <v>358153.44099999999</v>
      </c>
      <c r="R60" s="84">
        <v>402923.02299999999</v>
      </c>
      <c r="S60" s="84">
        <v>417570.96</v>
      </c>
      <c r="T60" s="84">
        <v>294648.95899999997</v>
      </c>
      <c r="U60" s="84">
        <v>289999.99200000003</v>
      </c>
      <c r="V60" s="84">
        <v>65127.023999999998</v>
      </c>
      <c r="W60" s="84">
        <v>59334.94</v>
      </c>
      <c r="X60" s="1">
        <v>51415.150999999998</v>
      </c>
      <c r="Y60" s="1">
        <v>25409.032999999999</v>
      </c>
      <c r="Z60" s="1">
        <v>90866.297000000006</v>
      </c>
      <c r="AA60" s="1">
        <v>82104.782999999996</v>
      </c>
      <c r="AB60" s="1">
        <v>108966.595</v>
      </c>
      <c r="AC60" s="1">
        <v>177002.927</v>
      </c>
      <c r="AE60" s="1">
        <v>410293.37300000002</v>
      </c>
    </row>
    <row r="61" spans="1:31">
      <c r="A61" s="1" t="s">
        <v>75</v>
      </c>
      <c r="B61" s="84"/>
      <c r="C61" s="84"/>
      <c r="D61" s="84"/>
      <c r="E61" s="84"/>
      <c r="F61" s="87">
        <v>207279.704</v>
      </c>
      <c r="G61" s="84"/>
      <c r="H61" s="84"/>
      <c r="I61" s="84">
        <v>295114.43300000002</v>
      </c>
      <c r="J61" s="84"/>
      <c r="K61" s="84">
        <v>336076.67800000001</v>
      </c>
      <c r="L61" s="84">
        <v>356653.179</v>
      </c>
      <c r="M61" s="84">
        <v>382484.53600000002</v>
      </c>
      <c r="N61" s="84">
        <v>376817.41700000002</v>
      </c>
      <c r="O61" s="84">
        <v>287511.77100000001</v>
      </c>
      <c r="P61" s="84">
        <v>508837.46</v>
      </c>
      <c r="Q61" s="84">
        <v>507930.37</v>
      </c>
      <c r="R61" s="84">
        <v>584045.51899999997</v>
      </c>
      <c r="S61" s="84">
        <v>754452.2</v>
      </c>
      <c r="T61" s="84">
        <v>840000.14300000004</v>
      </c>
      <c r="U61" s="84">
        <v>1087072.078</v>
      </c>
      <c r="V61" s="84">
        <v>133598.49900000001</v>
      </c>
      <c r="W61" s="84">
        <v>375308.43599999999</v>
      </c>
      <c r="X61" s="1">
        <v>254193.769</v>
      </c>
      <c r="Y61" s="1">
        <v>88430.611999999994</v>
      </c>
      <c r="Z61" s="1">
        <v>67377.55</v>
      </c>
      <c r="AA61" s="1">
        <v>108418.397</v>
      </c>
      <c r="AB61" s="1">
        <v>128287.30899999999</v>
      </c>
      <c r="AC61" s="1">
        <v>188044.61499999999</v>
      </c>
      <c r="AE61" s="1">
        <v>498478.15299999999</v>
      </c>
    </row>
    <row r="62" spans="1:31">
      <c r="A62" s="1" t="s">
        <v>76</v>
      </c>
      <c r="B62" s="84"/>
      <c r="C62" s="84"/>
      <c r="D62" s="84"/>
      <c r="E62" s="84"/>
      <c r="F62" s="87">
        <v>129513.412</v>
      </c>
      <c r="G62" s="84"/>
      <c r="H62" s="84"/>
      <c r="I62" s="84">
        <v>124419.064</v>
      </c>
      <c r="J62" s="84"/>
      <c r="K62" s="84">
        <v>134556.17800000001</v>
      </c>
      <c r="L62" s="84">
        <v>175678.97700000001</v>
      </c>
      <c r="M62" s="84">
        <v>199459.76199999999</v>
      </c>
      <c r="N62" s="84">
        <v>137844.106</v>
      </c>
      <c r="O62" s="84">
        <v>68668.22</v>
      </c>
      <c r="P62" s="84">
        <v>76636.323999999993</v>
      </c>
      <c r="Q62" s="84">
        <v>81609.815000000002</v>
      </c>
      <c r="R62" s="84">
        <v>88806.202999999994</v>
      </c>
      <c r="S62" s="84">
        <v>96735.724000000002</v>
      </c>
      <c r="T62" s="84">
        <v>106585.80499999999</v>
      </c>
      <c r="U62" s="84">
        <v>122384.001</v>
      </c>
      <c r="V62" s="84">
        <v>1E-3</v>
      </c>
      <c r="W62" s="84">
        <v>0</v>
      </c>
      <c r="X62" s="1">
        <v>0</v>
      </c>
      <c r="Y62" s="1">
        <v>0</v>
      </c>
      <c r="Z62" s="1">
        <v>0</v>
      </c>
      <c r="AA62" s="1">
        <v>167.84299999999999</v>
      </c>
      <c r="AB62" s="1">
        <v>6775.4589999999998</v>
      </c>
      <c r="AC62" s="1">
        <v>3.0000000000000001E-3</v>
      </c>
      <c r="AE62" s="1">
        <v>179750.054</v>
      </c>
    </row>
    <row r="63" spans="1:31">
      <c r="A63" s="1" t="s">
        <v>77</v>
      </c>
      <c r="B63" s="84"/>
      <c r="C63" s="84"/>
      <c r="D63" s="84"/>
      <c r="E63" s="84"/>
      <c r="F63" s="87">
        <v>2752.654</v>
      </c>
      <c r="G63" s="84"/>
      <c r="H63" s="84"/>
      <c r="I63" s="84">
        <v>1619.729</v>
      </c>
      <c r="J63" s="84"/>
      <c r="K63" s="84">
        <v>1143.33</v>
      </c>
      <c r="L63" s="84">
        <v>3056.9670000000001</v>
      </c>
      <c r="M63" s="84">
        <v>4002.09</v>
      </c>
      <c r="N63" s="84">
        <v>19241.319</v>
      </c>
      <c r="O63" s="84">
        <v>23080.835999999999</v>
      </c>
      <c r="P63" s="84">
        <v>25865.350999999999</v>
      </c>
      <c r="Q63" s="84">
        <v>25984.741999999998</v>
      </c>
      <c r="R63" s="84">
        <v>24649.653999999999</v>
      </c>
      <c r="S63" s="84">
        <v>28827.055</v>
      </c>
      <c r="T63" s="84">
        <v>47065.29</v>
      </c>
      <c r="U63" s="84">
        <v>49324.487999999998</v>
      </c>
      <c r="V63" s="84">
        <v>0</v>
      </c>
      <c r="W63" s="84">
        <v>1E-3</v>
      </c>
      <c r="X63" s="1">
        <v>0</v>
      </c>
      <c r="Y63" s="1">
        <v>0</v>
      </c>
      <c r="Z63" s="1">
        <v>0</v>
      </c>
      <c r="AA63" s="1">
        <v>0</v>
      </c>
      <c r="AB63" s="1">
        <v>0</v>
      </c>
      <c r="AC63" s="1">
        <v>0</v>
      </c>
      <c r="AE63" s="1">
        <v>18699.170999999998</v>
      </c>
    </row>
    <row r="64" spans="1:31">
      <c r="A64" s="23" t="s">
        <v>78</v>
      </c>
      <c r="B64" s="85"/>
      <c r="C64" s="85"/>
      <c r="D64" s="85"/>
      <c r="E64" s="85"/>
      <c r="F64" s="88">
        <v>8099.942</v>
      </c>
      <c r="G64" s="85"/>
      <c r="H64" s="85"/>
      <c r="I64" s="85">
        <v>11416.541999999999</v>
      </c>
      <c r="J64" s="85"/>
      <c r="K64" s="85">
        <v>6701.0240000000003</v>
      </c>
      <c r="L64" s="85">
        <v>13661.571</v>
      </c>
      <c r="M64" s="85">
        <v>-3774.067</v>
      </c>
      <c r="N64" s="85">
        <v>20113.601999999999</v>
      </c>
      <c r="O64" s="85">
        <v>150192.80900000001</v>
      </c>
      <c r="P64" s="85">
        <v>27295.053</v>
      </c>
      <c r="Q64" s="85">
        <v>11826.489</v>
      </c>
      <c r="R64" s="85">
        <v>30145.059000000001</v>
      </c>
      <c r="S64" s="85">
        <v>38409.781000000003</v>
      </c>
      <c r="T64" s="85">
        <v>47712.756999999998</v>
      </c>
      <c r="U64" s="85">
        <v>48195.036</v>
      </c>
      <c r="V64" s="85">
        <v>1021</v>
      </c>
      <c r="W64" s="85">
        <v>1096</v>
      </c>
      <c r="X64" s="23">
        <v>6305.0029999999997</v>
      </c>
      <c r="Y64" s="23">
        <v>36754</v>
      </c>
      <c r="Z64" s="23">
        <v>25026.001</v>
      </c>
      <c r="AA64" s="23">
        <v>23075.001</v>
      </c>
      <c r="AB64" s="23">
        <v>22878</v>
      </c>
      <c r="AC64" s="23">
        <v>28795.001</v>
      </c>
      <c r="AD64" s="23"/>
      <c r="AE64" s="23">
        <v>24349.001</v>
      </c>
    </row>
    <row r="65" spans="1:31">
      <c r="A65" s="45" t="s">
        <v>79</v>
      </c>
      <c r="B65" s="86"/>
      <c r="C65" s="86"/>
      <c r="D65" s="86"/>
      <c r="E65" s="86"/>
      <c r="F65" s="89">
        <v>889.60599999999999</v>
      </c>
      <c r="G65" s="86"/>
      <c r="H65" s="86"/>
      <c r="I65" s="86">
        <v>1707.106</v>
      </c>
      <c r="J65" s="86"/>
      <c r="K65" s="86">
        <v>1938.7649199999998</v>
      </c>
      <c r="L65" s="86">
        <v>457.35300000000001</v>
      </c>
      <c r="M65" s="86">
        <v>0</v>
      </c>
      <c r="N65" s="86">
        <v>4429.835</v>
      </c>
      <c r="O65" s="86">
        <v>4904.9930000000004</v>
      </c>
      <c r="P65" s="86">
        <v>4284.4260000000004</v>
      </c>
      <c r="Q65" s="86">
        <v>5400.375</v>
      </c>
      <c r="R65" s="86">
        <v>5724.35</v>
      </c>
      <c r="S65" s="86">
        <v>8663.1820000000007</v>
      </c>
      <c r="T65" s="86">
        <v>5310.0119999999997</v>
      </c>
      <c r="U65" s="86">
        <v>5675.7380000000003</v>
      </c>
      <c r="V65" s="86">
        <v>-0.1</v>
      </c>
      <c r="W65" s="86">
        <v>5816.34</v>
      </c>
      <c r="X65" s="23">
        <v>6677.5060000000003</v>
      </c>
      <c r="Y65" s="23">
        <v>5.5E-2</v>
      </c>
      <c r="Z65" s="23">
        <v>12253.69</v>
      </c>
      <c r="AA65" s="23">
        <v>23817.253000000001</v>
      </c>
      <c r="AB65" s="23">
        <v>25641.942999999999</v>
      </c>
      <c r="AC65" s="23">
        <v>25783.002</v>
      </c>
      <c r="AD65" s="23"/>
      <c r="AE65" s="23">
        <v>35142.214</v>
      </c>
    </row>
    <row r="67" spans="1:31">
      <c r="D67" s="12" t="s">
        <v>140</v>
      </c>
      <c r="F67" s="1" t="s">
        <v>141</v>
      </c>
      <c r="G67" s="1" t="s">
        <v>142</v>
      </c>
      <c r="I67" s="1" t="s">
        <v>141</v>
      </c>
      <c r="J67" s="1" t="s">
        <v>141</v>
      </c>
      <c r="K67" s="1" t="s">
        <v>141</v>
      </c>
      <c r="L67" s="1" t="s">
        <v>101</v>
      </c>
      <c r="O67" s="1" t="s">
        <v>141</v>
      </c>
      <c r="P67" s="1" t="s">
        <v>141</v>
      </c>
      <c r="Q67" s="1" t="s">
        <v>141</v>
      </c>
      <c r="R67" s="1" t="s">
        <v>141</v>
      </c>
    </row>
    <row r="68" spans="1:31">
      <c r="D68" s="12" t="s">
        <v>143</v>
      </c>
      <c r="G68" s="1" t="s">
        <v>144</v>
      </c>
      <c r="I68" s="1" t="s">
        <v>99</v>
      </c>
      <c r="L68" s="1" t="s">
        <v>104</v>
      </c>
      <c r="O68" s="1" t="s">
        <v>99</v>
      </c>
      <c r="P68" s="1" t="s">
        <v>99</v>
      </c>
      <c r="Q68" s="1" t="s">
        <v>99</v>
      </c>
      <c r="R68" s="1" t="s">
        <v>99</v>
      </c>
    </row>
    <row r="69" spans="1:31">
      <c r="D69" s="1" t="s">
        <v>145</v>
      </c>
      <c r="G69" s="1" t="s">
        <v>146</v>
      </c>
      <c r="I69" s="1" t="s">
        <v>102</v>
      </c>
      <c r="J69" s="1" t="s">
        <v>100</v>
      </c>
      <c r="O69" s="1" t="s">
        <v>102</v>
      </c>
      <c r="P69" s="1" t="s">
        <v>102</v>
      </c>
      <c r="Q69" s="1" t="s">
        <v>102</v>
      </c>
      <c r="R69" s="1" t="s">
        <v>102</v>
      </c>
    </row>
    <row r="70" spans="1:31">
      <c r="D70" s="1" t="s">
        <v>147</v>
      </c>
      <c r="G70" s="1" t="s">
        <v>142</v>
      </c>
      <c r="I70" s="1" t="s">
        <v>105</v>
      </c>
      <c r="J70" s="1" t="s">
        <v>103</v>
      </c>
      <c r="Q70" s="1" t="s">
        <v>105</v>
      </c>
      <c r="R70" s="1" t="s">
        <v>105</v>
      </c>
    </row>
    <row r="71" spans="1:31">
      <c r="D71" s="1" t="s">
        <v>148</v>
      </c>
      <c r="J71" s="1" t="s">
        <v>106</v>
      </c>
    </row>
    <row r="72" spans="1:31">
      <c r="D72" s="1" t="s">
        <v>149</v>
      </c>
      <c r="G72" s="1" t="s">
        <v>144</v>
      </c>
      <c r="J72" s="1" t="s">
        <v>107</v>
      </c>
    </row>
    <row r="73" spans="1:31">
      <c r="D73" s="1" t="s">
        <v>150</v>
      </c>
      <c r="G73" s="12" t="s">
        <v>151</v>
      </c>
    </row>
    <row r="74" spans="1:31">
      <c r="B74" s="12"/>
      <c r="D74" s="1" t="s">
        <v>152</v>
      </c>
      <c r="G74" s="12" t="s">
        <v>153</v>
      </c>
    </row>
    <row r="75" spans="1:31">
      <c r="B75" s="34" t="s">
        <v>154</v>
      </c>
      <c r="D75" s="1" t="s">
        <v>155</v>
      </c>
    </row>
    <row r="76" spans="1:31">
      <c r="D76" s="12" t="s">
        <v>151</v>
      </c>
    </row>
    <row r="77" spans="1:31">
      <c r="D77" s="12" t="s">
        <v>153</v>
      </c>
    </row>
    <row r="102" spans="4:4">
      <c r="D102" s="11"/>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12">
    <tabColor indexed="62"/>
  </sheetPr>
  <dimension ref="A1:AE102"/>
  <sheetViews>
    <sheetView showZeros="0" zoomScaleNormal="100" workbookViewId="0">
      <pane xSplit="1" ySplit="5" topLeftCell="R6" activePane="bottomRight" state="frozen"/>
      <selection pane="topRight" activeCell="A6" sqref="A6:T65"/>
      <selection pane="bottomLeft" activeCell="A6" sqref="A6:T65"/>
      <selection pane="bottomRight" activeCell="AE16" sqref="AE16"/>
    </sheetView>
  </sheetViews>
  <sheetFormatPr defaultColWidth="9.85546875" defaultRowHeight="12.75"/>
  <cols>
    <col min="1" max="1" width="23.42578125" style="43" customWidth="1"/>
    <col min="2" max="23" width="12.42578125" style="1" customWidth="1"/>
    <col min="24" max="29" width="10.85546875" style="1" customWidth="1"/>
    <col min="30" max="31" width="12.42578125" style="1" customWidth="1"/>
    <col min="32" max="57" width="10.85546875" style="1" customWidth="1"/>
    <col min="58" max="16384" width="9.85546875" style="1"/>
  </cols>
  <sheetData>
    <row r="1" spans="1:31">
      <c r="A1" s="7" t="s">
        <v>94</v>
      </c>
      <c r="B1"/>
      <c r="C1"/>
      <c r="D1"/>
      <c r="E1"/>
      <c r="F1"/>
      <c r="G1"/>
      <c r="H1"/>
      <c r="I1"/>
      <c r="J1"/>
      <c r="K1"/>
      <c r="L1"/>
      <c r="M1"/>
      <c r="N1"/>
      <c r="O1"/>
      <c r="P1"/>
      <c r="Q1"/>
      <c r="R1"/>
      <c r="S1"/>
      <c r="T1"/>
      <c r="U1"/>
      <c r="V1"/>
      <c r="W1"/>
    </row>
    <row r="2" spans="1:31">
      <c r="A2" s="9"/>
      <c r="B2"/>
      <c r="C2"/>
      <c r="D2"/>
      <c r="E2"/>
      <c r="F2"/>
      <c r="G2"/>
      <c r="H2"/>
      <c r="I2"/>
      <c r="J2"/>
      <c r="K2"/>
      <c r="L2"/>
      <c r="M2"/>
      <c r="N2"/>
      <c r="O2"/>
      <c r="P2"/>
      <c r="Q2"/>
      <c r="R2"/>
      <c r="S2"/>
      <c r="T2"/>
      <c r="U2"/>
      <c r="V2"/>
      <c r="W2"/>
      <c r="AA2" s="1">
        <v>1000</v>
      </c>
    </row>
    <row r="3" spans="1:31">
      <c r="A3" s="1" t="s">
        <v>139</v>
      </c>
      <c r="B3"/>
      <c r="C3"/>
      <c r="D3"/>
      <c r="E3"/>
      <c r="F3"/>
      <c r="G3"/>
      <c r="H3"/>
      <c r="I3"/>
      <c r="J3"/>
      <c r="K3"/>
      <c r="L3"/>
      <c r="M3"/>
      <c r="N3"/>
      <c r="O3"/>
      <c r="P3"/>
      <c r="Q3"/>
      <c r="R3"/>
      <c r="S3"/>
      <c r="T3"/>
      <c r="U3"/>
      <c r="V3"/>
      <c r="W3"/>
    </row>
    <row r="4" spans="1:31" s="32" customFormat="1">
      <c r="B4" s="32">
        <v>1984</v>
      </c>
      <c r="C4" s="32">
        <v>1985</v>
      </c>
      <c r="D4" s="32">
        <v>1986</v>
      </c>
      <c r="E4" s="32">
        <v>1991</v>
      </c>
      <c r="F4" s="32">
        <v>1992</v>
      </c>
      <c r="G4" s="32">
        <v>1993</v>
      </c>
      <c r="H4" s="32">
        <v>1994</v>
      </c>
      <c r="I4" s="32">
        <v>1995</v>
      </c>
      <c r="J4" s="32">
        <v>1996</v>
      </c>
      <c r="K4" s="32">
        <v>1997</v>
      </c>
      <c r="L4" s="32">
        <v>2000</v>
      </c>
      <c r="M4" s="39">
        <v>2001</v>
      </c>
      <c r="N4" s="39">
        <v>2002</v>
      </c>
      <c r="O4" s="39">
        <v>2003</v>
      </c>
      <c r="P4" s="39">
        <v>2004</v>
      </c>
      <c r="Q4" s="32">
        <v>2005</v>
      </c>
      <c r="R4" s="32">
        <v>2006</v>
      </c>
      <c r="S4" s="39">
        <v>2007</v>
      </c>
      <c r="T4" s="39">
        <v>2008</v>
      </c>
      <c r="U4" s="39">
        <v>2009</v>
      </c>
      <c r="V4" s="39">
        <v>2010</v>
      </c>
      <c r="W4" s="39">
        <v>2011</v>
      </c>
      <c r="X4" s="39">
        <v>2012</v>
      </c>
      <c r="Y4" s="39">
        <v>2013</v>
      </c>
      <c r="Z4" s="39">
        <v>2014</v>
      </c>
      <c r="AA4" s="39">
        <v>2015</v>
      </c>
      <c r="AB4" s="96">
        <v>2016</v>
      </c>
      <c r="AC4" s="96">
        <v>2017</v>
      </c>
      <c r="AD4" s="96">
        <v>2018</v>
      </c>
      <c r="AE4" s="96">
        <v>2019</v>
      </c>
    </row>
    <row r="5" spans="1:31" s="8" customFormat="1">
      <c r="B5" s="8" t="s">
        <v>109</v>
      </c>
      <c r="C5" s="8" t="s">
        <v>109</v>
      </c>
      <c r="D5" s="8" t="s">
        <v>109</v>
      </c>
      <c r="E5" s="8" t="s">
        <v>109</v>
      </c>
      <c r="F5" s="8" t="s">
        <v>109</v>
      </c>
      <c r="G5" s="8" t="s">
        <v>109</v>
      </c>
      <c r="H5" s="8" t="s">
        <v>109</v>
      </c>
      <c r="I5" s="8" t="s">
        <v>109</v>
      </c>
      <c r="J5" s="8" t="s">
        <v>109</v>
      </c>
      <c r="K5" s="8" t="s">
        <v>109</v>
      </c>
      <c r="L5" s="8" t="s">
        <v>109</v>
      </c>
      <c r="M5" s="8" t="s">
        <v>109</v>
      </c>
      <c r="N5" s="8" t="s">
        <v>109</v>
      </c>
      <c r="O5" s="8" t="s">
        <v>109</v>
      </c>
      <c r="P5" s="8" t="s">
        <v>109</v>
      </c>
      <c r="Q5" s="8" t="s">
        <v>109</v>
      </c>
      <c r="R5" s="8" t="s">
        <v>109</v>
      </c>
      <c r="S5" s="8" t="s">
        <v>109</v>
      </c>
      <c r="T5" s="8" t="s">
        <v>109</v>
      </c>
      <c r="U5" s="8" t="s">
        <v>109</v>
      </c>
      <c r="V5" s="8" t="s">
        <v>109</v>
      </c>
      <c r="W5" s="8" t="s">
        <v>109</v>
      </c>
      <c r="X5" s="8" t="s">
        <v>109</v>
      </c>
      <c r="Y5" s="8" t="s">
        <v>109</v>
      </c>
      <c r="Z5" s="8" t="s">
        <v>109</v>
      </c>
      <c r="AA5" s="8" t="s">
        <v>109</v>
      </c>
      <c r="AB5" s="8" t="s">
        <v>109</v>
      </c>
      <c r="AC5" s="8" t="s">
        <v>109</v>
      </c>
      <c r="AD5" s="8" t="s">
        <v>109</v>
      </c>
      <c r="AE5" s="8" t="s">
        <v>109</v>
      </c>
    </row>
    <row r="6" spans="1:31">
      <c r="A6" s="23" t="s">
        <v>24</v>
      </c>
      <c r="B6" s="54">
        <v>128448</v>
      </c>
      <c r="C6" s="54">
        <v>131488</v>
      </c>
      <c r="D6" s="54">
        <f>138820</f>
        <v>138820</v>
      </c>
      <c r="E6" s="54">
        <f>89000.862+165891.855</f>
        <v>254892.717</v>
      </c>
      <c r="F6" s="48">
        <f>+F7+F25+F40+F54+F65</f>
        <v>296969.96099999995</v>
      </c>
      <c r="G6" s="54">
        <f>108610.261+190387.765+34447.438</f>
        <v>333445.46400000004</v>
      </c>
      <c r="H6" s="54">
        <f>122207.087+198903.504</f>
        <v>321110.59100000001</v>
      </c>
      <c r="I6" s="48">
        <f>+I7+I25+I40+I54+I65</f>
        <v>323129.53600000002</v>
      </c>
      <c r="J6" s="54">
        <f>154226.318+244207.752</f>
        <v>398434.07</v>
      </c>
      <c r="K6" s="48">
        <f t="shared" ref="K6:U6" si="0">+K7+K25+K40+K54+K65</f>
        <v>465077.24921999994</v>
      </c>
      <c r="L6" s="48">
        <f t="shared" si="0"/>
        <v>586096.85999999987</v>
      </c>
      <c r="M6" s="48">
        <f t="shared" si="0"/>
        <v>628547.68000000005</v>
      </c>
      <c r="N6" s="48">
        <f t="shared" si="0"/>
        <v>1489659.7289999998</v>
      </c>
      <c r="O6" s="48">
        <f t="shared" si="0"/>
        <v>1931721.3339999998</v>
      </c>
      <c r="P6" s="48">
        <f t="shared" si="0"/>
        <v>2344443.2320000003</v>
      </c>
      <c r="Q6" s="48">
        <f t="shared" si="0"/>
        <v>2698921.8</v>
      </c>
      <c r="R6" s="48">
        <f t="shared" si="0"/>
        <v>2806381.9479999999</v>
      </c>
      <c r="S6" s="48">
        <f t="shared" si="0"/>
        <v>3390831.1229999997</v>
      </c>
      <c r="T6" s="48">
        <f t="shared" si="0"/>
        <v>3332687.6469999999</v>
      </c>
      <c r="U6" s="48">
        <f t="shared" si="0"/>
        <v>3462055.5720000002</v>
      </c>
      <c r="V6" s="48">
        <f t="shared" ref="V6:W6" si="1">+V7+V25+V40+V54+V65</f>
        <v>2047832.9309999999</v>
      </c>
      <c r="W6" s="48">
        <f t="shared" si="1"/>
        <v>2353830.5950000007</v>
      </c>
      <c r="X6" s="48">
        <f t="shared" ref="X6:Y6" si="2">+X7+X25+X40+X54+X65</f>
        <v>2237079.227</v>
      </c>
      <c r="Y6" s="48">
        <f t="shared" si="2"/>
        <v>1676249.8670000001</v>
      </c>
      <c r="Z6" s="48">
        <f t="shared" ref="Z6:AA6" si="3">+Z7+Z25+Z40+Z54+Z65</f>
        <v>1676903.2719999999</v>
      </c>
      <c r="AA6" s="48">
        <f t="shared" si="3"/>
        <v>1651902.66</v>
      </c>
      <c r="AB6" s="48">
        <f t="shared" ref="AB6:AE6" si="4">+AB7+AB25+AB40+AB54+AB65</f>
        <v>3625967.7539999997</v>
      </c>
      <c r="AC6" s="48">
        <f t="shared" si="4"/>
        <v>3980650.1290000002</v>
      </c>
      <c r="AD6" s="48">
        <f t="shared" si="4"/>
        <v>0</v>
      </c>
      <c r="AE6" s="48">
        <f t="shared" si="4"/>
        <v>5522490.9949999992</v>
      </c>
    </row>
    <row r="7" spans="1:31">
      <c r="A7" s="1" t="s">
        <v>25</v>
      </c>
      <c r="B7" s="90">
        <f>SUM(B8:B24)</f>
        <v>26888</v>
      </c>
      <c r="C7" s="90">
        <f t="shared" ref="C7:U7" si="5">SUM(C8:C24)</f>
        <v>40017</v>
      </c>
      <c r="D7" s="90">
        <f t="shared" si="5"/>
        <v>38732</v>
      </c>
      <c r="E7" s="90">
        <f t="shared" si="5"/>
        <v>79889.369999999981</v>
      </c>
      <c r="F7" s="90">
        <f t="shared" si="5"/>
        <v>108453.77399999999</v>
      </c>
      <c r="G7" s="90">
        <f t="shared" si="5"/>
        <v>111422.19399999999</v>
      </c>
      <c r="H7" s="90">
        <f t="shared" si="5"/>
        <v>102094.05099999999</v>
      </c>
      <c r="I7" s="90">
        <f t="shared" si="5"/>
        <v>111469.507</v>
      </c>
      <c r="J7" s="90">
        <f t="shared" si="5"/>
        <v>128085.056</v>
      </c>
      <c r="K7" s="90">
        <f t="shared" si="5"/>
        <v>159848.43782999995</v>
      </c>
      <c r="L7" s="90">
        <f t="shared" si="5"/>
        <v>213482.97799999997</v>
      </c>
      <c r="M7" s="90">
        <f t="shared" si="5"/>
        <v>206330.769</v>
      </c>
      <c r="N7" s="90">
        <f t="shared" si="5"/>
        <v>652172.13699999987</v>
      </c>
      <c r="O7" s="90">
        <f t="shared" si="5"/>
        <v>642738.31799999997</v>
      </c>
      <c r="P7" s="90">
        <f t="shared" si="5"/>
        <v>669100.24900000007</v>
      </c>
      <c r="Q7" s="90">
        <f t="shared" si="5"/>
        <v>733583.90899999999</v>
      </c>
      <c r="R7" s="90">
        <f t="shared" si="5"/>
        <v>776011.59200000018</v>
      </c>
      <c r="S7" s="90">
        <f t="shared" si="5"/>
        <v>823746.1</v>
      </c>
      <c r="T7" s="90">
        <f t="shared" si="5"/>
        <v>832168.51800000004</v>
      </c>
      <c r="U7" s="90">
        <f t="shared" si="5"/>
        <v>680640.54099999997</v>
      </c>
      <c r="V7" s="90">
        <f t="shared" ref="V7:W7" si="6">SUM(V8:V24)</f>
        <v>480568.82800000004</v>
      </c>
      <c r="W7" s="90">
        <f t="shared" si="6"/>
        <v>530811.02699999989</v>
      </c>
      <c r="X7" s="90">
        <f t="shared" ref="X7:Y7" si="7">SUM(X8:X24)</f>
        <v>468253.02899999998</v>
      </c>
      <c r="Y7" s="90">
        <f t="shared" si="7"/>
        <v>400053.54</v>
      </c>
      <c r="Z7" s="90">
        <f t="shared" ref="Z7:AA7" si="8">SUM(Z8:Z24)</f>
        <v>364768.76700000005</v>
      </c>
      <c r="AA7" s="90">
        <f t="shared" si="8"/>
        <v>422691.69400000002</v>
      </c>
      <c r="AB7" s="90">
        <f t="shared" ref="AB7:AE7" si="9">SUM(AB8:AB24)</f>
        <v>802640.43400000012</v>
      </c>
      <c r="AC7" s="90">
        <f t="shared" si="9"/>
        <v>959408.0120000001</v>
      </c>
      <c r="AD7" s="47">
        <f t="shared" si="9"/>
        <v>0</v>
      </c>
      <c r="AE7" s="47">
        <f t="shared" si="9"/>
        <v>1317960.2509999997</v>
      </c>
    </row>
    <row r="8" spans="1:31">
      <c r="A8" s="7" t="s">
        <v>97</v>
      </c>
      <c r="B8" s="53"/>
      <c r="C8" s="53"/>
      <c r="D8" s="53"/>
      <c r="E8" s="53"/>
      <c r="F8" s="53"/>
      <c r="G8" s="53"/>
      <c r="H8" s="53"/>
      <c r="I8" s="53"/>
      <c r="J8" s="53"/>
      <c r="K8" s="53"/>
      <c r="L8" s="53"/>
      <c r="M8" s="53"/>
      <c r="N8" s="53"/>
      <c r="O8" s="53"/>
      <c r="P8" s="53"/>
      <c r="Q8" s="53"/>
      <c r="R8" s="53"/>
      <c r="S8" s="53"/>
      <c r="T8" s="53"/>
      <c r="U8" s="53"/>
      <c r="V8" s="53"/>
      <c r="W8" s="53"/>
    </row>
    <row r="9" spans="1:31">
      <c r="A9" s="1" t="s">
        <v>26</v>
      </c>
      <c r="B9" s="53">
        <v>1609</v>
      </c>
      <c r="C9" s="53">
        <v>1400</v>
      </c>
      <c r="D9" s="53">
        <v>1080</v>
      </c>
      <c r="E9" s="53">
        <f>3601.338+3125.36</f>
        <v>6726.6980000000003</v>
      </c>
      <c r="F9" s="41">
        <v>11331.338</v>
      </c>
      <c r="G9" s="53">
        <f>4548.325+8649.559</f>
        <v>13197.883999999998</v>
      </c>
      <c r="H9" s="53">
        <f>6145.312+10347.348</f>
        <v>16492.66</v>
      </c>
      <c r="I9" s="53">
        <v>16752.207999999999</v>
      </c>
      <c r="J9" s="53">
        <f>10587.176+6717.583</f>
        <v>17304.758999999998</v>
      </c>
      <c r="K9" s="53">
        <v>22940.923609999998</v>
      </c>
      <c r="L9" s="53">
        <v>26734.044999999998</v>
      </c>
      <c r="M9" s="53">
        <v>34072.771000000001</v>
      </c>
      <c r="N9" s="53">
        <v>25287.694</v>
      </c>
      <c r="O9" s="53">
        <v>29428.871999999999</v>
      </c>
      <c r="P9" s="53">
        <v>32738.137999999999</v>
      </c>
      <c r="Q9" s="53">
        <v>32425.695</v>
      </c>
      <c r="R9" s="53">
        <v>35752.178999999996</v>
      </c>
      <c r="S9" s="53">
        <v>39833.896999999997</v>
      </c>
      <c r="T9" s="53">
        <v>15532.201999999999</v>
      </c>
      <c r="U9" s="53">
        <v>3490.4369999999999</v>
      </c>
      <c r="V9" s="53">
        <v>15906.584000000001</v>
      </c>
      <c r="W9" s="53">
        <v>20238.12</v>
      </c>
      <c r="X9" s="1">
        <v>4761.6670000000004</v>
      </c>
      <c r="Y9" s="1">
        <v>6631.9290000000001</v>
      </c>
      <c r="Z9" s="1">
        <v>7025.1019999999999</v>
      </c>
      <c r="AA9" s="1">
        <v>8008.6459999999997</v>
      </c>
      <c r="AB9" s="1">
        <v>48130.855000000003</v>
      </c>
      <c r="AC9" s="1">
        <v>69941.771999999997</v>
      </c>
      <c r="AE9" s="1">
        <v>83246.524999999994</v>
      </c>
    </row>
    <row r="10" spans="1:31">
      <c r="A10" s="1" t="s">
        <v>27</v>
      </c>
      <c r="B10" s="53">
        <v>149</v>
      </c>
      <c r="C10" s="53">
        <v>609</v>
      </c>
      <c r="D10" s="53">
        <v>229</v>
      </c>
      <c r="E10" s="53">
        <f>451.052+762.013</f>
        <v>1213.0650000000001</v>
      </c>
      <c r="F10" s="41">
        <v>1634.79</v>
      </c>
      <c r="G10" s="53">
        <f>1011.089+1198.844</f>
        <v>2209.933</v>
      </c>
      <c r="H10" s="53">
        <f>1400.978+2022.919</f>
        <v>3423.8969999999999</v>
      </c>
      <c r="I10" s="53">
        <v>2999.0439999999999</v>
      </c>
      <c r="J10" s="53">
        <f>1006.368+3736.206</f>
        <v>4742.5740000000005</v>
      </c>
      <c r="K10" s="53">
        <v>8590.3760000000002</v>
      </c>
      <c r="L10" s="53">
        <v>10276.534</v>
      </c>
      <c r="M10" s="53">
        <v>7014.6779999999999</v>
      </c>
      <c r="N10" s="53">
        <v>42968.976999999999</v>
      </c>
      <c r="O10" s="53">
        <v>22451.135999999999</v>
      </c>
      <c r="P10" s="53">
        <v>28016.683000000001</v>
      </c>
      <c r="Q10" s="53">
        <v>31607.72</v>
      </c>
      <c r="R10" s="53">
        <v>26542.267</v>
      </c>
      <c r="S10" s="53">
        <v>34261.607000000004</v>
      </c>
      <c r="T10" s="53">
        <v>45035.993999999999</v>
      </c>
      <c r="U10" s="53">
        <v>34381.358</v>
      </c>
      <c r="V10" s="53">
        <v>6647.7</v>
      </c>
      <c r="W10" s="53">
        <v>19598.393</v>
      </c>
      <c r="X10" s="1">
        <v>14024.98</v>
      </c>
      <c r="Y10" s="1">
        <v>15816.954</v>
      </c>
      <c r="Z10" s="1">
        <v>15960.851000000001</v>
      </c>
      <c r="AA10" s="1">
        <v>16117.06</v>
      </c>
      <c r="AB10" s="1">
        <v>28237.048999999999</v>
      </c>
      <c r="AC10" s="1">
        <v>40755.110999999997</v>
      </c>
      <c r="AE10" s="1">
        <v>30121.14</v>
      </c>
    </row>
    <row r="11" spans="1:31">
      <c r="A11" s="1" t="s">
        <v>28</v>
      </c>
      <c r="B11" s="53"/>
      <c r="C11" s="53"/>
      <c r="D11" s="53">
        <v>0</v>
      </c>
      <c r="E11" s="53"/>
      <c r="F11" s="41">
        <v>0</v>
      </c>
      <c r="G11" s="53"/>
      <c r="H11" s="53"/>
      <c r="I11" s="53">
        <v>0</v>
      </c>
      <c r="J11" s="53">
        <f>2112.682+0</f>
        <v>2112.6819999999998</v>
      </c>
      <c r="K11" s="53">
        <v>5043.8999999999996</v>
      </c>
      <c r="L11" s="53">
        <v>6712.5</v>
      </c>
      <c r="M11" s="53">
        <v>6348.5</v>
      </c>
      <c r="N11" s="53">
        <v>6023.2</v>
      </c>
      <c r="O11" s="53">
        <v>5393.3</v>
      </c>
      <c r="P11" s="53">
        <v>1817.2170000000001</v>
      </c>
      <c r="Q11" s="53">
        <v>1760.576</v>
      </c>
      <c r="R11" s="53">
        <v>1762.6969999999999</v>
      </c>
      <c r="S11" s="53">
        <v>1748.1659999999999</v>
      </c>
      <c r="T11" s="53">
        <v>1816.9570000000001</v>
      </c>
      <c r="U11" s="53">
        <v>2273.002</v>
      </c>
      <c r="V11" s="53">
        <v>-0.5</v>
      </c>
      <c r="W11" s="53">
        <v>0</v>
      </c>
      <c r="X11" s="1">
        <v>0</v>
      </c>
      <c r="Y11" s="1">
        <v>0</v>
      </c>
      <c r="Z11" s="1">
        <v>0</v>
      </c>
      <c r="AA11" s="1">
        <v>0</v>
      </c>
      <c r="AB11" s="1">
        <v>0</v>
      </c>
      <c r="AC11" s="1">
        <v>0</v>
      </c>
      <c r="AE11" s="1">
        <v>0</v>
      </c>
    </row>
    <row r="12" spans="1:31">
      <c r="A12" s="1" t="s">
        <v>29</v>
      </c>
      <c r="B12" s="53">
        <v>1238</v>
      </c>
      <c r="C12" s="53">
        <v>814</v>
      </c>
      <c r="D12" s="53">
        <v>525</v>
      </c>
      <c r="E12" s="53">
        <f>5942.554+7709.351</f>
        <v>13651.904999999999</v>
      </c>
      <c r="F12" s="41">
        <v>8978.2450000000008</v>
      </c>
      <c r="G12" s="53">
        <f>3912.8+4529.335</f>
        <v>8442.1350000000002</v>
      </c>
      <c r="H12" s="53">
        <f>5364.609+499.726</f>
        <v>5864.335</v>
      </c>
      <c r="I12" s="53">
        <v>2152.5079999999998</v>
      </c>
      <c r="J12" s="53">
        <f>8372.82+4769.854</f>
        <v>13142.673999999999</v>
      </c>
      <c r="K12" s="53">
        <v>18075.435000000001</v>
      </c>
      <c r="L12" s="53">
        <v>18187.612000000001</v>
      </c>
      <c r="M12" s="53">
        <v>18582.933000000001</v>
      </c>
      <c r="N12" s="53">
        <v>109050.485</v>
      </c>
      <c r="O12" s="53">
        <v>98795.854000000007</v>
      </c>
      <c r="P12" s="53">
        <v>103650.697</v>
      </c>
      <c r="Q12" s="53">
        <v>103778.083</v>
      </c>
      <c r="R12" s="53">
        <v>115962.749</v>
      </c>
      <c r="S12" s="53">
        <v>104332.14200000001</v>
      </c>
      <c r="T12" s="53">
        <v>109051.649</v>
      </c>
      <c r="U12" s="53">
        <v>23853.698</v>
      </c>
      <c r="V12" s="53">
        <v>9779.6200000000008</v>
      </c>
      <c r="W12" s="53">
        <v>5724.6869999999999</v>
      </c>
      <c r="X12" s="1">
        <v>8197.5210000000006</v>
      </c>
      <c r="Y12" s="1">
        <v>3929.9389999999999</v>
      </c>
      <c r="Z12" s="1">
        <v>1163.9929999999999</v>
      </c>
      <c r="AA12" s="1">
        <v>7721.94</v>
      </c>
      <c r="AB12" s="1">
        <v>2101.7739999999999</v>
      </c>
      <c r="AC12" s="1">
        <v>7150.9690000000001</v>
      </c>
      <c r="AE12" s="1">
        <v>135112.29399999999</v>
      </c>
    </row>
    <row r="13" spans="1:31">
      <c r="A13" s="1" t="s">
        <v>30</v>
      </c>
      <c r="B13" s="53">
        <v>0</v>
      </c>
      <c r="C13" s="53">
        <v>0</v>
      </c>
      <c r="D13" s="53">
        <v>0</v>
      </c>
      <c r="E13" s="53">
        <f>338.653+438.648</f>
        <v>777.30100000000004</v>
      </c>
      <c r="F13" s="41">
        <v>373.88400000000001</v>
      </c>
      <c r="G13" s="53">
        <f>122.768+202.422</f>
        <v>325.19</v>
      </c>
      <c r="H13" s="53">
        <v>-76.59</v>
      </c>
      <c r="I13" s="53">
        <v>11.865</v>
      </c>
      <c r="J13" s="53">
        <f>0.829+11</f>
        <v>11.829000000000001</v>
      </c>
      <c r="K13" s="53">
        <v>34.845999999999997</v>
      </c>
      <c r="L13" s="53">
        <v>0</v>
      </c>
      <c r="M13" s="53">
        <v>-0.91200000000000003</v>
      </c>
      <c r="N13" s="53">
        <v>52230.523999999998</v>
      </c>
      <c r="O13" s="53">
        <v>45432.839</v>
      </c>
      <c r="P13" s="53">
        <v>49508.962</v>
      </c>
      <c r="Q13" s="53">
        <v>52201.137999999999</v>
      </c>
      <c r="R13" s="53">
        <v>50620.498</v>
      </c>
      <c r="S13" s="53">
        <v>57352.839</v>
      </c>
      <c r="T13" s="53">
        <v>45596.322999999997</v>
      </c>
      <c r="U13" s="53">
        <v>11183.159</v>
      </c>
      <c r="V13" s="53">
        <v>37900.733999999997</v>
      </c>
      <c r="W13" s="53">
        <v>62772.805999999997</v>
      </c>
      <c r="X13" s="1">
        <v>59197.008999999998</v>
      </c>
      <c r="Y13" s="1">
        <v>22169.656999999999</v>
      </c>
      <c r="Z13" s="1">
        <v>19041.323</v>
      </c>
      <c r="AA13" s="1">
        <v>17747.503000000001</v>
      </c>
      <c r="AB13" s="1">
        <v>40000.084999999999</v>
      </c>
      <c r="AC13" s="1">
        <v>28185.359</v>
      </c>
      <c r="AE13" s="1">
        <v>29850.046999999999</v>
      </c>
    </row>
    <row r="14" spans="1:31">
      <c r="A14" s="1" t="s">
        <v>31</v>
      </c>
      <c r="B14" s="53">
        <v>2512</v>
      </c>
      <c r="C14" s="53">
        <v>2545</v>
      </c>
      <c r="D14" s="53">
        <v>2425</v>
      </c>
      <c r="E14" s="53">
        <f>6459.993+1081.77</f>
        <v>7541.7630000000008</v>
      </c>
      <c r="F14" s="41">
        <v>11006.013999999999</v>
      </c>
      <c r="G14" s="53">
        <f>11082.066+530.571</f>
        <v>11612.637000000001</v>
      </c>
      <c r="H14" s="53">
        <f>10920.766+1784.584</f>
        <v>12705.35</v>
      </c>
      <c r="I14" s="53">
        <v>12792.116</v>
      </c>
      <c r="J14" s="53">
        <f>10593.446+2291.408</f>
        <v>12884.853999999999</v>
      </c>
      <c r="K14" s="53">
        <v>12114.293</v>
      </c>
      <c r="L14" s="53">
        <v>21397.4</v>
      </c>
      <c r="M14" s="53">
        <v>16888.757000000001</v>
      </c>
      <c r="N14" s="53">
        <v>3023.9</v>
      </c>
      <c r="O14" s="53">
        <v>2335.2289999999998</v>
      </c>
      <c r="P14" s="53">
        <v>3191.4119999999998</v>
      </c>
      <c r="Q14" s="53">
        <v>17053.884999999998</v>
      </c>
      <c r="R14" s="53">
        <v>17228.654999999999</v>
      </c>
      <c r="S14" s="53">
        <v>22467.713</v>
      </c>
      <c r="T14" s="53">
        <v>6327.2920000000004</v>
      </c>
      <c r="U14" s="53">
        <v>741.77800000000002</v>
      </c>
      <c r="V14" s="53">
        <v>13126.022999999999</v>
      </c>
      <c r="W14" s="53">
        <v>4573.1970000000001</v>
      </c>
      <c r="X14" s="1">
        <v>588.09400000000005</v>
      </c>
      <c r="Y14" s="1">
        <v>1029.6959999999999</v>
      </c>
      <c r="Z14" s="1">
        <v>640.15099999999995</v>
      </c>
      <c r="AA14" s="1">
        <v>4001.1570000000002</v>
      </c>
      <c r="AB14" s="1">
        <v>31784.793000000001</v>
      </c>
      <c r="AC14" s="1">
        <v>18252.456999999999</v>
      </c>
      <c r="AE14" s="1">
        <v>24585.052</v>
      </c>
    </row>
    <row r="15" spans="1:31">
      <c r="A15" s="1" t="s">
        <v>32</v>
      </c>
      <c r="B15" s="53">
        <v>405</v>
      </c>
      <c r="C15" s="53">
        <v>1431</v>
      </c>
      <c r="D15" s="53">
        <v>597</v>
      </c>
      <c r="E15" s="53">
        <f>326.013+(-12.443)</f>
        <v>313.57</v>
      </c>
      <c r="F15" s="41">
        <v>502.38</v>
      </c>
      <c r="G15" s="53">
        <f>792.042+110.346</f>
        <v>902.38800000000003</v>
      </c>
      <c r="H15" s="53">
        <f>381.576+-314.053</f>
        <v>67.523000000000025</v>
      </c>
      <c r="I15" s="53">
        <v>223.00700000000001</v>
      </c>
      <c r="J15" s="53">
        <f>322.084+529.1</f>
        <v>851.18399999999997</v>
      </c>
      <c r="K15" s="53">
        <v>157.21997999999957</v>
      </c>
      <c r="L15" s="53">
        <v>675.77200000000005</v>
      </c>
      <c r="M15" s="53">
        <v>-246.24199999999999</v>
      </c>
      <c r="N15" s="53">
        <v>10893.659</v>
      </c>
      <c r="O15" s="53">
        <v>14220.763000000001</v>
      </c>
      <c r="P15" s="53">
        <v>9901.3690000000006</v>
      </c>
      <c r="Q15" s="53">
        <v>16559.054</v>
      </c>
      <c r="R15" s="53">
        <v>25396.743999999999</v>
      </c>
      <c r="S15" s="53">
        <v>24326.008000000002</v>
      </c>
      <c r="T15" s="53">
        <v>28427.809000000001</v>
      </c>
      <c r="U15" s="53">
        <v>23139.749</v>
      </c>
      <c r="V15" s="53">
        <v>26942.688999999998</v>
      </c>
      <c r="W15" s="53">
        <v>18793.148000000001</v>
      </c>
      <c r="X15" s="1">
        <v>22335.455000000002</v>
      </c>
      <c r="Y15" s="1">
        <v>17228.692999999999</v>
      </c>
      <c r="Z15" s="1">
        <v>26586.726999999999</v>
      </c>
      <c r="AA15" s="1">
        <v>32161.132000000001</v>
      </c>
      <c r="AB15" s="1">
        <v>52393.13</v>
      </c>
      <c r="AC15" s="1">
        <v>44714.167999999998</v>
      </c>
      <c r="AE15" s="1">
        <v>25674.232</v>
      </c>
    </row>
    <row r="16" spans="1:31">
      <c r="A16" s="1" t="s">
        <v>33</v>
      </c>
      <c r="B16" s="53">
        <v>402</v>
      </c>
      <c r="C16" s="53">
        <v>350</v>
      </c>
      <c r="D16" s="53">
        <f>1685</f>
        <v>1685</v>
      </c>
      <c r="E16" s="53">
        <f>1278.112+2085.061</f>
        <v>3363.1730000000002</v>
      </c>
      <c r="F16" s="41">
        <v>3003.6840000000002</v>
      </c>
      <c r="G16" s="53">
        <f>1058.373+2724.909</f>
        <v>3783.2820000000002</v>
      </c>
      <c r="H16" s="53">
        <f>779.353+1734.6</f>
        <v>2513.953</v>
      </c>
      <c r="I16" s="53">
        <v>4789.9399999999996</v>
      </c>
      <c r="J16" s="53">
        <f>7615.798+3695.246</f>
        <v>11311.044</v>
      </c>
      <c r="K16" s="53">
        <v>8257.6239999999998</v>
      </c>
      <c r="L16" s="53">
        <v>9956.9879999999994</v>
      </c>
      <c r="M16" s="53">
        <v>14223.716</v>
      </c>
      <c r="N16" s="53">
        <v>48147.906999999999</v>
      </c>
      <c r="O16" s="53">
        <v>71511.745999999999</v>
      </c>
      <c r="P16" s="53">
        <v>65345.874000000003</v>
      </c>
      <c r="Q16" s="53">
        <v>73469.31</v>
      </c>
      <c r="R16" s="53">
        <v>77039.752999999997</v>
      </c>
      <c r="S16" s="53">
        <v>86126.770999999993</v>
      </c>
      <c r="T16" s="53">
        <v>94294.789000000004</v>
      </c>
      <c r="U16" s="53">
        <v>99310.115999999995</v>
      </c>
      <c r="V16" s="53">
        <v>86484.479000000007</v>
      </c>
      <c r="W16" s="53">
        <v>116945.93700000001</v>
      </c>
      <c r="X16" s="1">
        <v>67190.042000000001</v>
      </c>
      <c r="Y16" s="1">
        <v>68206.910999999993</v>
      </c>
      <c r="Z16" s="1">
        <v>68637.764999999999</v>
      </c>
      <c r="AA16" s="1">
        <v>62414.446000000004</v>
      </c>
      <c r="AB16" s="1">
        <v>76720.684999999998</v>
      </c>
      <c r="AC16" s="1">
        <v>135741.139</v>
      </c>
      <c r="AE16" s="1">
        <v>170483.149</v>
      </c>
    </row>
    <row r="17" spans="1:31">
      <c r="A17" s="1" t="s">
        <v>34</v>
      </c>
      <c r="B17" s="53">
        <v>585</v>
      </c>
      <c r="C17" s="53">
        <v>485</v>
      </c>
      <c r="D17" s="53">
        <v>447</v>
      </c>
      <c r="E17" s="53">
        <f>559.739+(-91.62)</f>
        <v>468.11900000000003</v>
      </c>
      <c r="F17" s="41">
        <v>-73.394000000000005</v>
      </c>
      <c r="G17" s="53">
        <f>645.19+-212.653</f>
        <v>432.53700000000003</v>
      </c>
      <c r="H17" s="53">
        <f>812.005+-8.899</f>
        <v>803.10599999999999</v>
      </c>
      <c r="I17" s="53">
        <v>1533.99</v>
      </c>
      <c r="J17" s="53">
        <f>1013.525+608.153</f>
        <v>1621.6779999999999</v>
      </c>
      <c r="K17" s="53">
        <v>1596.393</v>
      </c>
      <c r="L17" s="53">
        <v>2981.8049999999998</v>
      </c>
      <c r="M17" s="53">
        <v>5194.0969999999998</v>
      </c>
      <c r="N17" s="53">
        <v>5028.97</v>
      </c>
      <c r="O17" s="53">
        <v>39309.705000000002</v>
      </c>
      <c r="P17" s="53">
        <v>34582.891000000003</v>
      </c>
      <c r="Q17" s="53">
        <v>28676.917000000001</v>
      </c>
      <c r="R17" s="53">
        <v>43253.656000000003</v>
      </c>
      <c r="S17" s="53">
        <v>37206.936000000002</v>
      </c>
      <c r="T17" s="53">
        <v>47336.004000000001</v>
      </c>
      <c r="U17" s="53">
        <v>30723.553</v>
      </c>
      <c r="V17" s="53">
        <v>29920.483</v>
      </c>
      <c r="W17" s="53">
        <v>30580.36</v>
      </c>
      <c r="X17" s="1">
        <v>39974.046000000002</v>
      </c>
      <c r="Y17" s="1">
        <v>21573.543000000001</v>
      </c>
      <c r="Z17" s="1">
        <v>15654.842000000001</v>
      </c>
      <c r="AA17" s="1">
        <v>33493.165999999997</v>
      </c>
      <c r="AB17" s="1">
        <v>43924.989000000001</v>
      </c>
      <c r="AC17" s="1">
        <v>61451.942000000003</v>
      </c>
      <c r="AE17" s="1">
        <v>131128.70699999999</v>
      </c>
    </row>
    <row r="18" spans="1:31">
      <c r="A18" s="1" t="s">
        <v>35</v>
      </c>
      <c r="B18" s="53">
        <v>235</v>
      </c>
      <c r="C18" s="53">
        <v>389</v>
      </c>
      <c r="D18" s="53">
        <v>154</v>
      </c>
      <c r="E18" s="53">
        <f>202.459+727.701</f>
        <v>930.16000000000008</v>
      </c>
      <c r="F18" s="41">
        <v>1327.519</v>
      </c>
      <c r="G18" s="53">
        <f>331.216+463.688</f>
        <v>794.904</v>
      </c>
      <c r="H18" s="53">
        <f>361.938+1304.293</f>
        <v>1666.2309999999998</v>
      </c>
      <c r="I18" s="53">
        <v>1119.453</v>
      </c>
      <c r="J18" s="53">
        <f>44.601-62.957</f>
        <v>-18.356000000000002</v>
      </c>
      <c r="K18" s="53">
        <v>569.37800000000004</v>
      </c>
      <c r="L18" s="53">
        <v>3547.9009999999998</v>
      </c>
      <c r="M18" s="53">
        <v>1171.693</v>
      </c>
      <c r="N18" s="53">
        <v>50304.235999999997</v>
      </c>
      <c r="O18" s="53">
        <v>52829.254000000001</v>
      </c>
      <c r="P18" s="53">
        <v>60286.258999999998</v>
      </c>
      <c r="Q18" s="53">
        <v>63926.498</v>
      </c>
      <c r="R18" s="53">
        <v>67509.592999999993</v>
      </c>
      <c r="S18" s="53">
        <v>71655.785999999993</v>
      </c>
      <c r="T18" s="53">
        <v>76695.176999999996</v>
      </c>
      <c r="U18" s="53">
        <v>93572.438999999998</v>
      </c>
      <c r="V18" s="53">
        <v>72089.828999999998</v>
      </c>
      <c r="W18" s="53">
        <v>89351.967000000004</v>
      </c>
      <c r="X18" s="1">
        <v>84953.653000000006</v>
      </c>
      <c r="Y18" s="1">
        <v>68830.437999999995</v>
      </c>
      <c r="Z18" s="1">
        <v>71770.804999999993</v>
      </c>
      <c r="AA18" s="1">
        <v>81299.873999999996</v>
      </c>
      <c r="AB18" s="1">
        <v>151486.39600000001</v>
      </c>
      <c r="AC18" s="1">
        <v>206514.511</v>
      </c>
      <c r="AE18" s="1">
        <v>157513.95699999999</v>
      </c>
    </row>
    <row r="19" spans="1:31">
      <c r="A19" s="1" t="s">
        <v>36</v>
      </c>
      <c r="B19" s="53">
        <v>132</v>
      </c>
      <c r="C19" s="53">
        <v>183</v>
      </c>
      <c r="D19" s="53">
        <v>300</v>
      </c>
      <c r="E19" s="53">
        <f>280+126.136</f>
        <v>406.13599999999997</v>
      </c>
      <c r="F19" s="41">
        <v>3494.402</v>
      </c>
      <c r="G19" s="53">
        <f>664.728+-689.961</f>
        <v>-25.233000000000061</v>
      </c>
      <c r="H19" s="53">
        <f>400+528.806</f>
        <v>928.80600000000004</v>
      </c>
      <c r="I19" s="53">
        <v>7222.8980000000001</v>
      </c>
      <c r="J19" s="53">
        <f>1422.28+2666.451</f>
        <v>4088.7309999999998</v>
      </c>
      <c r="K19" s="53">
        <v>2166.0100000000002</v>
      </c>
      <c r="L19" s="53">
        <v>1403.586</v>
      </c>
      <c r="M19" s="53">
        <v>608.01599999999996</v>
      </c>
      <c r="N19" s="53">
        <v>40723.319000000003</v>
      </c>
      <c r="O19" s="53">
        <v>42017.576000000001</v>
      </c>
      <c r="P19" s="53">
        <v>37122.321000000004</v>
      </c>
      <c r="Q19" s="53">
        <v>36903.411999999997</v>
      </c>
      <c r="R19" s="53">
        <v>41930.205000000002</v>
      </c>
      <c r="S19" s="53">
        <v>55868.571000000004</v>
      </c>
      <c r="T19" s="53">
        <v>47385.281000000003</v>
      </c>
      <c r="U19" s="53">
        <v>39563.483</v>
      </c>
      <c r="V19" s="53">
        <v>37405.483</v>
      </c>
      <c r="W19" s="53">
        <v>23976.702000000001</v>
      </c>
      <c r="X19" s="1">
        <v>28016.35</v>
      </c>
      <c r="Y19" s="1">
        <v>21762.513999999999</v>
      </c>
      <c r="Z19" s="1">
        <v>16671.625</v>
      </c>
      <c r="AA19" s="1">
        <v>14128.264999999999</v>
      </c>
      <c r="AB19" s="1">
        <v>25784.066999999999</v>
      </c>
      <c r="AC19" s="1">
        <v>34275.885000000002</v>
      </c>
      <c r="AE19" s="1">
        <v>22941.659</v>
      </c>
    </row>
    <row r="20" spans="1:31">
      <c r="A20" s="1" t="s">
        <v>37</v>
      </c>
      <c r="B20" s="53">
        <v>6116</v>
      </c>
      <c r="C20" s="53">
        <v>6809</v>
      </c>
      <c r="D20" s="53">
        <v>6728</v>
      </c>
      <c r="E20" s="53">
        <f>191.316+4741.661</f>
        <v>4932.9769999999999</v>
      </c>
      <c r="F20" s="41">
        <v>3651.5729999999999</v>
      </c>
      <c r="G20" s="53">
        <f>443.293+6057.137</f>
        <v>6500.4299999999994</v>
      </c>
      <c r="H20" s="53">
        <f>364.165+4107.011</f>
        <v>4471.1760000000004</v>
      </c>
      <c r="I20" s="53">
        <v>4618.6419999999998</v>
      </c>
      <c r="J20" s="53">
        <f>257.564+3109.686</f>
        <v>3367.25</v>
      </c>
      <c r="K20" s="53">
        <v>2970.3879999999999</v>
      </c>
      <c r="L20" s="53">
        <v>13695.723</v>
      </c>
      <c r="M20" s="53">
        <v>12811.581</v>
      </c>
      <c r="N20" s="53">
        <v>22507.348000000002</v>
      </c>
      <c r="O20" s="53">
        <v>23985.092000000001</v>
      </c>
      <c r="P20" s="53">
        <v>24207.645</v>
      </c>
      <c r="Q20" s="53">
        <v>27876.073</v>
      </c>
      <c r="R20" s="53">
        <v>31450.191999999999</v>
      </c>
      <c r="S20" s="53">
        <v>34434.900999999998</v>
      </c>
      <c r="T20" s="53">
        <v>38755.317000000003</v>
      </c>
      <c r="U20" s="53">
        <v>3064.9059999999999</v>
      </c>
      <c r="V20" s="53">
        <v>5005.5649999999996</v>
      </c>
      <c r="W20" s="53">
        <v>9628.8169999999991</v>
      </c>
      <c r="X20" s="1">
        <v>7763.1009999999997</v>
      </c>
      <c r="Y20" s="1">
        <v>7717.73</v>
      </c>
      <c r="Z20" s="1">
        <v>7490.8909999999996</v>
      </c>
      <c r="AA20" s="1">
        <v>6650.3869999999997</v>
      </c>
      <c r="AB20" s="1">
        <v>27564.846000000001</v>
      </c>
      <c r="AC20" s="1">
        <v>11188.691999999999</v>
      </c>
      <c r="AE20" s="1">
        <v>47754.597000000002</v>
      </c>
    </row>
    <row r="21" spans="1:31" s="11" customFormat="1">
      <c r="A21" s="1" t="s">
        <v>38</v>
      </c>
      <c r="B21" s="53">
        <v>744</v>
      </c>
      <c r="C21" s="53">
        <v>1648</v>
      </c>
      <c r="D21" s="53">
        <v>1253</v>
      </c>
      <c r="E21" s="53">
        <f>176.227+1303.666</f>
        <v>1479.893</v>
      </c>
      <c r="F21" s="41">
        <v>4239.3069999999998</v>
      </c>
      <c r="G21" s="53">
        <f>681.312+4159.12</f>
        <v>4840.4319999999998</v>
      </c>
      <c r="H21" s="53">
        <f>304.949+5315.623</f>
        <v>5620.5719999999992</v>
      </c>
      <c r="I21" s="53">
        <v>3747.2</v>
      </c>
      <c r="J21" s="53">
        <f>243.805+2925.87</f>
        <v>3169.6749999999997</v>
      </c>
      <c r="K21" s="53">
        <v>4220.4170000000004</v>
      </c>
      <c r="L21" s="53">
        <v>4924.6760000000004</v>
      </c>
      <c r="M21" s="53">
        <v>4149.2719999999999</v>
      </c>
      <c r="N21" s="53">
        <v>17160.91</v>
      </c>
      <c r="O21" s="53">
        <v>15959.583000000001</v>
      </c>
      <c r="P21" s="53">
        <v>17310.203000000001</v>
      </c>
      <c r="Q21" s="53">
        <v>17118.142</v>
      </c>
      <c r="R21" s="53">
        <v>19248.965</v>
      </c>
      <c r="S21" s="53">
        <v>21500.728999999999</v>
      </c>
      <c r="T21" s="53">
        <v>23219.870999999999</v>
      </c>
      <c r="U21" s="53">
        <v>16856.689999999999</v>
      </c>
      <c r="V21" s="53">
        <v>24243.734</v>
      </c>
      <c r="W21" s="53">
        <v>7410.451</v>
      </c>
      <c r="X21" s="1">
        <v>7268.3559999999998</v>
      </c>
      <c r="Y21" s="1">
        <v>8369.7309999999998</v>
      </c>
      <c r="Z21" s="1">
        <v>7546.4979999999996</v>
      </c>
      <c r="AA21" s="1">
        <v>7986.94</v>
      </c>
      <c r="AB21" s="1">
        <v>50818.928999999996</v>
      </c>
      <c r="AC21" s="1">
        <v>44409.697</v>
      </c>
      <c r="AD21" s="1"/>
      <c r="AE21" s="1">
        <v>68233.332999999999</v>
      </c>
    </row>
    <row r="22" spans="1:31">
      <c r="A22" s="1" t="s">
        <v>39</v>
      </c>
      <c r="B22" s="53">
        <v>12752</v>
      </c>
      <c r="C22" s="53">
        <v>23333</v>
      </c>
      <c r="D22" s="53">
        <v>23309</v>
      </c>
      <c r="E22" s="53">
        <f>21323.278+14918.64</f>
        <v>36241.917999999998</v>
      </c>
      <c r="F22" s="41">
        <v>53311.355000000003</v>
      </c>
      <c r="G22" s="53">
        <f>24602.099+23485.365+8269.299</f>
        <v>56356.762999999999</v>
      </c>
      <c r="H22" s="53">
        <f>25835.615+19913.206</f>
        <v>45748.820999999996</v>
      </c>
      <c r="I22" s="53">
        <v>52741.434999999998</v>
      </c>
      <c r="J22" s="53">
        <f>33103.125+20125.266</f>
        <v>53228.391000000003</v>
      </c>
      <c r="K22" s="53">
        <v>71078.055999999997</v>
      </c>
      <c r="L22" s="53">
        <v>89438.763000000006</v>
      </c>
      <c r="M22" s="53">
        <v>83234.274999999994</v>
      </c>
      <c r="N22" s="53">
        <v>211903.859</v>
      </c>
      <c r="O22" s="53">
        <v>173777.139</v>
      </c>
      <c r="P22" s="53">
        <v>196946.774</v>
      </c>
      <c r="Q22" s="53">
        <v>218157.07500000001</v>
      </c>
      <c r="R22" s="53">
        <v>212029.69899999999</v>
      </c>
      <c r="S22" s="53">
        <v>221881.88200000001</v>
      </c>
      <c r="T22" s="53">
        <v>237047.26</v>
      </c>
      <c r="U22" s="53">
        <v>288047.97700000001</v>
      </c>
      <c r="V22" s="53">
        <v>104997.54700000001</v>
      </c>
      <c r="W22" s="53">
        <v>107835.539</v>
      </c>
      <c r="X22" s="1">
        <v>108584.247</v>
      </c>
      <c r="Y22" s="1">
        <v>122552.285</v>
      </c>
      <c r="Z22" s="1">
        <v>89046.888000000006</v>
      </c>
      <c r="AA22" s="1">
        <v>114450.86199999999</v>
      </c>
      <c r="AB22" s="1">
        <v>199775.739</v>
      </c>
      <c r="AC22" s="1">
        <v>235557.899</v>
      </c>
      <c r="AE22" s="1">
        <v>349938.43800000002</v>
      </c>
    </row>
    <row r="23" spans="1:31">
      <c r="A23" s="1" t="s">
        <v>40</v>
      </c>
      <c r="B23" s="53">
        <v>9</v>
      </c>
      <c r="C23" s="53">
        <v>21</v>
      </c>
      <c r="D23" s="53">
        <v>0</v>
      </c>
      <c r="E23" s="53">
        <f>22.296+1608.396</f>
        <v>1630.692</v>
      </c>
      <c r="F23" s="41">
        <v>5202.6769999999997</v>
      </c>
      <c r="G23" s="53">
        <f>32.703+1352.209</f>
        <v>1384.912</v>
      </c>
      <c r="H23" s="53">
        <f>58.855+923.478</f>
        <v>982.33299999999997</v>
      </c>
      <c r="I23" s="53">
        <v>370.40899999999999</v>
      </c>
      <c r="J23" s="53">
        <f>210.047+280.929</f>
        <v>490.976</v>
      </c>
      <c r="K23" s="53">
        <v>1105.5609999999999</v>
      </c>
      <c r="L23" s="53">
        <v>2409.308</v>
      </c>
      <c r="M23" s="53">
        <v>1498.106</v>
      </c>
      <c r="N23" s="53">
        <v>5032.3770000000004</v>
      </c>
      <c r="O23" s="53">
        <v>3387.665</v>
      </c>
      <c r="P23" s="53">
        <v>2720.8470000000002</v>
      </c>
      <c r="Q23" s="53">
        <v>3081.0070000000001</v>
      </c>
      <c r="R23" s="53">
        <v>3466.087</v>
      </c>
      <c r="S23" s="53">
        <v>3327.2379999999998</v>
      </c>
      <c r="T23" s="53">
        <v>7552.8819999999996</v>
      </c>
      <c r="U23" s="53">
        <v>2959.404</v>
      </c>
      <c r="V23" s="53">
        <v>1596.3720000000001</v>
      </c>
      <c r="W23" s="53">
        <v>4414.8720000000003</v>
      </c>
      <c r="X23" s="1">
        <v>1472.5360000000001</v>
      </c>
      <c r="Y23" s="1">
        <v>2101.741</v>
      </c>
      <c r="Z23" s="1">
        <v>1740.1890000000001</v>
      </c>
      <c r="AA23" s="1">
        <v>5531.4350000000004</v>
      </c>
      <c r="AB23" s="1">
        <v>5695.5280000000002</v>
      </c>
      <c r="AC23" s="1">
        <v>5392.1009999999997</v>
      </c>
      <c r="AE23" s="1">
        <v>24015.133000000002</v>
      </c>
    </row>
    <row r="24" spans="1:31">
      <c r="A24" s="23" t="s">
        <v>41</v>
      </c>
      <c r="B24" s="54">
        <v>0</v>
      </c>
      <c r="C24" s="54">
        <v>0</v>
      </c>
      <c r="D24" s="54">
        <v>0</v>
      </c>
      <c r="E24" s="54">
        <f>212+0+0</f>
        <v>212</v>
      </c>
      <c r="F24" s="44">
        <v>470</v>
      </c>
      <c r="G24" s="54">
        <f>437+227</f>
        <v>664</v>
      </c>
      <c r="H24" s="54">
        <f>502.252+379.626</f>
        <v>881.87799999999993</v>
      </c>
      <c r="I24" s="54">
        <v>394.79199999999997</v>
      </c>
      <c r="J24" s="54">
        <f>447.533-672.422</f>
        <v>-224.88900000000001</v>
      </c>
      <c r="K24" s="54">
        <v>927.61723999999856</v>
      </c>
      <c r="L24" s="54">
        <v>1140.365</v>
      </c>
      <c r="M24" s="54">
        <v>779.52800000000002</v>
      </c>
      <c r="N24" s="54">
        <v>1884.7719999999999</v>
      </c>
      <c r="O24" s="54">
        <v>1902.5650000000001</v>
      </c>
      <c r="P24" s="54">
        <v>1752.9570000000001</v>
      </c>
      <c r="Q24" s="54">
        <v>8989.3240000000005</v>
      </c>
      <c r="R24" s="54">
        <v>6817.6530000000002</v>
      </c>
      <c r="S24" s="54">
        <v>7420.9139999999998</v>
      </c>
      <c r="T24" s="54">
        <v>8093.7110000000002</v>
      </c>
      <c r="U24" s="54">
        <v>7478.7920000000004</v>
      </c>
      <c r="V24" s="54">
        <v>8522.4860000000008</v>
      </c>
      <c r="W24" s="54">
        <v>8966.0310000000009</v>
      </c>
      <c r="X24" s="23">
        <v>13925.972</v>
      </c>
      <c r="Y24" s="23">
        <v>12131.779</v>
      </c>
      <c r="Z24" s="23">
        <v>15791.117</v>
      </c>
      <c r="AA24" s="23">
        <v>10978.880999999999</v>
      </c>
      <c r="AB24" s="23">
        <v>18221.569</v>
      </c>
      <c r="AC24" s="23">
        <v>15876.31</v>
      </c>
      <c r="AD24" s="23"/>
      <c r="AE24" s="23">
        <v>17361.988000000001</v>
      </c>
    </row>
    <row r="25" spans="1:31">
      <c r="A25" s="7" t="s">
        <v>42</v>
      </c>
      <c r="B25" s="90">
        <f>SUM(B27:B39)</f>
        <v>0</v>
      </c>
      <c r="C25" s="90">
        <f t="shared" ref="C25:AC25" si="10">SUM(C27:C39)</f>
        <v>0</v>
      </c>
      <c r="D25" s="90">
        <f t="shared" si="10"/>
        <v>0</v>
      </c>
      <c r="E25" s="90">
        <f t="shared" si="10"/>
        <v>0</v>
      </c>
      <c r="F25" s="90">
        <f t="shared" si="10"/>
        <v>84990.706000000006</v>
      </c>
      <c r="G25" s="90">
        <f t="shared" si="10"/>
        <v>0</v>
      </c>
      <c r="H25" s="90">
        <f t="shared" si="10"/>
        <v>0</v>
      </c>
      <c r="I25" s="90">
        <f t="shared" si="10"/>
        <v>108695.643</v>
      </c>
      <c r="J25" s="90">
        <f t="shared" si="10"/>
        <v>0</v>
      </c>
      <c r="K25" s="90">
        <f t="shared" si="10"/>
        <v>154590.81818</v>
      </c>
      <c r="L25" s="90">
        <f t="shared" si="10"/>
        <v>182078.89299999998</v>
      </c>
      <c r="M25" s="90">
        <f t="shared" si="10"/>
        <v>195725.80200000003</v>
      </c>
      <c r="N25" s="90">
        <f t="shared" si="10"/>
        <v>308106.72399999999</v>
      </c>
      <c r="O25" s="90">
        <f t="shared" si="10"/>
        <v>528574.30599999998</v>
      </c>
      <c r="P25" s="90">
        <f t="shared" si="10"/>
        <v>737469.54200000002</v>
      </c>
      <c r="Q25" s="90">
        <f t="shared" si="10"/>
        <v>1035830.3969999998</v>
      </c>
      <c r="R25" s="90">
        <f t="shared" si="10"/>
        <v>1055244.851</v>
      </c>
      <c r="S25" s="90">
        <f t="shared" si="10"/>
        <v>1292765.2829999998</v>
      </c>
      <c r="T25" s="90">
        <f t="shared" si="10"/>
        <v>1418275.6779999998</v>
      </c>
      <c r="U25" s="90">
        <f t="shared" si="10"/>
        <v>1657640.0750000004</v>
      </c>
      <c r="V25" s="90">
        <f t="shared" si="10"/>
        <v>959492.84299999988</v>
      </c>
      <c r="W25" s="90">
        <f t="shared" si="10"/>
        <v>1158966.9730000005</v>
      </c>
      <c r="X25" s="90">
        <f t="shared" si="10"/>
        <v>1129305.223</v>
      </c>
      <c r="Y25" s="90">
        <f t="shared" si="10"/>
        <v>757581.12700000021</v>
      </c>
      <c r="Z25" s="90">
        <f t="shared" si="10"/>
        <v>763390.15099999984</v>
      </c>
      <c r="AA25" s="90">
        <f t="shared" si="10"/>
        <v>777702.71100000001</v>
      </c>
      <c r="AB25" s="90">
        <f t="shared" si="10"/>
        <v>1596977.0979999998</v>
      </c>
      <c r="AC25" s="90">
        <f t="shared" si="10"/>
        <v>1690915.024</v>
      </c>
      <c r="AD25" s="47">
        <f t="shared" ref="AD25:AE25" si="11">SUM(AD27:AD39)</f>
        <v>0</v>
      </c>
      <c r="AE25" s="47">
        <f t="shared" si="11"/>
        <v>2668031.7220000001</v>
      </c>
    </row>
    <row r="26" spans="1:31">
      <c r="A26" s="7" t="s">
        <v>97</v>
      </c>
      <c r="B26" s="53"/>
      <c r="C26" s="53"/>
      <c r="D26" s="53"/>
      <c r="E26" s="53"/>
      <c r="F26" s="53"/>
      <c r="G26" s="53"/>
      <c r="H26" s="53"/>
      <c r="I26" s="53"/>
      <c r="J26" s="53"/>
      <c r="K26" s="53"/>
      <c r="L26" s="53"/>
      <c r="M26" s="53"/>
      <c r="N26" s="53"/>
      <c r="O26" s="53"/>
      <c r="P26" s="53"/>
      <c r="Q26" s="53"/>
      <c r="R26" s="53"/>
      <c r="S26" s="53"/>
      <c r="T26" s="53"/>
      <c r="U26" s="53"/>
      <c r="V26" s="53"/>
      <c r="W26" s="53"/>
      <c r="X26" s="1">
        <v>0</v>
      </c>
      <c r="Y26" s="1">
        <v>0</v>
      </c>
      <c r="AB26" s="1">
        <v>0</v>
      </c>
      <c r="AC26" s="1">
        <v>0</v>
      </c>
    </row>
    <row r="27" spans="1:31">
      <c r="A27" s="1" t="s">
        <v>43</v>
      </c>
      <c r="B27" s="53"/>
      <c r="C27" s="53"/>
      <c r="D27" s="53"/>
      <c r="E27" s="53"/>
      <c r="F27" s="41">
        <v>30.266999999999999</v>
      </c>
      <c r="G27" s="53"/>
      <c r="H27" s="53"/>
      <c r="I27" s="53">
        <v>0</v>
      </c>
      <c r="J27" s="53"/>
      <c r="K27" s="53">
        <v>29.373000000000001</v>
      </c>
      <c r="L27" s="53">
        <v>132.113</v>
      </c>
      <c r="M27" s="53">
        <v>-11.156000000000001</v>
      </c>
      <c r="N27" s="53">
        <v>572.99800000000005</v>
      </c>
      <c r="O27" s="53">
        <v>723.197</v>
      </c>
      <c r="P27" s="53">
        <v>729.94299999999998</v>
      </c>
      <c r="Q27" s="53">
        <v>494.79500000000002</v>
      </c>
      <c r="R27" s="53">
        <v>1985.6790000000001</v>
      </c>
      <c r="S27" s="53">
        <v>550.01</v>
      </c>
      <c r="T27" s="53">
        <v>945.02800000000002</v>
      </c>
      <c r="U27" s="53">
        <v>156.48599999999999</v>
      </c>
      <c r="V27" s="53">
        <v>725.58600000000001</v>
      </c>
      <c r="W27" s="53">
        <v>150.328</v>
      </c>
      <c r="X27" s="1">
        <v>2428.2979999999998</v>
      </c>
      <c r="Y27" s="1">
        <v>48.192999999999998</v>
      </c>
      <c r="AB27" s="1">
        <v>671.38900000000001</v>
      </c>
      <c r="AC27" s="1">
        <v>805.20699999999999</v>
      </c>
      <c r="AE27" s="1">
        <v>663.35699999999997</v>
      </c>
    </row>
    <row r="28" spans="1:31">
      <c r="A28" s="1" t="s">
        <v>44</v>
      </c>
      <c r="B28" s="53"/>
      <c r="C28" s="53"/>
      <c r="D28" s="53"/>
      <c r="E28" s="53"/>
      <c r="F28" s="41">
        <v>4784.7929999999997</v>
      </c>
      <c r="G28" s="53"/>
      <c r="H28" s="53"/>
      <c r="I28" s="53">
        <v>7949.9110000000001</v>
      </c>
      <c r="J28" s="53"/>
      <c r="K28" s="53">
        <v>19957.75561</v>
      </c>
      <c r="L28" s="53">
        <v>22694.794999999998</v>
      </c>
      <c r="M28" s="53">
        <v>19338.370999999999</v>
      </c>
      <c r="N28" s="53">
        <v>31930.983</v>
      </c>
      <c r="O28" s="53">
        <v>62320.974999999999</v>
      </c>
      <c r="P28" s="53">
        <v>52873.139000000003</v>
      </c>
      <c r="Q28" s="53">
        <v>58803.326999999997</v>
      </c>
      <c r="R28" s="53">
        <v>56788.618000000002</v>
      </c>
      <c r="S28" s="53">
        <v>66809.394</v>
      </c>
      <c r="T28" s="53">
        <v>34985.445</v>
      </c>
      <c r="U28" s="53">
        <v>25559.316999999999</v>
      </c>
      <c r="V28" s="53">
        <v>10104.918</v>
      </c>
      <c r="W28" s="53">
        <v>2310.2130000000002</v>
      </c>
      <c r="X28" s="1">
        <v>8883.0450000000001</v>
      </c>
      <c r="Y28" s="1">
        <v>751.899</v>
      </c>
      <c r="Z28" s="1">
        <v>3114.22</v>
      </c>
      <c r="AA28" s="1">
        <v>6764.2120000000004</v>
      </c>
      <c r="AB28" s="1">
        <v>28684.493999999999</v>
      </c>
      <c r="AC28" s="1">
        <v>21835.993999999999</v>
      </c>
      <c r="AE28" s="1">
        <v>27440.423999999999</v>
      </c>
    </row>
    <row r="29" spans="1:31">
      <c r="A29" s="1" t="s">
        <v>45</v>
      </c>
      <c r="B29" s="53"/>
      <c r="C29" s="53"/>
      <c r="D29" s="53"/>
      <c r="E29" s="53"/>
      <c r="F29" s="41">
        <v>44219.936000000002</v>
      </c>
      <c r="G29" s="53"/>
      <c r="H29" s="53"/>
      <c r="I29" s="53">
        <v>54452.105000000003</v>
      </c>
      <c r="J29" s="53"/>
      <c r="K29" s="53">
        <v>74917.615319999997</v>
      </c>
      <c r="L29" s="53">
        <v>103527.367</v>
      </c>
      <c r="M29" s="53">
        <v>125703.632</v>
      </c>
      <c r="N29" s="53">
        <v>145356.89799999999</v>
      </c>
      <c r="O29" s="53">
        <v>306439.18300000002</v>
      </c>
      <c r="P29" s="53">
        <v>367465.94799999997</v>
      </c>
      <c r="Q29" s="53">
        <v>641489.87899999996</v>
      </c>
      <c r="R29" s="53">
        <v>676544.08100000001</v>
      </c>
      <c r="S29" s="53">
        <v>908718.81599999999</v>
      </c>
      <c r="T29" s="53">
        <v>1021134.916</v>
      </c>
      <c r="U29" s="53">
        <v>1163119.827</v>
      </c>
      <c r="V29" s="53">
        <v>710922.62300000002</v>
      </c>
      <c r="W29" s="53">
        <v>863891.91899999999</v>
      </c>
      <c r="X29" s="1">
        <v>790409</v>
      </c>
      <c r="Y29" s="1">
        <v>519348.647</v>
      </c>
      <c r="Z29" s="1">
        <v>568951.70200000005</v>
      </c>
      <c r="AA29" s="1">
        <v>628067.86699999997</v>
      </c>
      <c r="AB29" s="1">
        <v>1048542.178</v>
      </c>
      <c r="AC29" s="1">
        <v>1206074.0730000001</v>
      </c>
      <c r="AE29" s="1">
        <v>2022041.568</v>
      </c>
    </row>
    <row r="30" spans="1:31">
      <c r="A30" s="1" t="s">
        <v>46</v>
      </c>
      <c r="B30" s="53"/>
      <c r="C30" s="53"/>
      <c r="D30" s="53"/>
      <c r="E30" s="53"/>
      <c r="F30" s="41">
        <v>4238.442</v>
      </c>
      <c r="G30" s="53"/>
      <c r="H30" s="53"/>
      <c r="I30" s="53">
        <v>8792.0010000000002</v>
      </c>
      <c r="J30" s="53"/>
      <c r="K30" s="53">
        <v>7434.8370000000004</v>
      </c>
      <c r="L30" s="53">
        <v>6233.357</v>
      </c>
      <c r="M30" s="53">
        <v>5731.6580000000004</v>
      </c>
      <c r="N30" s="53">
        <v>31679.432000000001</v>
      </c>
      <c r="O30" s="53">
        <v>22756.431</v>
      </c>
      <c r="P30" s="53">
        <v>21786.945</v>
      </c>
      <c r="Q30" s="53">
        <v>31014.530999999999</v>
      </c>
      <c r="R30" s="53">
        <v>42529.305</v>
      </c>
      <c r="S30" s="53">
        <v>40613.855000000003</v>
      </c>
      <c r="T30" s="53">
        <v>48495.6</v>
      </c>
      <c r="U30" s="53">
        <v>43461.745999999999</v>
      </c>
      <c r="V30" s="53">
        <v>40913.881999999998</v>
      </c>
      <c r="W30" s="53">
        <v>39863.451999999997</v>
      </c>
      <c r="X30" s="1">
        <v>37953.103000000003</v>
      </c>
      <c r="Y30" s="1">
        <v>13340.097</v>
      </c>
      <c r="Z30" s="1">
        <v>11198.661</v>
      </c>
      <c r="AA30" s="1">
        <v>21844.18</v>
      </c>
      <c r="AB30" s="1">
        <v>83790.391000000003</v>
      </c>
      <c r="AC30" s="1">
        <v>90349.524000000005</v>
      </c>
      <c r="AE30" s="1">
        <v>81389.358999999997</v>
      </c>
    </row>
    <row r="31" spans="1:31">
      <c r="A31" s="1" t="s">
        <v>47</v>
      </c>
      <c r="B31" s="53"/>
      <c r="C31" s="53"/>
      <c r="D31" s="53"/>
      <c r="E31" s="53"/>
      <c r="F31" s="41">
        <v>111.339</v>
      </c>
      <c r="G31" s="53"/>
      <c r="H31" s="53"/>
      <c r="I31" s="53">
        <v>87.316999999999993</v>
      </c>
      <c r="J31" s="53"/>
      <c r="K31" s="53">
        <v>82.820999999999998</v>
      </c>
      <c r="L31" s="53">
        <v>26.884</v>
      </c>
      <c r="M31" s="53">
        <v>110.145</v>
      </c>
      <c r="N31" s="53">
        <v>14168.284</v>
      </c>
      <c r="O31" s="53">
        <v>13524.807000000001</v>
      </c>
      <c r="P31" s="53">
        <v>12006.495999999999</v>
      </c>
      <c r="Q31" s="53">
        <v>12513.347</v>
      </c>
      <c r="R31" s="53">
        <v>10742.573</v>
      </c>
      <c r="S31" s="53">
        <v>11405.29</v>
      </c>
      <c r="T31" s="53">
        <v>12840.769</v>
      </c>
      <c r="U31" s="53">
        <v>23127.55</v>
      </c>
      <c r="V31" s="53">
        <v>-4177.4709999999995</v>
      </c>
      <c r="W31" s="53">
        <v>4635.7290000000003</v>
      </c>
      <c r="X31" s="1">
        <v>4594.8999999999996</v>
      </c>
      <c r="Y31" s="1">
        <v>6636.1819999999998</v>
      </c>
      <c r="Z31" s="1">
        <v>797.428</v>
      </c>
      <c r="AA31" s="1">
        <v>276.666</v>
      </c>
      <c r="AB31" s="1">
        <v>92947.31</v>
      </c>
      <c r="AC31" s="1">
        <v>32116.666000000001</v>
      </c>
      <c r="AE31" s="1">
        <v>32636.028999999999</v>
      </c>
    </row>
    <row r="32" spans="1:31">
      <c r="A32" s="1" t="s">
        <v>48</v>
      </c>
      <c r="B32" s="53"/>
      <c r="C32" s="53"/>
      <c r="D32" s="53"/>
      <c r="E32" s="53"/>
      <c r="F32" s="41">
        <v>436.11200000000002</v>
      </c>
      <c r="G32" s="53"/>
      <c r="H32" s="53"/>
      <c r="I32" s="53">
        <v>632.99199999999996</v>
      </c>
      <c r="J32" s="53"/>
      <c r="K32" s="53">
        <v>752.846</v>
      </c>
      <c r="L32" s="53">
        <v>830.005</v>
      </c>
      <c r="M32" s="53">
        <v>804.24099999999999</v>
      </c>
      <c r="N32" s="53">
        <v>2153.739</v>
      </c>
      <c r="O32" s="53">
        <v>4847.2049999999999</v>
      </c>
      <c r="P32" s="53">
        <v>19580.038</v>
      </c>
      <c r="Q32" s="53">
        <v>19598.302</v>
      </c>
      <c r="R32" s="53">
        <v>18888.120999999999</v>
      </c>
      <c r="S32" s="53">
        <v>16633.064999999999</v>
      </c>
      <c r="T32" s="53">
        <v>18363.781999999999</v>
      </c>
      <c r="U32" s="53">
        <v>22076.814999999999</v>
      </c>
      <c r="V32" s="53">
        <v>50235.760999999999</v>
      </c>
      <c r="W32" s="53">
        <v>77676.925000000003</v>
      </c>
      <c r="X32" s="1">
        <v>91742.884999999995</v>
      </c>
      <c r="Y32" s="1">
        <v>24334.116000000002</v>
      </c>
      <c r="Z32" s="1">
        <v>15328.365</v>
      </c>
      <c r="AA32" s="1">
        <v>3868.1660000000002</v>
      </c>
      <c r="AB32" s="1">
        <v>14695.915999999999</v>
      </c>
      <c r="AC32" s="1">
        <v>19197.902999999998</v>
      </c>
      <c r="AE32" s="1">
        <v>25066.672999999999</v>
      </c>
    </row>
    <row r="33" spans="1:31">
      <c r="A33" s="1" t="s">
        <v>49</v>
      </c>
      <c r="B33" s="53"/>
      <c r="C33" s="53"/>
      <c r="D33" s="53"/>
      <c r="E33" s="53"/>
      <c r="F33" s="41">
        <v>50.76</v>
      </c>
      <c r="G33" s="53"/>
      <c r="H33" s="53"/>
      <c r="I33" s="53">
        <v>165.989</v>
      </c>
      <c r="J33" s="53"/>
      <c r="K33" s="53">
        <v>440.03500000000003</v>
      </c>
      <c r="L33" s="53">
        <v>248.16</v>
      </c>
      <c r="M33" s="53">
        <v>323.79500000000002</v>
      </c>
      <c r="N33" s="53">
        <v>1662.2270000000001</v>
      </c>
      <c r="O33" s="53">
        <v>2735.4749999999999</v>
      </c>
      <c r="P33" s="53">
        <v>8262.7559999999994</v>
      </c>
      <c r="Q33" s="53">
        <v>7777.0460000000003</v>
      </c>
      <c r="R33" s="53">
        <v>10395.99</v>
      </c>
      <c r="S33" s="53">
        <v>6196.125</v>
      </c>
      <c r="T33" s="53">
        <v>8796.1260000000002</v>
      </c>
      <c r="U33" s="53">
        <v>11151.267</v>
      </c>
      <c r="V33" s="53">
        <v>14396.708000000001</v>
      </c>
      <c r="W33" s="53">
        <v>12597.147999999999</v>
      </c>
      <c r="X33" s="1">
        <v>12812.593999999999</v>
      </c>
      <c r="Y33" s="1">
        <v>13714.772000000001</v>
      </c>
      <c r="Z33" s="1">
        <v>13516.036</v>
      </c>
      <c r="AA33" s="1">
        <v>9568.384</v>
      </c>
      <c r="AB33" s="1">
        <v>11615.433999999999</v>
      </c>
      <c r="AC33" s="1">
        <v>12647.55</v>
      </c>
      <c r="AE33" s="1">
        <v>12564.244000000001</v>
      </c>
    </row>
    <row r="34" spans="1:31">
      <c r="A34" s="1" t="s">
        <v>50</v>
      </c>
      <c r="B34" s="53"/>
      <c r="C34" s="53"/>
      <c r="D34" s="53"/>
      <c r="E34" s="53"/>
      <c r="F34" s="41">
        <v>-334.029</v>
      </c>
      <c r="G34" s="53"/>
      <c r="H34" s="53"/>
      <c r="I34" s="53">
        <v>68.975999999999999</v>
      </c>
      <c r="J34" s="53"/>
      <c r="K34" s="53">
        <v>124</v>
      </c>
      <c r="L34" s="53">
        <v>75</v>
      </c>
      <c r="M34" s="53">
        <v>-1515</v>
      </c>
      <c r="N34" s="53">
        <v>11758</v>
      </c>
      <c r="O34" s="53">
        <v>12312</v>
      </c>
      <c r="P34" s="53">
        <v>4692</v>
      </c>
      <c r="Q34" s="53">
        <v>4798</v>
      </c>
      <c r="R34" s="53">
        <v>4674.7749999999996</v>
      </c>
      <c r="S34" s="53">
        <v>3667</v>
      </c>
      <c r="T34" s="53">
        <v>3540</v>
      </c>
      <c r="U34" s="53">
        <v>18553</v>
      </c>
      <c r="V34" s="53">
        <v>12932.409</v>
      </c>
      <c r="W34" s="53">
        <v>11291</v>
      </c>
      <c r="X34" s="1">
        <v>4603</v>
      </c>
      <c r="Y34" s="1">
        <v>8305</v>
      </c>
      <c r="Z34" s="1">
        <v>8205</v>
      </c>
      <c r="AA34" s="1">
        <v>5422</v>
      </c>
      <c r="AB34" s="1">
        <v>18130</v>
      </c>
      <c r="AC34" s="1">
        <v>14986</v>
      </c>
      <c r="AE34" s="1">
        <v>10611</v>
      </c>
    </row>
    <row r="35" spans="1:31">
      <c r="A35" s="1" t="s">
        <v>51</v>
      </c>
      <c r="B35" s="53"/>
      <c r="C35" s="53"/>
      <c r="D35" s="53"/>
      <c r="E35" s="53"/>
      <c r="F35" s="41">
        <v>7066.3450000000003</v>
      </c>
      <c r="G35" s="53"/>
      <c r="H35" s="53"/>
      <c r="I35" s="53">
        <v>15192.86</v>
      </c>
      <c r="J35" s="53"/>
      <c r="K35" s="53">
        <v>21483.32199</v>
      </c>
      <c r="L35" s="53">
        <v>17526.962</v>
      </c>
      <c r="M35" s="53">
        <v>18274.962</v>
      </c>
      <c r="N35" s="53">
        <v>23697.241000000002</v>
      </c>
      <c r="O35" s="53">
        <v>32286.242999999999</v>
      </c>
      <c r="P35" s="53">
        <v>35491.466999999997</v>
      </c>
      <c r="Q35" s="53">
        <v>39314.101000000002</v>
      </c>
      <c r="R35" s="53">
        <v>41492.544999999998</v>
      </c>
      <c r="S35" s="53">
        <v>44721.561999999998</v>
      </c>
      <c r="T35" s="53">
        <v>56137.786999999997</v>
      </c>
      <c r="U35" s="53">
        <v>41416.572999999997</v>
      </c>
      <c r="V35" s="53">
        <v>37417.915999999997</v>
      </c>
      <c r="W35" s="53">
        <v>40979.832999999999</v>
      </c>
      <c r="X35" s="1">
        <v>34016.332000000002</v>
      </c>
      <c r="Y35" s="1">
        <v>33212.599000000002</v>
      </c>
      <c r="Z35" s="1">
        <v>17874.466</v>
      </c>
      <c r="AA35" s="1">
        <v>12637.404</v>
      </c>
      <c r="AB35" s="1">
        <v>40454.531000000003</v>
      </c>
      <c r="AC35" s="1">
        <v>38911.775999999998</v>
      </c>
      <c r="AE35" s="1">
        <v>154998.79300000001</v>
      </c>
    </row>
    <row r="36" spans="1:31">
      <c r="A36" s="1" t="s">
        <v>52</v>
      </c>
      <c r="B36" s="53"/>
      <c r="C36" s="53"/>
      <c r="D36" s="53"/>
      <c r="E36" s="53"/>
      <c r="F36" s="41">
        <v>21525.171999999999</v>
      </c>
      <c r="G36" s="53"/>
      <c r="H36" s="53"/>
      <c r="I36" s="53">
        <v>17073.142</v>
      </c>
      <c r="J36" s="53"/>
      <c r="K36" s="53">
        <v>23271.983199999999</v>
      </c>
      <c r="L36" s="53">
        <v>25247.391</v>
      </c>
      <c r="M36" s="53">
        <v>20841.384999999998</v>
      </c>
      <c r="N36" s="53">
        <v>31627.851999999999</v>
      </c>
      <c r="O36" s="53">
        <v>43707.233999999997</v>
      </c>
      <c r="P36" s="53">
        <v>52969.358</v>
      </c>
      <c r="Q36" s="53">
        <v>59716.097000000002</v>
      </c>
      <c r="R36" s="53">
        <v>70680.135999999999</v>
      </c>
      <c r="S36" s="53">
        <v>71965.426999999996</v>
      </c>
      <c r="T36" s="53">
        <v>76648.001000000004</v>
      </c>
      <c r="U36" s="53">
        <v>171138.959</v>
      </c>
      <c r="V36" s="53">
        <v>32093.665000000001</v>
      </c>
      <c r="W36" s="53">
        <v>39065.082999999999</v>
      </c>
      <c r="X36" s="1">
        <v>54453.514000000003</v>
      </c>
      <c r="Y36" s="1">
        <v>63449.209000000003</v>
      </c>
      <c r="Z36" s="1">
        <v>52596.817999999999</v>
      </c>
      <c r="AA36" s="1">
        <v>19841.911</v>
      </c>
      <c r="AB36" s="1">
        <v>147507.38099999999</v>
      </c>
      <c r="AC36" s="1">
        <v>91225.948000000004</v>
      </c>
      <c r="AE36" s="1">
        <v>108687.798</v>
      </c>
    </row>
    <row r="37" spans="1:31">
      <c r="A37" s="1" t="s">
        <v>53</v>
      </c>
      <c r="B37" s="53"/>
      <c r="C37" s="53"/>
      <c r="D37" s="53"/>
      <c r="E37" s="53"/>
      <c r="F37" s="41">
        <v>1942.069</v>
      </c>
      <c r="G37" s="53"/>
      <c r="H37" s="53"/>
      <c r="I37" s="53">
        <v>4106.2709999999997</v>
      </c>
      <c r="J37" s="53"/>
      <c r="K37" s="53">
        <v>5422.3339999999998</v>
      </c>
      <c r="L37" s="53">
        <v>3747.6210000000001</v>
      </c>
      <c r="M37" s="53">
        <v>3949.3150000000001</v>
      </c>
      <c r="N37" s="53">
        <v>10618.254000000001</v>
      </c>
      <c r="O37" s="53">
        <v>12002.011</v>
      </c>
      <c r="P37" s="53">
        <v>18364.153999999999</v>
      </c>
      <c r="Q37" s="53">
        <v>20026.780999999999</v>
      </c>
      <c r="R37" s="53">
        <v>22680.016</v>
      </c>
      <c r="S37" s="53">
        <v>20141.239000000001</v>
      </c>
      <c r="T37" s="53">
        <v>20677.371999999999</v>
      </c>
      <c r="U37" s="53">
        <v>16725.972000000002</v>
      </c>
      <c r="V37" s="53">
        <v>3849.3609999999999</v>
      </c>
      <c r="W37" s="53">
        <v>4898.5550000000003</v>
      </c>
      <c r="X37" s="1">
        <v>62.718000000000004</v>
      </c>
      <c r="Y37" s="1">
        <v>2E-3</v>
      </c>
      <c r="Z37" s="1">
        <v>10410.584999999999</v>
      </c>
      <c r="AA37" s="1">
        <v>12005.291999999999</v>
      </c>
      <c r="AB37" s="1">
        <v>0</v>
      </c>
      <c r="AC37" s="1">
        <v>0</v>
      </c>
      <c r="AE37" s="1">
        <v>5642.75</v>
      </c>
    </row>
    <row r="38" spans="1:31">
      <c r="A38" s="1" t="s">
        <v>54</v>
      </c>
      <c r="B38" s="53"/>
      <c r="C38" s="53"/>
      <c r="D38" s="53"/>
      <c r="E38" s="53"/>
      <c r="F38" s="41">
        <v>749.36800000000005</v>
      </c>
      <c r="G38" s="53"/>
      <c r="H38" s="53"/>
      <c r="I38" s="53">
        <v>55.25</v>
      </c>
      <c r="J38" s="53"/>
      <c r="K38" s="53">
        <v>623.15606000000082</v>
      </c>
      <c r="L38" s="53">
        <v>895.50099999999998</v>
      </c>
      <c r="M38" s="53">
        <v>1194.511</v>
      </c>
      <c r="N38" s="53">
        <v>2057.1289999999999</v>
      </c>
      <c r="O38" s="53">
        <v>4326.0169999999998</v>
      </c>
      <c r="P38" s="53">
        <v>130925.295</v>
      </c>
      <c r="Q38" s="53">
        <v>128054.889</v>
      </c>
      <c r="R38" s="53">
        <v>84613.014999999999</v>
      </c>
      <c r="S38" s="53">
        <v>83446.320999999996</v>
      </c>
      <c r="T38" s="53">
        <v>94614.561000000002</v>
      </c>
      <c r="U38" s="53">
        <v>97688.426000000007</v>
      </c>
      <c r="V38" s="53">
        <v>32101.082999999999</v>
      </c>
      <c r="W38" s="53">
        <v>41673.241999999998</v>
      </c>
      <c r="X38" s="1">
        <v>63249.637999999999</v>
      </c>
      <c r="Y38" s="1">
        <v>50724.285000000003</v>
      </c>
      <c r="Z38" s="1">
        <v>41690.160000000003</v>
      </c>
      <c r="AA38" s="1">
        <v>30695.924999999999</v>
      </c>
      <c r="AB38" s="1">
        <v>66333.744999999995</v>
      </c>
      <c r="AC38" s="1">
        <v>117567.105</v>
      </c>
      <c r="AE38" s="1">
        <v>144652.71599999999</v>
      </c>
    </row>
    <row r="39" spans="1:31">
      <c r="A39" s="23" t="s">
        <v>55</v>
      </c>
      <c r="B39" s="54"/>
      <c r="C39" s="54"/>
      <c r="D39" s="54"/>
      <c r="E39" s="54"/>
      <c r="F39" s="44">
        <v>170.13200000000001</v>
      </c>
      <c r="G39" s="54"/>
      <c r="H39" s="54"/>
      <c r="I39" s="54">
        <v>118.82899999999999</v>
      </c>
      <c r="J39" s="54"/>
      <c r="K39" s="54">
        <v>50.74</v>
      </c>
      <c r="L39" s="54">
        <v>893.73699999999997</v>
      </c>
      <c r="M39" s="54">
        <v>979.94299999999998</v>
      </c>
      <c r="N39" s="54">
        <v>823.68700000000001</v>
      </c>
      <c r="O39" s="54">
        <v>10593.528</v>
      </c>
      <c r="P39" s="54">
        <v>12322.003000000001</v>
      </c>
      <c r="Q39" s="54">
        <v>12229.302</v>
      </c>
      <c r="R39" s="54">
        <v>13229.996999999999</v>
      </c>
      <c r="S39" s="54">
        <v>17897.179</v>
      </c>
      <c r="T39" s="54">
        <v>21096.291000000001</v>
      </c>
      <c r="U39" s="54">
        <v>23464.136999999999</v>
      </c>
      <c r="V39" s="54">
        <v>17976.401999999998</v>
      </c>
      <c r="W39" s="54">
        <v>19933.545999999998</v>
      </c>
      <c r="X39" s="23">
        <v>24096.196</v>
      </c>
      <c r="Y39" s="23">
        <v>23716.126</v>
      </c>
      <c r="Z39" s="23">
        <v>19706.71</v>
      </c>
      <c r="AA39" s="23">
        <v>26710.704000000002</v>
      </c>
      <c r="AB39" s="23">
        <v>43604.328999999998</v>
      </c>
      <c r="AC39" s="23">
        <v>45197.277999999998</v>
      </c>
      <c r="AD39" s="23"/>
      <c r="AE39" s="23">
        <v>41637.010999999999</v>
      </c>
    </row>
    <row r="40" spans="1:31">
      <c r="A40" s="7" t="s">
        <v>56</v>
      </c>
      <c r="B40" s="90">
        <f>SUM(B42:B53)</f>
        <v>0</v>
      </c>
      <c r="C40" s="90">
        <f t="shared" ref="C40:AC40" si="12">SUM(C42:C53)</f>
        <v>0</v>
      </c>
      <c r="D40" s="90">
        <f t="shared" si="12"/>
        <v>0</v>
      </c>
      <c r="E40" s="90">
        <f t="shared" si="12"/>
        <v>0</v>
      </c>
      <c r="F40" s="90">
        <f t="shared" si="12"/>
        <v>70062.695999999996</v>
      </c>
      <c r="G40" s="90">
        <f t="shared" si="12"/>
        <v>0</v>
      </c>
      <c r="H40" s="90">
        <f t="shared" si="12"/>
        <v>0</v>
      </c>
      <c r="I40" s="90">
        <f t="shared" si="12"/>
        <v>70933.664000000004</v>
      </c>
      <c r="J40" s="90">
        <f t="shared" si="12"/>
        <v>0</v>
      </c>
      <c r="K40" s="90">
        <f t="shared" si="12"/>
        <v>118518.87787999997</v>
      </c>
      <c r="L40" s="90">
        <f t="shared" si="12"/>
        <v>154095.31099999999</v>
      </c>
      <c r="M40" s="90">
        <f t="shared" si="12"/>
        <v>183854.08099999995</v>
      </c>
      <c r="N40" s="90">
        <f t="shared" si="12"/>
        <v>305234.21100000001</v>
      </c>
      <c r="O40" s="90">
        <f t="shared" si="12"/>
        <v>516313.76300000004</v>
      </c>
      <c r="P40" s="90">
        <f t="shared" si="12"/>
        <v>653762.18900000001</v>
      </c>
      <c r="Q40" s="90">
        <f t="shared" si="12"/>
        <v>634843.73400000005</v>
      </c>
      <c r="R40" s="90">
        <f t="shared" si="12"/>
        <v>667455.71600000001</v>
      </c>
      <c r="S40" s="90">
        <f t="shared" si="12"/>
        <v>687093.66199999989</v>
      </c>
      <c r="T40" s="90">
        <f t="shared" si="12"/>
        <v>731338.9850000001</v>
      </c>
      <c r="U40" s="90">
        <f t="shared" si="12"/>
        <v>743603.79299999983</v>
      </c>
      <c r="V40" s="90">
        <f t="shared" si="12"/>
        <v>362971.49899999995</v>
      </c>
      <c r="W40" s="90">
        <f t="shared" si="12"/>
        <v>393968.22</v>
      </c>
      <c r="X40" s="90">
        <f t="shared" si="12"/>
        <v>335105.26999999996</v>
      </c>
      <c r="Y40" s="90">
        <f t="shared" si="12"/>
        <v>258412.27100000001</v>
      </c>
      <c r="Z40" s="90">
        <f t="shared" si="12"/>
        <v>240650.61900000004</v>
      </c>
      <c r="AA40" s="90">
        <f t="shared" si="12"/>
        <v>201310.51499999998</v>
      </c>
      <c r="AB40" s="90">
        <f t="shared" si="12"/>
        <v>684066.38100000005</v>
      </c>
      <c r="AC40" s="90">
        <f t="shared" si="12"/>
        <v>743194.75300000003</v>
      </c>
      <c r="AD40" s="47">
        <f t="shared" ref="AD40:AE40" si="13">SUM(AD42:AD53)</f>
        <v>0</v>
      </c>
      <c r="AE40" s="47">
        <f t="shared" si="13"/>
        <v>813968.7579999998</v>
      </c>
    </row>
    <row r="41" spans="1:31">
      <c r="A41" s="7" t="s">
        <v>97</v>
      </c>
      <c r="B41" s="53"/>
      <c r="C41" s="53"/>
      <c r="D41" s="53"/>
      <c r="E41" s="53"/>
      <c r="F41" s="53"/>
      <c r="G41" s="53"/>
      <c r="H41" s="53"/>
      <c r="I41" s="53"/>
      <c r="J41" s="53"/>
      <c r="K41" s="53"/>
      <c r="L41" s="53"/>
      <c r="M41" s="53"/>
      <c r="N41" s="53"/>
      <c r="O41" s="53"/>
      <c r="P41" s="53"/>
      <c r="Q41" s="53"/>
      <c r="R41" s="53"/>
      <c r="S41" s="53"/>
      <c r="T41" s="53"/>
      <c r="U41" s="53"/>
      <c r="V41" s="53"/>
      <c r="W41" s="53"/>
      <c r="X41" s="1">
        <v>0</v>
      </c>
      <c r="Y41" s="1">
        <v>0</v>
      </c>
      <c r="AB41" s="1">
        <v>0</v>
      </c>
      <c r="AC41" s="1">
        <v>0</v>
      </c>
    </row>
    <row r="42" spans="1:31">
      <c r="A42" s="1" t="s">
        <v>57</v>
      </c>
      <c r="B42" s="53"/>
      <c r="C42" s="53"/>
      <c r="D42" s="53"/>
      <c r="E42" s="53"/>
      <c r="F42" s="41">
        <v>29022.788</v>
      </c>
      <c r="G42" s="53"/>
      <c r="H42" s="53"/>
      <c r="I42" s="53">
        <v>5827.7690000000002</v>
      </c>
      <c r="J42" s="53"/>
      <c r="K42" s="53">
        <v>2652.07</v>
      </c>
      <c r="L42" s="53">
        <v>35272.019</v>
      </c>
      <c r="M42" s="53">
        <v>60090.288999999997</v>
      </c>
      <c r="N42" s="53">
        <v>104520.662</v>
      </c>
      <c r="O42" s="53">
        <v>128278.32</v>
      </c>
      <c r="P42" s="53">
        <v>220726.20600000001</v>
      </c>
      <c r="Q42" s="53">
        <v>169968.91200000001</v>
      </c>
      <c r="R42" s="53">
        <v>175688.83900000001</v>
      </c>
      <c r="S42" s="53">
        <v>172756.802</v>
      </c>
      <c r="T42" s="53">
        <v>194991.62899999999</v>
      </c>
      <c r="U42" s="53">
        <v>165070.95699999999</v>
      </c>
      <c r="V42" s="53">
        <v>121241.273</v>
      </c>
      <c r="W42" s="53">
        <v>120225.74800000001</v>
      </c>
      <c r="X42" s="1">
        <v>106935.632</v>
      </c>
      <c r="Y42" s="1">
        <v>56548.824999999997</v>
      </c>
      <c r="Z42" s="1">
        <v>56885.771999999997</v>
      </c>
      <c r="AA42" s="1">
        <v>48884.093999999997</v>
      </c>
      <c r="AB42" s="1">
        <v>269995.47499999998</v>
      </c>
      <c r="AC42" s="1">
        <v>293569.67200000002</v>
      </c>
      <c r="AE42" s="1">
        <v>386619.77</v>
      </c>
    </row>
    <row r="43" spans="1:31">
      <c r="A43" s="1" t="s">
        <v>58</v>
      </c>
      <c r="B43" s="53"/>
      <c r="C43" s="53"/>
      <c r="D43" s="53"/>
      <c r="E43" s="53"/>
      <c r="F43" s="41">
        <v>754.9</v>
      </c>
      <c r="G43" s="53"/>
      <c r="H43" s="53"/>
      <c r="I43" s="53">
        <v>255.38900000000001</v>
      </c>
      <c r="J43" s="53"/>
      <c r="K43" s="53">
        <v>7811.3590000000004</v>
      </c>
      <c r="L43" s="53">
        <v>89.385000000000005</v>
      </c>
      <c r="M43" s="53">
        <v>0</v>
      </c>
      <c r="N43" s="53">
        <v>19077.43</v>
      </c>
      <c r="O43" s="53">
        <v>8050.7280000000001</v>
      </c>
      <c r="P43" s="53">
        <v>14243.82</v>
      </c>
      <c r="Q43" s="53">
        <v>14731.073</v>
      </c>
      <c r="R43" s="53">
        <v>18205.25</v>
      </c>
      <c r="S43" s="53">
        <v>19388.385999999999</v>
      </c>
      <c r="T43" s="53">
        <v>21911.447</v>
      </c>
      <c r="U43" s="53">
        <v>20398.431</v>
      </c>
      <c r="V43" s="53">
        <v>852.04100000000005</v>
      </c>
      <c r="W43" s="53">
        <v>1051.451</v>
      </c>
      <c r="X43" s="1">
        <v>1092.5630000000001</v>
      </c>
      <c r="Y43" s="1">
        <v>984.95</v>
      </c>
      <c r="Z43" s="1">
        <v>909.745</v>
      </c>
      <c r="AA43" s="1">
        <v>789.16499999999996</v>
      </c>
      <c r="AB43" s="1">
        <v>86339.862999999998</v>
      </c>
      <c r="AC43" s="1">
        <v>1962.9459999999999</v>
      </c>
      <c r="AE43" s="1">
        <v>12358.588</v>
      </c>
    </row>
    <row r="44" spans="1:31">
      <c r="A44" s="1" t="s">
        <v>59</v>
      </c>
      <c r="B44" s="53"/>
      <c r="C44" s="53"/>
      <c r="D44" s="53"/>
      <c r="E44" s="53"/>
      <c r="F44" s="41">
        <v>2956.3470000000002</v>
      </c>
      <c r="G44" s="53"/>
      <c r="H44" s="53"/>
      <c r="I44" s="53">
        <v>2604.9409999999998</v>
      </c>
      <c r="J44" s="53"/>
      <c r="K44" s="53">
        <v>4196.0190000000002</v>
      </c>
      <c r="L44" s="53">
        <v>4785.6769999999997</v>
      </c>
      <c r="M44" s="53">
        <v>10580.566000000001</v>
      </c>
      <c r="N44" s="53">
        <v>5971.7169999999996</v>
      </c>
      <c r="O44" s="53">
        <v>43519.95</v>
      </c>
      <c r="P44" s="53">
        <v>46009.904999999999</v>
      </c>
      <c r="Q44" s="53">
        <v>47898.118000000002</v>
      </c>
      <c r="R44" s="53">
        <v>44618.044000000002</v>
      </c>
      <c r="S44" s="53">
        <v>49863.622000000003</v>
      </c>
      <c r="T44" s="53">
        <v>68388.327000000005</v>
      </c>
      <c r="U44" s="53">
        <v>76206.328999999998</v>
      </c>
      <c r="V44" s="53">
        <v>24080.36</v>
      </c>
      <c r="W44" s="53">
        <v>54172.161999999997</v>
      </c>
      <c r="X44" s="1">
        <v>48809.548999999999</v>
      </c>
      <c r="Y44" s="1">
        <v>46849.214999999997</v>
      </c>
      <c r="Z44" s="1">
        <v>39224.936000000002</v>
      </c>
      <c r="AA44" s="1">
        <v>34833.337</v>
      </c>
      <c r="AB44" s="1">
        <v>52556.792999999998</v>
      </c>
      <c r="AC44" s="1">
        <v>49086.728000000003</v>
      </c>
      <c r="AE44" s="1">
        <v>54624.307999999997</v>
      </c>
    </row>
    <row r="45" spans="1:31">
      <c r="A45" s="1" t="s">
        <v>60</v>
      </c>
      <c r="B45" s="53"/>
      <c r="C45" s="53"/>
      <c r="D45" s="53"/>
      <c r="E45" s="53"/>
      <c r="F45" s="41">
        <v>4247.3090000000002</v>
      </c>
      <c r="G45" s="53"/>
      <c r="H45" s="53"/>
      <c r="I45" s="53">
        <v>5662.04</v>
      </c>
      <c r="J45" s="53"/>
      <c r="K45" s="53">
        <v>4085.9380000000001</v>
      </c>
      <c r="L45" s="53">
        <v>4488</v>
      </c>
      <c r="M45" s="53">
        <v>4315.4369999999999</v>
      </c>
      <c r="N45" s="53">
        <v>9606.5679999999993</v>
      </c>
      <c r="O45" s="53">
        <v>19355.810000000001</v>
      </c>
      <c r="P45" s="53">
        <v>25750.561000000002</v>
      </c>
      <c r="Q45" s="53">
        <v>33441.707999999999</v>
      </c>
      <c r="R45" s="53">
        <v>45594.502</v>
      </c>
      <c r="S45" s="53">
        <v>41056.258000000002</v>
      </c>
      <c r="T45" s="53">
        <v>48167.053</v>
      </c>
      <c r="U45" s="53">
        <v>43027.652999999998</v>
      </c>
      <c r="V45" s="53">
        <v>36298.728999999999</v>
      </c>
      <c r="W45" s="53">
        <v>33313.773999999998</v>
      </c>
      <c r="X45" s="1">
        <v>37001.773999999998</v>
      </c>
      <c r="Y45" s="1">
        <v>35794.283000000003</v>
      </c>
      <c r="Z45" s="1">
        <v>34130</v>
      </c>
      <c r="AA45" s="1">
        <v>30240.687999999998</v>
      </c>
      <c r="AB45" s="1">
        <v>51748.898000000001</v>
      </c>
      <c r="AC45" s="1">
        <v>48796.294000000002</v>
      </c>
      <c r="AE45" s="1">
        <v>46717.108999999997</v>
      </c>
    </row>
    <row r="46" spans="1:31">
      <c r="A46" s="1" t="s">
        <v>61</v>
      </c>
      <c r="B46" s="53"/>
      <c r="C46" s="53"/>
      <c r="D46" s="53"/>
      <c r="E46" s="53"/>
      <c r="F46" s="41">
        <v>32709.842000000001</v>
      </c>
      <c r="G46" s="53"/>
      <c r="H46" s="53"/>
      <c r="I46" s="53">
        <v>24821.683000000001</v>
      </c>
      <c r="J46" s="53"/>
      <c r="K46" s="53">
        <v>43648.91332</v>
      </c>
      <c r="L46" s="53">
        <v>73505.328999999998</v>
      </c>
      <c r="M46" s="53">
        <v>73190.535999999993</v>
      </c>
      <c r="N46" s="53">
        <v>40706.112999999998</v>
      </c>
      <c r="O46" s="53">
        <v>96722.997000000003</v>
      </c>
      <c r="P46" s="53">
        <v>110756.81</v>
      </c>
      <c r="Q46" s="53">
        <v>114607.121</v>
      </c>
      <c r="R46" s="53">
        <v>120032.54700000001</v>
      </c>
      <c r="S46" s="53">
        <v>132148.22099999999</v>
      </c>
      <c r="T46" s="53">
        <v>150017.06099999999</v>
      </c>
      <c r="U46" s="53">
        <v>160764.505</v>
      </c>
      <c r="V46" s="53">
        <v>17485.699000000001</v>
      </c>
      <c r="W46" s="53">
        <v>17704.539000000001</v>
      </c>
      <c r="X46" s="1">
        <v>21052.098999999998</v>
      </c>
      <c r="Y46" s="1">
        <v>20029.061000000002</v>
      </c>
      <c r="Z46" s="1">
        <v>13350.967000000001</v>
      </c>
      <c r="AA46" s="1">
        <v>8684.49</v>
      </c>
      <c r="AB46" s="1">
        <v>43871.932000000001</v>
      </c>
      <c r="AC46" s="1">
        <v>34103.694000000003</v>
      </c>
      <c r="AE46" s="1">
        <v>199010.84700000001</v>
      </c>
    </row>
    <row r="47" spans="1:31">
      <c r="A47" s="1" t="s">
        <v>62</v>
      </c>
      <c r="B47" s="53"/>
      <c r="C47" s="53"/>
      <c r="D47" s="53"/>
      <c r="E47" s="53"/>
      <c r="F47" s="41">
        <v>-10328.815000000001</v>
      </c>
      <c r="G47" s="53"/>
      <c r="H47" s="53"/>
      <c r="I47" s="53">
        <v>366.90600000000001</v>
      </c>
      <c r="J47" s="53"/>
      <c r="K47" s="53">
        <v>2187.2649999999999</v>
      </c>
      <c r="L47" s="53">
        <v>0</v>
      </c>
      <c r="M47" s="53">
        <v>0</v>
      </c>
      <c r="N47" s="53">
        <v>0</v>
      </c>
      <c r="O47" s="53">
        <v>40403.883999999998</v>
      </c>
      <c r="P47" s="53">
        <v>41673.343999999997</v>
      </c>
      <c r="Q47" s="53">
        <v>43978.02</v>
      </c>
      <c r="R47" s="53">
        <v>43300.610999999997</v>
      </c>
      <c r="S47" s="53">
        <v>42853.915000000001</v>
      </c>
      <c r="T47" s="53">
        <v>47451.764000000003</v>
      </c>
      <c r="U47" s="53">
        <v>49870.978999999999</v>
      </c>
      <c r="V47" s="53">
        <v>1034</v>
      </c>
      <c r="W47" s="53">
        <v>824</v>
      </c>
      <c r="X47" s="1">
        <v>945</v>
      </c>
      <c r="Y47" s="1">
        <v>302</v>
      </c>
      <c r="Z47" s="1">
        <v>337</v>
      </c>
      <c r="AA47" s="1">
        <v>561</v>
      </c>
      <c r="AB47" s="1">
        <v>316</v>
      </c>
      <c r="AC47" s="1">
        <v>139511</v>
      </c>
      <c r="AE47" s="1">
        <v>-138480</v>
      </c>
    </row>
    <row r="48" spans="1:31">
      <c r="A48" s="1" t="s">
        <v>63</v>
      </c>
      <c r="B48" s="53"/>
      <c r="C48" s="53"/>
      <c r="D48" s="53"/>
      <c r="E48" s="53"/>
      <c r="F48" s="41">
        <v>1333.3869999999999</v>
      </c>
      <c r="G48" s="53"/>
      <c r="H48" s="53"/>
      <c r="I48" s="53">
        <v>3236.723</v>
      </c>
      <c r="J48" s="53"/>
      <c r="K48" s="53">
        <v>21081.58</v>
      </c>
      <c r="L48" s="53">
        <v>9190.4110000000001</v>
      </c>
      <c r="M48" s="53">
        <v>8412.5319999999992</v>
      </c>
      <c r="N48" s="53">
        <v>12403.427</v>
      </c>
      <c r="O48" s="53">
        <v>25263.746999999999</v>
      </c>
      <c r="P48" s="53">
        <v>23005.672999999999</v>
      </c>
      <c r="Q48" s="53">
        <v>25277.941999999999</v>
      </c>
      <c r="R48" s="53">
        <v>26597.953000000001</v>
      </c>
      <c r="S48" s="53">
        <v>31057.011999999999</v>
      </c>
      <c r="T48" s="53">
        <v>34317.413</v>
      </c>
      <c r="U48" s="53">
        <v>29039.731</v>
      </c>
      <c r="V48" s="53">
        <v>31459.062999999998</v>
      </c>
      <c r="W48" s="53">
        <v>8642.3889999999992</v>
      </c>
      <c r="X48" s="1">
        <v>7886.1909999999998</v>
      </c>
      <c r="Y48" s="1">
        <v>13188.468999999999</v>
      </c>
      <c r="Z48" s="1">
        <v>15996.366</v>
      </c>
      <c r="AA48" s="1">
        <v>13395.751</v>
      </c>
      <c r="AB48" s="1">
        <v>17355.519</v>
      </c>
      <c r="AC48" s="1">
        <v>23973.713</v>
      </c>
      <c r="AE48" s="1">
        <v>51098.661</v>
      </c>
    </row>
    <row r="49" spans="1:31">
      <c r="A49" s="1" t="s">
        <v>64</v>
      </c>
      <c r="B49" s="53"/>
      <c r="C49" s="53"/>
      <c r="D49" s="53"/>
      <c r="E49" s="53"/>
      <c r="F49" s="41">
        <v>69.055999999999997</v>
      </c>
      <c r="G49" s="53"/>
      <c r="H49" s="53"/>
      <c r="I49" s="53">
        <v>129.298</v>
      </c>
      <c r="J49" s="53"/>
      <c r="K49" s="53">
        <v>170.292</v>
      </c>
      <c r="L49" s="53">
        <v>539.23800000000006</v>
      </c>
      <c r="M49" s="53">
        <v>501.14499999999998</v>
      </c>
      <c r="N49" s="53">
        <v>4808.0990000000002</v>
      </c>
      <c r="O49" s="53">
        <v>10107.788</v>
      </c>
      <c r="P49" s="53">
        <v>10464.848</v>
      </c>
      <c r="Q49" s="53">
        <v>11257.962</v>
      </c>
      <c r="R49" s="53">
        <v>11456.368</v>
      </c>
      <c r="S49" s="53">
        <v>12944.486000000001</v>
      </c>
      <c r="T49" s="53">
        <v>13878.587</v>
      </c>
      <c r="U49" s="53">
        <v>15468.873</v>
      </c>
      <c r="V49" s="53">
        <v>4158.3519999999999</v>
      </c>
      <c r="W49" s="53">
        <v>16476.748</v>
      </c>
      <c r="X49" s="1">
        <v>13638.227999999999</v>
      </c>
      <c r="Y49" s="1">
        <v>9580.1010000000006</v>
      </c>
      <c r="Z49" s="1">
        <v>6677.8990000000003</v>
      </c>
      <c r="AA49" s="1">
        <v>3203.1909999999998</v>
      </c>
      <c r="AB49" s="1">
        <v>8213.5400000000009</v>
      </c>
      <c r="AC49" s="1">
        <v>6674.06</v>
      </c>
      <c r="AE49" s="1">
        <v>7297.8890000000001</v>
      </c>
    </row>
    <row r="50" spans="1:31">
      <c r="A50" s="1" t="s">
        <v>65</v>
      </c>
      <c r="B50" s="53"/>
      <c r="C50" s="53"/>
      <c r="D50" s="53"/>
      <c r="E50" s="53"/>
      <c r="F50" s="41">
        <v>575.39499999999998</v>
      </c>
      <c r="G50" s="53"/>
      <c r="H50" s="53"/>
      <c r="I50" s="53">
        <v>660.91899999999998</v>
      </c>
      <c r="J50" s="53"/>
      <c r="K50" s="53">
        <v>638.62056000000007</v>
      </c>
      <c r="L50" s="53">
        <v>1212.0360000000001</v>
      </c>
      <c r="M50" s="53">
        <v>424.37599999999998</v>
      </c>
      <c r="N50" s="53">
        <v>4316.2719999999999</v>
      </c>
      <c r="O50" s="53">
        <v>3931.3040000000001</v>
      </c>
      <c r="P50" s="53">
        <v>6798.2569999999996</v>
      </c>
      <c r="Q50" s="53">
        <v>7424.085</v>
      </c>
      <c r="R50" s="53">
        <v>7118.5110000000004</v>
      </c>
      <c r="S50" s="53">
        <v>10405.319</v>
      </c>
      <c r="T50" s="53">
        <v>6823.2950000000001</v>
      </c>
      <c r="U50" s="53">
        <v>10017.325000000001</v>
      </c>
      <c r="V50" s="53">
        <v>7720.1610000000001</v>
      </c>
      <c r="W50" s="53">
        <v>11499.023999999999</v>
      </c>
      <c r="X50" s="1">
        <v>11848.074000000001</v>
      </c>
      <c r="Y50" s="1">
        <v>8904.7900000000009</v>
      </c>
      <c r="Z50" s="1">
        <v>11913.101000000001</v>
      </c>
      <c r="AA50" s="1">
        <v>11649.050999999999</v>
      </c>
      <c r="AB50" s="1">
        <v>17287.154999999999</v>
      </c>
      <c r="AC50" s="1">
        <v>15512.145</v>
      </c>
      <c r="AE50" s="1">
        <v>20123.547999999999</v>
      </c>
    </row>
    <row r="51" spans="1:31">
      <c r="A51" s="1" t="s">
        <v>66</v>
      </c>
      <c r="B51" s="53"/>
      <c r="C51" s="53"/>
      <c r="D51" s="53"/>
      <c r="E51" s="53"/>
      <c r="F51" s="41">
        <v>8591.8119999999999</v>
      </c>
      <c r="G51" s="53"/>
      <c r="H51" s="53"/>
      <c r="I51" s="53">
        <v>27367.995999999999</v>
      </c>
      <c r="J51" s="53"/>
      <c r="K51" s="53">
        <v>31373.055</v>
      </c>
      <c r="L51" s="53">
        <v>21225.674999999999</v>
      </c>
      <c r="M51" s="53">
        <v>21529.557000000001</v>
      </c>
      <c r="N51" s="53">
        <v>65432.315000000002</v>
      </c>
      <c r="O51" s="53">
        <v>64701.364999999998</v>
      </c>
      <c r="P51" s="53">
        <v>62425.726999999999</v>
      </c>
      <c r="Q51" s="53">
        <v>64538.421999999999</v>
      </c>
      <c r="R51" s="53">
        <v>70960.544999999998</v>
      </c>
      <c r="S51" s="53">
        <v>72762.695999999996</v>
      </c>
      <c r="T51" s="53">
        <v>50614.288</v>
      </c>
      <c r="U51" s="53">
        <v>75013.740000000005</v>
      </c>
      <c r="V51" s="53">
        <v>34888.830999999998</v>
      </c>
      <c r="W51" s="53">
        <v>30629.264999999999</v>
      </c>
      <c r="X51" s="1">
        <v>23453.040000000001</v>
      </c>
      <c r="Y51" s="1">
        <v>14776.646000000001</v>
      </c>
      <c r="Z51" s="1">
        <v>19303.514999999999</v>
      </c>
      <c r="AA51" s="1">
        <v>16829.155999999999</v>
      </c>
      <c r="AB51" s="1">
        <v>33995.453000000001</v>
      </c>
      <c r="AC51" s="1">
        <v>46327.54</v>
      </c>
      <c r="AE51" s="1">
        <v>27611.13</v>
      </c>
    </row>
    <row r="52" spans="1:31">
      <c r="A52" s="1" t="s">
        <v>67</v>
      </c>
      <c r="B52" s="53"/>
      <c r="C52" s="53"/>
      <c r="D52" s="53"/>
      <c r="E52" s="53"/>
      <c r="F52" s="41">
        <v>0</v>
      </c>
      <c r="G52" s="53"/>
      <c r="H52" s="53"/>
      <c r="I52" s="53">
        <v>0</v>
      </c>
      <c r="J52" s="53"/>
      <c r="K52" s="53">
        <v>660.88099999999997</v>
      </c>
      <c r="L52" s="53">
        <v>538.06700000000001</v>
      </c>
      <c r="M52" s="53">
        <v>596.73400000000004</v>
      </c>
      <c r="N52" s="53">
        <v>554.73</v>
      </c>
      <c r="O52" s="53">
        <v>1278.423</v>
      </c>
      <c r="P52" s="53">
        <v>2577.8780000000002</v>
      </c>
      <c r="Q52" s="53">
        <v>10112.799000000001</v>
      </c>
      <c r="R52" s="53">
        <v>4062.1889999999999</v>
      </c>
      <c r="S52" s="53">
        <v>1483.0930000000001</v>
      </c>
      <c r="T52" s="53">
        <v>2780.2350000000001</v>
      </c>
      <c r="U52" s="53">
        <v>5503.3469999999998</v>
      </c>
      <c r="V52" s="53">
        <v>17476.907999999999</v>
      </c>
      <c r="W52" s="53">
        <v>20210.219000000001</v>
      </c>
      <c r="X52" s="1">
        <v>20044.602999999999</v>
      </c>
      <c r="Y52" s="1">
        <v>13942.612999999999</v>
      </c>
      <c r="Z52" s="1">
        <v>15079.861000000001</v>
      </c>
      <c r="AA52" s="1">
        <v>10163.087</v>
      </c>
      <c r="AB52" s="1">
        <v>45137.622000000003</v>
      </c>
      <c r="AC52" s="1">
        <v>15054.065000000001</v>
      </c>
      <c r="AE52" s="1">
        <v>11611.627</v>
      </c>
    </row>
    <row r="53" spans="1:31">
      <c r="A53" s="23" t="s">
        <v>68</v>
      </c>
      <c r="B53" s="54"/>
      <c r="C53" s="54"/>
      <c r="D53" s="54"/>
      <c r="E53" s="54"/>
      <c r="F53" s="44">
        <v>130.67500000000001</v>
      </c>
      <c r="G53" s="54"/>
      <c r="H53" s="54"/>
      <c r="I53" s="54">
        <v>0</v>
      </c>
      <c r="J53" s="54"/>
      <c r="K53" s="54">
        <v>12.885</v>
      </c>
      <c r="L53" s="54">
        <v>3249.4740000000002</v>
      </c>
      <c r="M53" s="54">
        <v>4212.9089999999997</v>
      </c>
      <c r="N53" s="54">
        <v>37836.877999999997</v>
      </c>
      <c r="O53" s="54">
        <v>74699.447</v>
      </c>
      <c r="P53" s="54">
        <v>89329.16</v>
      </c>
      <c r="Q53" s="54">
        <v>91607.572</v>
      </c>
      <c r="R53" s="54">
        <v>99820.357000000004</v>
      </c>
      <c r="S53" s="54">
        <v>100373.852</v>
      </c>
      <c r="T53" s="54">
        <v>91997.885999999999</v>
      </c>
      <c r="U53" s="54">
        <v>93221.922999999995</v>
      </c>
      <c r="V53" s="54">
        <v>66276.081999999995</v>
      </c>
      <c r="W53" s="54">
        <v>79218.900999999998</v>
      </c>
      <c r="X53" s="23">
        <v>42398.517</v>
      </c>
      <c r="Y53" s="23">
        <v>37511.317999999999</v>
      </c>
      <c r="Z53" s="23">
        <v>26841.456999999999</v>
      </c>
      <c r="AA53" s="23">
        <v>22077.505000000001</v>
      </c>
      <c r="AB53" s="23">
        <v>57248.131000000001</v>
      </c>
      <c r="AC53" s="23">
        <v>68622.895999999993</v>
      </c>
      <c r="AD53" s="23"/>
      <c r="AE53" s="23">
        <v>135375.28099999999</v>
      </c>
    </row>
    <row r="54" spans="1:31">
      <c r="A54" s="7" t="s">
        <v>69</v>
      </c>
      <c r="B54" s="90">
        <f>SUM(B56:B64)</f>
        <v>0</v>
      </c>
      <c r="C54" s="90">
        <f t="shared" ref="C54:AC54" si="14">SUM(C56:C64)</f>
        <v>0</v>
      </c>
      <c r="D54" s="90">
        <f t="shared" si="14"/>
        <v>0</v>
      </c>
      <c r="E54" s="90">
        <f t="shared" si="14"/>
        <v>0</v>
      </c>
      <c r="F54" s="90">
        <f t="shared" si="14"/>
        <v>33462.784999999996</v>
      </c>
      <c r="G54" s="90">
        <f t="shared" si="14"/>
        <v>0</v>
      </c>
      <c r="H54" s="90">
        <f t="shared" si="14"/>
        <v>0</v>
      </c>
      <c r="I54" s="90">
        <f t="shared" si="14"/>
        <v>32030.721999999998</v>
      </c>
      <c r="J54" s="90">
        <f t="shared" si="14"/>
        <v>0</v>
      </c>
      <c r="K54" s="90">
        <f t="shared" si="14"/>
        <v>32119.115330000001</v>
      </c>
      <c r="L54" s="90">
        <f t="shared" si="14"/>
        <v>36439.678</v>
      </c>
      <c r="M54" s="90">
        <f t="shared" si="14"/>
        <v>42637.027999999998</v>
      </c>
      <c r="N54" s="90">
        <f t="shared" si="14"/>
        <v>224146.65700000001</v>
      </c>
      <c r="O54" s="90">
        <f t="shared" si="14"/>
        <v>244094.94699999999</v>
      </c>
      <c r="P54" s="90">
        <f t="shared" si="14"/>
        <v>284111.25200000004</v>
      </c>
      <c r="Q54" s="90">
        <f t="shared" si="14"/>
        <v>294663.76</v>
      </c>
      <c r="R54" s="90">
        <f t="shared" si="14"/>
        <v>307669.78899999999</v>
      </c>
      <c r="S54" s="90">
        <f t="shared" si="14"/>
        <v>587226.07799999998</v>
      </c>
      <c r="T54" s="90">
        <f t="shared" si="14"/>
        <v>350904.46600000001</v>
      </c>
      <c r="U54" s="90">
        <f t="shared" si="14"/>
        <v>380171.163</v>
      </c>
      <c r="V54" s="90">
        <f t="shared" si="14"/>
        <v>244799.761</v>
      </c>
      <c r="W54" s="90">
        <f t="shared" si="14"/>
        <v>270084.375</v>
      </c>
      <c r="X54" s="90">
        <f t="shared" si="14"/>
        <v>304415.70500000002</v>
      </c>
      <c r="Y54" s="90">
        <f t="shared" si="14"/>
        <v>260202.92900000003</v>
      </c>
      <c r="Z54" s="90">
        <f t="shared" si="14"/>
        <v>308093.73500000004</v>
      </c>
      <c r="AA54" s="90">
        <f t="shared" si="14"/>
        <v>250197.74000000002</v>
      </c>
      <c r="AB54" s="90">
        <f t="shared" si="14"/>
        <v>542283.84100000001</v>
      </c>
      <c r="AC54" s="90">
        <f t="shared" si="14"/>
        <v>587132.34</v>
      </c>
      <c r="AD54" s="47">
        <f t="shared" ref="AD54:AE54" si="15">SUM(AD56:AD64)</f>
        <v>0</v>
      </c>
      <c r="AE54" s="47">
        <f t="shared" si="15"/>
        <v>722530.26399999997</v>
      </c>
    </row>
    <row r="55" spans="1:31">
      <c r="A55" s="7" t="s">
        <v>97</v>
      </c>
      <c r="B55" s="53"/>
      <c r="C55" s="53"/>
      <c r="D55" s="53"/>
      <c r="E55" s="53"/>
      <c r="F55" s="53"/>
      <c r="G55" s="53"/>
      <c r="H55" s="53"/>
      <c r="I55" s="53"/>
      <c r="J55" s="53"/>
      <c r="K55" s="53"/>
      <c r="L55" s="53"/>
      <c r="M55" s="53"/>
      <c r="N55" s="53"/>
      <c r="O55" s="53"/>
      <c r="P55" s="53"/>
      <c r="Q55" s="53"/>
      <c r="R55" s="53"/>
      <c r="S55" s="53"/>
      <c r="T55" s="53"/>
      <c r="U55" s="53"/>
      <c r="V55" s="53"/>
      <c r="W55" s="53"/>
      <c r="X55" s="1">
        <v>0</v>
      </c>
      <c r="Y55" s="1">
        <v>0</v>
      </c>
      <c r="AB55" s="1">
        <v>0</v>
      </c>
      <c r="AC55" s="1">
        <v>0</v>
      </c>
    </row>
    <row r="56" spans="1:31">
      <c r="A56" s="1" t="s">
        <v>70</v>
      </c>
      <c r="B56" s="53"/>
      <c r="C56" s="53"/>
      <c r="D56" s="53"/>
      <c r="E56" s="53"/>
      <c r="F56" s="41">
        <v>347.96699999999998</v>
      </c>
      <c r="G56" s="53"/>
      <c r="H56" s="53"/>
      <c r="I56" s="53">
        <v>0</v>
      </c>
      <c r="J56" s="53"/>
      <c r="K56" s="53">
        <v>0.74804000000003723</v>
      </c>
      <c r="L56" s="53">
        <v>-106.708</v>
      </c>
      <c r="M56" s="53">
        <v>2309.3739999999998</v>
      </c>
      <c r="N56" s="53">
        <v>9230.1299999999992</v>
      </c>
      <c r="O56" s="53">
        <v>14185.492</v>
      </c>
      <c r="P56" s="53">
        <v>16942.366999999998</v>
      </c>
      <c r="Q56" s="53">
        <v>15816.957</v>
      </c>
      <c r="R56" s="53">
        <v>16384.455000000002</v>
      </c>
      <c r="S56" s="53">
        <v>16596.646000000001</v>
      </c>
      <c r="T56" s="53">
        <v>20072.755000000001</v>
      </c>
      <c r="U56" s="53">
        <v>18966.558000000001</v>
      </c>
      <c r="V56" s="53">
        <v>6985.5039999999999</v>
      </c>
      <c r="W56" s="53">
        <v>6204.2179999999998</v>
      </c>
      <c r="X56" s="1">
        <v>4225.01</v>
      </c>
      <c r="Y56" s="1">
        <v>1137.154</v>
      </c>
      <c r="Z56" s="1">
        <v>8634.7260000000006</v>
      </c>
      <c r="AA56" s="1">
        <v>734.93299999999999</v>
      </c>
      <c r="AB56" s="1">
        <v>78477.214999999997</v>
      </c>
      <c r="AC56" s="1">
        <v>83261.491999999998</v>
      </c>
      <c r="AE56" s="1">
        <v>84527.066999999995</v>
      </c>
    </row>
    <row r="57" spans="1:31">
      <c r="A57" s="1" t="s">
        <v>71</v>
      </c>
      <c r="B57" s="53"/>
      <c r="C57" s="53"/>
      <c r="D57" s="53"/>
      <c r="E57" s="53"/>
      <c r="F57" s="41">
        <v>957.57899999999995</v>
      </c>
      <c r="G57" s="53"/>
      <c r="H57" s="53"/>
      <c r="I57" s="53">
        <v>670.05200000000002</v>
      </c>
      <c r="J57" s="53"/>
      <c r="K57" s="53">
        <v>54.158000000000001</v>
      </c>
      <c r="L57" s="53">
        <v>496.59300000000002</v>
      </c>
      <c r="M57" s="53">
        <v>171.09200000000001</v>
      </c>
      <c r="N57" s="53">
        <v>4845.8389999999999</v>
      </c>
      <c r="O57" s="53">
        <v>4923.1790000000001</v>
      </c>
      <c r="P57" s="53">
        <v>5908.6790000000001</v>
      </c>
      <c r="Q57" s="53">
        <v>6480.3969999999999</v>
      </c>
      <c r="R57" s="53">
        <v>6403.4709999999995</v>
      </c>
      <c r="S57" s="53">
        <v>6312.357</v>
      </c>
      <c r="T57" s="53">
        <v>7141.7449999999999</v>
      </c>
      <c r="U57" s="53">
        <v>0</v>
      </c>
      <c r="V57" s="53">
        <v>0</v>
      </c>
      <c r="W57" s="53">
        <v>0</v>
      </c>
      <c r="X57" s="1">
        <v>0</v>
      </c>
      <c r="Y57" s="1">
        <v>0</v>
      </c>
      <c r="Z57" s="1">
        <v>42.313000000000002</v>
      </c>
      <c r="AA57" s="1">
        <v>107.91200000000001</v>
      </c>
      <c r="AB57" s="1">
        <v>109.434</v>
      </c>
      <c r="AC57" s="1">
        <v>466.31700000000001</v>
      </c>
      <c r="AE57" s="1">
        <v>72</v>
      </c>
    </row>
    <row r="58" spans="1:31" s="11" customFormat="1">
      <c r="A58" s="1" t="s">
        <v>72</v>
      </c>
      <c r="B58" s="53"/>
      <c r="C58" s="53"/>
      <c r="D58" s="53"/>
      <c r="E58" s="53"/>
      <c r="F58" s="41">
        <v>1718.2239999999999</v>
      </c>
      <c r="G58" s="53"/>
      <c r="H58" s="53"/>
      <c r="I58" s="53">
        <v>2121.9050000000002</v>
      </c>
      <c r="J58" s="53"/>
      <c r="K58" s="53">
        <v>5211.9440000000004</v>
      </c>
      <c r="L58" s="53">
        <v>12257.06</v>
      </c>
      <c r="M58" s="53">
        <v>12968.996999999999</v>
      </c>
      <c r="N58" s="53">
        <v>20969.328000000001</v>
      </c>
      <c r="O58" s="53">
        <v>22370.519</v>
      </c>
      <c r="P58" s="53">
        <v>22765.974999999999</v>
      </c>
      <c r="Q58" s="53">
        <v>24507.537</v>
      </c>
      <c r="R58" s="53">
        <v>29571.615000000002</v>
      </c>
      <c r="S58" s="53">
        <v>28260.973000000002</v>
      </c>
      <c r="T58" s="53">
        <v>29695.260999999999</v>
      </c>
      <c r="U58" s="53">
        <v>30741.304</v>
      </c>
      <c r="V58" s="53">
        <v>14173.692999999999</v>
      </c>
      <c r="W58" s="53">
        <v>10841.844999999999</v>
      </c>
      <c r="X58" s="1">
        <v>11014.159</v>
      </c>
      <c r="Y58" s="1">
        <v>9906.0380000000005</v>
      </c>
      <c r="Z58" s="1">
        <v>12367.736999999999</v>
      </c>
      <c r="AA58" s="1">
        <v>5581.03</v>
      </c>
      <c r="AB58" s="1">
        <v>38117.063000000002</v>
      </c>
      <c r="AC58" s="1">
        <v>51568.305999999997</v>
      </c>
      <c r="AD58" s="1"/>
      <c r="AE58" s="1">
        <v>49900.277999999998</v>
      </c>
    </row>
    <row r="59" spans="1:31">
      <c r="A59" s="1" t="s">
        <v>73</v>
      </c>
      <c r="B59" s="53"/>
      <c r="C59" s="53"/>
      <c r="D59" s="53"/>
      <c r="E59" s="53"/>
      <c r="F59" s="41">
        <v>0</v>
      </c>
      <c r="G59" s="53"/>
      <c r="H59" s="53"/>
      <c r="I59" s="53">
        <v>0</v>
      </c>
      <c r="J59" s="53"/>
      <c r="K59" s="53">
        <v>0</v>
      </c>
      <c r="L59" s="53">
        <v>0</v>
      </c>
      <c r="M59" s="53">
        <v>0</v>
      </c>
      <c r="N59" s="53">
        <v>0</v>
      </c>
      <c r="O59" s="53">
        <v>0</v>
      </c>
      <c r="P59" s="53">
        <v>8472.9740000000002</v>
      </c>
      <c r="Q59" s="53">
        <v>1087.229</v>
      </c>
      <c r="R59" s="53">
        <v>2448.3989999999999</v>
      </c>
      <c r="S59" s="53">
        <v>2083.712</v>
      </c>
      <c r="T59" s="53">
        <v>2854.4580000000001</v>
      </c>
      <c r="U59" s="53">
        <v>3112.3330000000001</v>
      </c>
      <c r="V59" s="53">
        <v>-201.77099999999999</v>
      </c>
      <c r="W59" s="53">
        <v>0</v>
      </c>
      <c r="X59" s="1">
        <v>0</v>
      </c>
      <c r="Y59" s="1">
        <v>0</v>
      </c>
      <c r="Z59" s="1">
        <v>1E-3</v>
      </c>
      <c r="AA59" s="1">
        <v>0</v>
      </c>
      <c r="AB59" s="1">
        <v>24810.9</v>
      </c>
      <c r="AC59" s="1">
        <v>13836.607</v>
      </c>
      <c r="AE59" s="1">
        <v>11804.361000000001</v>
      </c>
    </row>
    <row r="60" spans="1:31">
      <c r="A60" s="1" t="s">
        <v>74</v>
      </c>
      <c r="B60" s="53"/>
      <c r="C60" s="53"/>
      <c r="D60" s="53"/>
      <c r="E60" s="53"/>
      <c r="F60" s="41">
        <v>12561.564</v>
      </c>
      <c r="G60" s="53"/>
      <c r="H60" s="53"/>
      <c r="I60" s="53">
        <v>11357.191999999999</v>
      </c>
      <c r="J60" s="53"/>
      <c r="K60" s="53">
        <v>7694.2650000000003</v>
      </c>
      <c r="L60" s="53">
        <v>10334.960999999999</v>
      </c>
      <c r="M60" s="53">
        <v>8256.1679999999997</v>
      </c>
      <c r="N60" s="53">
        <v>40698.92</v>
      </c>
      <c r="O60" s="53">
        <v>48305.86</v>
      </c>
      <c r="P60" s="53">
        <v>67782.97</v>
      </c>
      <c r="Q60" s="53">
        <v>69482.115999999995</v>
      </c>
      <c r="R60" s="53">
        <v>65704.048999999999</v>
      </c>
      <c r="S60" s="53">
        <v>62562.758999999998</v>
      </c>
      <c r="T60" s="53">
        <v>50203.785000000003</v>
      </c>
      <c r="U60" s="53">
        <v>80996.28</v>
      </c>
      <c r="V60" s="53">
        <v>62514.203999999998</v>
      </c>
      <c r="W60" s="53">
        <v>70207.297999999995</v>
      </c>
      <c r="X60" s="1">
        <v>68238.017000000007</v>
      </c>
      <c r="Y60" s="1">
        <v>88631.504000000001</v>
      </c>
      <c r="Z60" s="1">
        <v>77983.629000000001</v>
      </c>
      <c r="AA60" s="1">
        <v>89411.793999999994</v>
      </c>
      <c r="AB60" s="1">
        <v>172746.64799999999</v>
      </c>
      <c r="AC60" s="1">
        <v>142793.85699999999</v>
      </c>
      <c r="AE60" s="1">
        <v>180871.67</v>
      </c>
    </row>
    <row r="61" spans="1:31">
      <c r="A61" s="1" t="s">
        <v>75</v>
      </c>
      <c r="B61" s="53"/>
      <c r="C61" s="53"/>
      <c r="D61" s="53"/>
      <c r="E61" s="53"/>
      <c r="F61" s="41">
        <v>8390.8459999999995</v>
      </c>
      <c r="G61" s="53"/>
      <c r="H61" s="53"/>
      <c r="I61" s="53">
        <v>10388.255999999999</v>
      </c>
      <c r="J61" s="53"/>
      <c r="K61" s="53">
        <v>8868.4429999999993</v>
      </c>
      <c r="L61" s="53">
        <v>3637.4639999999999</v>
      </c>
      <c r="M61" s="53">
        <v>9840.7999999999993</v>
      </c>
      <c r="N61" s="53">
        <v>96714.028999999995</v>
      </c>
      <c r="O61" s="53">
        <v>97713.07</v>
      </c>
      <c r="P61" s="53">
        <v>92472.322</v>
      </c>
      <c r="Q61" s="53">
        <v>107129.565</v>
      </c>
      <c r="R61" s="53">
        <v>108475.023</v>
      </c>
      <c r="S61" s="53">
        <v>396428.65299999999</v>
      </c>
      <c r="T61" s="53">
        <v>159858.87400000001</v>
      </c>
      <c r="U61" s="53">
        <v>172729.3</v>
      </c>
      <c r="V61" s="53">
        <v>99193.16</v>
      </c>
      <c r="W61" s="53">
        <v>119921.863</v>
      </c>
      <c r="X61" s="1">
        <v>135188.791</v>
      </c>
      <c r="Y61" s="1">
        <v>98606.982000000004</v>
      </c>
      <c r="Z61" s="1">
        <v>141735.22200000001</v>
      </c>
      <c r="AA61" s="1">
        <v>91449.444000000003</v>
      </c>
      <c r="AB61" s="1">
        <v>146464.64199999999</v>
      </c>
      <c r="AC61" s="1">
        <v>190052.57399999999</v>
      </c>
      <c r="AE61" s="1">
        <v>283733.82299999997</v>
      </c>
    </row>
    <row r="62" spans="1:31">
      <c r="A62" s="1" t="s">
        <v>76</v>
      </c>
      <c r="B62" s="53"/>
      <c r="C62" s="53"/>
      <c r="D62" s="53"/>
      <c r="E62" s="53"/>
      <c r="F62" s="41">
        <v>7956.54</v>
      </c>
      <c r="G62" s="53"/>
      <c r="H62" s="53"/>
      <c r="I62" s="53">
        <v>7007.5280000000002</v>
      </c>
      <c r="J62" s="53"/>
      <c r="K62" s="53">
        <v>10323.843289999999</v>
      </c>
      <c r="L62" s="53">
        <v>9897.4840000000004</v>
      </c>
      <c r="M62" s="53">
        <v>8993.8349999999991</v>
      </c>
      <c r="N62" s="53">
        <v>49080.438999999998</v>
      </c>
      <c r="O62" s="53">
        <v>53781.794000000002</v>
      </c>
      <c r="P62" s="53">
        <v>66981.197</v>
      </c>
      <c r="Q62" s="53">
        <v>67637.653999999995</v>
      </c>
      <c r="R62" s="53">
        <v>75694.434999999998</v>
      </c>
      <c r="S62" s="53">
        <v>71843.14</v>
      </c>
      <c r="T62" s="53">
        <v>77769.054000000004</v>
      </c>
      <c r="U62" s="53">
        <v>68517.914999999994</v>
      </c>
      <c r="V62" s="53">
        <v>62015.476999999999</v>
      </c>
      <c r="W62" s="53">
        <v>62909.150999999998</v>
      </c>
      <c r="X62" s="1">
        <v>85749.728000000003</v>
      </c>
      <c r="Y62" s="1">
        <v>61921.249000000003</v>
      </c>
      <c r="Z62" s="1">
        <v>67330.107000000004</v>
      </c>
      <c r="AA62" s="1">
        <v>62912.627</v>
      </c>
      <c r="AB62" s="1">
        <v>81557.938999999998</v>
      </c>
      <c r="AC62" s="1">
        <v>105153.186</v>
      </c>
      <c r="AE62" s="1">
        <v>107758.538</v>
      </c>
    </row>
    <row r="63" spans="1:31">
      <c r="A63" s="1" t="s">
        <v>77</v>
      </c>
      <c r="B63" s="53"/>
      <c r="C63" s="53"/>
      <c r="D63" s="53"/>
      <c r="E63" s="53"/>
      <c r="F63" s="41">
        <v>984.63599999999997</v>
      </c>
      <c r="G63" s="53"/>
      <c r="H63" s="53"/>
      <c r="I63" s="53">
        <v>486.58699999999999</v>
      </c>
      <c r="J63" s="53"/>
      <c r="K63" s="53">
        <v>50.959000000000003</v>
      </c>
      <c r="L63" s="53">
        <v>0</v>
      </c>
      <c r="M63" s="53">
        <v>0</v>
      </c>
      <c r="N63" s="53">
        <v>2556.06</v>
      </c>
      <c r="O63" s="53">
        <v>2755.7150000000001</v>
      </c>
      <c r="P63" s="53">
        <v>2696.1990000000001</v>
      </c>
      <c r="Q63" s="53">
        <v>2654.0590000000002</v>
      </c>
      <c r="R63" s="53">
        <v>2769.0329999999999</v>
      </c>
      <c r="S63" s="53">
        <v>2942.1370000000002</v>
      </c>
      <c r="T63" s="53">
        <v>3134.2730000000001</v>
      </c>
      <c r="U63" s="53">
        <v>3216.3910000000001</v>
      </c>
      <c r="V63" s="53">
        <v>119.494</v>
      </c>
      <c r="W63" s="53">
        <v>0</v>
      </c>
      <c r="X63" s="1">
        <v>0</v>
      </c>
      <c r="Y63" s="1">
        <v>0</v>
      </c>
      <c r="Z63" s="1">
        <v>0</v>
      </c>
      <c r="AA63" s="1">
        <v>0</v>
      </c>
      <c r="AB63" s="1">
        <v>0</v>
      </c>
      <c r="AC63" s="1">
        <v>0</v>
      </c>
      <c r="AE63" s="1">
        <v>3862.5259999999998</v>
      </c>
    </row>
    <row r="64" spans="1:31">
      <c r="A64" s="23" t="s">
        <v>78</v>
      </c>
      <c r="B64" s="54"/>
      <c r="C64" s="54"/>
      <c r="D64" s="54"/>
      <c r="E64" s="54"/>
      <c r="F64" s="44">
        <v>545.42899999999997</v>
      </c>
      <c r="G64" s="54"/>
      <c r="H64" s="54"/>
      <c r="I64" s="54">
        <v>-0.79800000000000004</v>
      </c>
      <c r="J64" s="54"/>
      <c r="K64" s="54">
        <v>-85.245000000000005</v>
      </c>
      <c r="L64" s="54">
        <v>-77.176000000000002</v>
      </c>
      <c r="M64" s="54">
        <v>96.762</v>
      </c>
      <c r="N64" s="54">
        <v>51.911999999999999</v>
      </c>
      <c r="O64" s="54">
        <v>59.317999999999998</v>
      </c>
      <c r="P64" s="54">
        <v>88.569000000000003</v>
      </c>
      <c r="Q64" s="54">
        <v>-131.75399999999999</v>
      </c>
      <c r="R64" s="54">
        <v>219.309</v>
      </c>
      <c r="S64" s="54">
        <v>195.70099999999999</v>
      </c>
      <c r="T64" s="54">
        <v>174.261</v>
      </c>
      <c r="U64" s="54">
        <v>1891.0820000000001</v>
      </c>
      <c r="V64" s="54">
        <v>0</v>
      </c>
      <c r="W64" s="54">
        <v>0</v>
      </c>
      <c r="X64" s="23">
        <v>0</v>
      </c>
      <c r="Y64" s="23">
        <v>2E-3</v>
      </c>
      <c r="Z64" s="23">
        <v>0</v>
      </c>
      <c r="AA64" s="23">
        <v>0</v>
      </c>
      <c r="AB64" s="23">
        <v>0</v>
      </c>
      <c r="AC64" s="23">
        <v>1E-3</v>
      </c>
      <c r="AD64" s="23"/>
      <c r="AE64" s="23">
        <v>1E-3</v>
      </c>
    </row>
    <row r="65" spans="1:31">
      <c r="A65" s="45" t="s">
        <v>79</v>
      </c>
      <c r="B65" s="91"/>
      <c r="C65" s="91"/>
      <c r="D65" s="91"/>
      <c r="E65" s="91"/>
      <c r="F65" s="46">
        <v>0</v>
      </c>
      <c r="G65" s="91"/>
      <c r="H65" s="91"/>
      <c r="I65" s="91">
        <v>0</v>
      </c>
      <c r="J65" s="91"/>
      <c r="K65" s="91">
        <v>0</v>
      </c>
      <c r="L65" s="91">
        <v>0</v>
      </c>
      <c r="M65" s="91">
        <v>0</v>
      </c>
      <c r="N65" s="91">
        <v>0</v>
      </c>
      <c r="O65" s="91">
        <v>0</v>
      </c>
      <c r="P65" s="91">
        <v>0</v>
      </c>
      <c r="Q65" s="91">
        <v>0</v>
      </c>
      <c r="R65" s="91">
        <v>0</v>
      </c>
      <c r="S65" s="91">
        <v>0</v>
      </c>
      <c r="T65" s="91">
        <v>0</v>
      </c>
      <c r="U65" s="91"/>
      <c r="V65" s="91">
        <v>0</v>
      </c>
      <c r="W65" s="91">
        <v>0</v>
      </c>
      <c r="X65" s="23"/>
      <c r="Y65" s="23"/>
      <c r="Z65" s="23"/>
      <c r="AA65" s="23"/>
      <c r="AB65" s="23"/>
      <c r="AC65" s="23"/>
      <c r="AD65" s="23"/>
      <c r="AE65" s="23"/>
    </row>
    <row r="67" spans="1:31">
      <c r="D67" s="12" t="s">
        <v>140</v>
      </c>
      <c r="F67" s="1" t="s">
        <v>141</v>
      </c>
      <c r="G67" s="1" t="s">
        <v>142</v>
      </c>
      <c r="I67" s="1" t="s">
        <v>141</v>
      </c>
      <c r="J67" s="1" t="s">
        <v>141</v>
      </c>
      <c r="K67" s="1" t="s">
        <v>141</v>
      </c>
      <c r="L67" s="1" t="s">
        <v>101</v>
      </c>
      <c r="O67" s="1" t="s">
        <v>141</v>
      </c>
      <c r="P67" s="1" t="s">
        <v>141</v>
      </c>
      <c r="Q67" s="1" t="s">
        <v>141</v>
      </c>
      <c r="R67" s="1" t="s">
        <v>141</v>
      </c>
    </row>
    <row r="68" spans="1:31">
      <c r="D68" s="12" t="s">
        <v>143</v>
      </c>
      <c r="G68" s="1" t="s">
        <v>144</v>
      </c>
      <c r="I68" s="1" t="s">
        <v>99</v>
      </c>
      <c r="L68" s="1" t="s">
        <v>104</v>
      </c>
      <c r="O68" s="1" t="s">
        <v>99</v>
      </c>
      <c r="P68" s="1" t="s">
        <v>99</v>
      </c>
      <c r="Q68" s="1" t="s">
        <v>99</v>
      </c>
      <c r="R68" s="1" t="s">
        <v>99</v>
      </c>
    </row>
    <row r="69" spans="1:31">
      <c r="D69" s="1" t="s">
        <v>145</v>
      </c>
      <c r="G69" s="1" t="s">
        <v>146</v>
      </c>
      <c r="I69" s="1" t="s">
        <v>102</v>
      </c>
      <c r="J69" s="1" t="s">
        <v>100</v>
      </c>
      <c r="O69" s="1" t="s">
        <v>102</v>
      </c>
      <c r="P69" s="1" t="s">
        <v>102</v>
      </c>
      <c r="Q69" s="1" t="s">
        <v>102</v>
      </c>
      <c r="R69" s="1" t="s">
        <v>102</v>
      </c>
    </row>
    <row r="70" spans="1:31">
      <c r="D70" s="1" t="s">
        <v>147</v>
      </c>
      <c r="G70" s="1" t="s">
        <v>142</v>
      </c>
      <c r="I70" s="1" t="s">
        <v>105</v>
      </c>
      <c r="J70" s="1" t="s">
        <v>103</v>
      </c>
      <c r="Q70" s="1" t="s">
        <v>105</v>
      </c>
      <c r="R70" s="1" t="s">
        <v>105</v>
      </c>
    </row>
    <row r="71" spans="1:31">
      <c r="D71" s="1" t="s">
        <v>148</v>
      </c>
      <c r="J71" s="1" t="s">
        <v>106</v>
      </c>
    </row>
    <row r="72" spans="1:31">
      <c r="D72" s="1" t="s">
        <v>149</v>
      </c>
      <c r="G72" s="1" t="s">
        <v>144</v>
      </c>
      <c r="J72" s="1" t="s">
        <v>107</v>
      </c>
    </row>
    <row r="73" spans="1:31">
      <c r="D73" s="1" t="s">
        <v>150</v>
      </c>
      <c r="G73" s="12" t="s">
        <v>151</v>
      </c>
    </row>
    <row r="74" spans="1:31">
      <c r="B74" s="12"/>
      <c r="D74" s="1" t="s">
        <v>152</v>
      </c>
      <c r="G74" s="12" t="s">
        <v>153</v>
      </c>
    </row>
    <row r="75" spans="1:31">
      <c r="B75" s="34" t="s">
        <v>154</v>
      </c>
      <c r="D75" s="1" t="s">
        <v>155</v>
      </c>
    </row>
    <row r="76" spans="1:31">
      <c r="D76" s="12" t="s">
        <v>151</v>
      </c>
    </row>
    <row r="77" spans="1:31">
      <c r="D77" s="12" t="s">
        <v>153</v>
      </c>
    </row>
    <row r="102" spans="4:4">
      <c r="D102" s="11"/>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ransitionEvaluation="1">
    <tabColor theme="0" tint="-0.499984740745262"/>
  </sheetPr>
  <dimension ref="A1:V70"/>
  <sheetViews>
    <sheetView showZeros="0" zoomScale="80" zoomScaleNormal="80" workbookViewId="0">
      <pane xSplit="1" ySplit="5" topLeftCell="Q6" activePane="bottomRight" state="frozen"/>
      <selection pane="topRight" activeCell="Z72" sqref="Z72"/>
      <selection pane="bottomLeft" activeCell="Z72" sqref="Z72"/>
      <selection pane="bottomRight" activeCell="V48" sqref="V48"/>
    </sheetView>
  </sheetViews>
  <sheetFormatPr defaultColWidth="9.85546875" defaultRowHeight="12.75"/>
  <cols>
    <col min="1" max="1" width="23.42578125" style="43" customWidth="1"/>
    <col min="2" max="22" width="12.42578125" style="1" customWidth="1"/>
    <col min="23" max="50" width="10.85546875" style="1" customWidth="1"/>
    <col min="51" max="16384" width="9.85546875" style="1"/>
  </cols>
  <sheetData>
    <row r="1" spans="1:22">
      <c r="A1" s="7" t="s">
        <v>94</v>
      </c>
      <c r="B1"/>
      <c r="C1"/>
      <c r="D1"/>
      <c r="E1"/>
      <c r="F1"/>
      <c r="G1"/>
      <c r="H1"/>
      <c r="I1"/>
      <c r="J1"/>
      <c r="K1"/>
      <c r="L1"/>
      <c r="M1"/>
      <c r="N1"/>
      <c r="O1"/>
      <c r="P1"/>
      <c r="Q1"/>
      <c r="R1"/>
      <c r="S1"/>
      <c r="T1"/>
      <c r="U1"/>
      <c r="V1"/>
    </row>
    <row r="2" spans="1:22">
      <c r="A2" s="7"/>
      <c r="B2"/>
      <c r="C2"/>
      <c r="D2"/>
      <c r="E2"/>
      <c r="F2"/>
      <c r="G2"/>
      <c r="H2"/>
      <c r="I2"/>
      <c r="J2"/>
      <c r="K2"/>
      <c r="L2"/>
      <c r="M2"/>
      <c r="N2"/>
      <c r="O2"/>
      <c r="P2"/>
      <c r="Q2"/>
      <c r="R2"/>
      <c r="S2"/>
      <c r="T2"/>
      <c r="U2"/>
      <c r="V2"/>
    </row>
    <row r="3" spans="1:22">
      <c r="A3" s="7" t="s">
        <v>156</v>
      </c>
      <c r="B3"/>
      <c r="C3"/>
      <c r="D3"/>
      <c r="E3"/>
      <c r="F3"/>
      <c r="G3"/>
      <c r="H3"/>
      <c r="I3"/>
      <c r="J3"/>
      <c r="K3"/>
      <c r="L3"/>
      <c r="M3"/>
      <c r="N3"/>
      <c r="O3"/>
      <c r="P3"/>
      <c r="Q3"/>
      <c r="R3"/>
      <c r="S3"/>
      <c r="T3"/>
      <c r="U3"/>
      <c r="V3"/>
    </row>
    <row r="4" spans="1:22" s="32" customFormat="1">
      <c r="B4" s="32">
        <v>1984</v>
      </c>
      <c r="C4" s="32">
        <v>1985</v>
      </c>
      <c r="D4" s="32">
        <v>1986</v>
      </c>
      <c r="E4" s="32">
        <v>1991</v>
      </c>
      <c r="F4" s="32">
        <v>1992</v>
      </c>
      <c r="G4" s="32">
        <v>1993</v>
      </c>
      <c r="H4" s="32">
        <v>1994</v>
      </c>
      <c r="I4" s="32">
        <v>1995</v>
      </c>
      <c r="J4" s="32">
        <v>1996</v>
      </c>
      <c r="K4" s="32">
        <v>1997</v>
      </c>
      <c r="L4" s="32">
        <v>2000</v>
      </c>
      <c r="M4" s="39">
        <v>2001</v>
      </c>
      <c r="N4" s="39">
        <v>2002</v>
      </c>
      <c r="O4" s="39">
        <v>2003</v>
      </c>
      <c r="P4" s="39">
        <v>2004</v>
      </c>
      <c r="Q4" s="39">
        <v>2005</v>
      </c>
      <c r="R4" s="39">
        <v>2006</v>
      </c>
      <c r="S4" s="39">
        <v>2007</v>
      </c>
      <c r="T4" s="39">
        <v>2008</v>
      </c>
      <c r="U4" s="39">
        <v>2009</v>
      </c>
      <c r="V4" s="39">
        <v>2010</v>
      </c>
    </row>
    <row r="5" spans="1:22" s="8" customFormat="1">
      <c r="B5" s="8" t="s">
        <v>96</v>
      </c>
      <c r="C5" s="8" t="s">
        <v>96</v>
      </c>
      <c r="D5" s="8" t="s">
        <v>96</v>
      </c>
      <c r="E5" s="8" t="s">
        <v>96</v>
      </c>
      <c r="F5" s="8" t="s">
        <v>96</v>
      </c>
      <c r="G5" s="8" t="s">
        <v>96</v>
      </c>
      <c r="H5" s="8" t="s">
        <v>96</v>
      </c>
      <c r="I5" s="8" t="s">
        <v>96</v>
      </c>
      <c r="J5" s="8" t="s">
        <v>96</v>
      </c>
      <c r="K5" s="8" t="s">
        <v>96</v>
      </c>
      <c r="L5" s="8" t="s">
        <v>96</v>
      </c>
      <c r="M5" s="8" t="s">
        <v>96</v>
      </c>
      <c r="N5" s="8" t="s">
        <v>96</v>
      </c>
      <c r="O5" s="8" t="s">
        <v>96</v>
      </c>
      <c r="P5" s="8" t="s">
        <v>96</v>
      </c>
      <c r="Q5" s="8" t="s">
        <v>96</v>
      </c>
      <c r="R5" s="8" t="s">
        <v>96</v>
      </c>
      <c r="S5" s="8" t="s">
        <v>96</v>
      </c>
      <c r="T5" s="8" t="s">
        <v>96</v>
      </c>
      <c r="U5" s="8" t="s">
        <v>96</v>
      </c>
      <c r="V5" s="8" t="s">
        <v>96</v>
      </c>
    </row>
    <row r="6" spans="1:22">
      <c r="A6" s="23" t="s">
        <v>24</v>
      </c>
      <c r="B6" s="1">
        <f>1349314+2152017</f>
        <v>3501331</v>
      </c>
      <c r="C6" s="1">
        <f>1446136+2436913</f>
        <v>3883049</v>
      </c>
      <c r="D6" s="1">
        <f>1513783+2442048</f>
        <v>3955831</v>
      </c>
      <c r="E6" s="1">
        <v>4835378.8339999998</v>
      </c>
      <c r="F6" s="48">
        <f>+F7+F25+F40+F54+F65</f>
        <v>4790470.4630000005</v>
      </c>
      <c r="G6" s="1">
        <v>5106568.0310000004</v>
      </c>
      <c r="H6" s="1">
        <v>5306759.9879999999</v>
      </c>
      <c r="I6" s="48">
        <f>+I7+I25+I40+I54+I65</f>
        <v>5329886.4000000004</v>
      </c>
      <c r="J6" s="1">
        <v>5663812.8229999999</v>
      </c>
      <c r="K6" s="48">
        <f t="shared" ref="K6:U6" si="0">+K7+K25+K40+K54+K65</f>
        <v>5879204.37316</v>
      </c>
      <c r="L6" s="48">
        <f t="shared" si="0"/>
        <v>6794801.1830000011</v>
      </c>
      <c r="M6" s="48">
        <f t="shared" si="0"/>
        <v>7508336.830000001</v>
      </c>
      <c r="N6" s="48">
        <f t="shared" si="0"/>
        <v>7958508.0290000001</v>
      </c>
      <c r="O6" s="48">
        <f t="shared" si="0"/>
        <v>8176685.1079999991</v>
      </c>
      <c r="P6" s="48">
        <f t="shared" si="0"/>
        <v>8701299.4269999992</v>
      </c>
      <c r="Q6" s="48">
        <f t="shared" si="0"/>
        <v>9857903.2649999987</v>
      </c>
      <c r="R6" s="48">
        <f t="shared" si="0"/>
        <v>10586363.275999999</v>
      </c>
      <c r="S6" s="48">
        <f t="shared" si="0"/>
        <v>11081013.186000001</v>
      </c>
      <c r="T6" s="48">
        <f t="shared" si="0"/>
        <v>9419683.9550000019</v>
      </c>
      <c r="U6" s="48">
        <f t="shared" si="0"/>
        <v>7619954.7989999996</v>
      </c>
      <c r="V6" s="48">
        <f t="shared" ref="V6" si="1">+V7+V25+V40+V54+V65</f>
        <v>0</v>
      </c>
    </row>
    <row r="7" spans="1:22">
      <c r="A7" s="1" t="s">
        <v>25</v>
      </c>
      <c r="B7" s="47">
        <f>SUM(B8:B24)</f>
        <v>1176622</v>
      </c>
      <c r="C7" s="47">
        <f t="shared" ref="C7:U7" si="2">SUM(C8:C24)</f>
        <v>1265365</v>
      </c>
      <c r="D7" s="47">
        <f t="shared" si="2"/>
        <v>1296726</v>
      </c>
      <c r="E7" s="47">
        <f t="shared" si="2"/>
        <v>1597628.1369999999</v>
      </c>
      <c r="F7" s="47">
        <f t="shared" si="2"/>
        <v>1596796.8770000001</v>
      </c>
      <c r="G7" s="47">
        <f t="shared" si="2"/>
        <v>1684658.8690000002</v>
      </c>
      <c r="H7" s="47">
        <f t="shared" si="2"/>
        <v>1770116.7949999999</v>
      </c>
      <c r="I7" s="47">
        <f t="shared" si="2"/>
        <v>1833486.7859999998</v>
      </c>
      <c r="J7" s="47">
        <f t="shared" si="2"/>
        <v>1901725.2220000005</v>
      </c>
      <c r="K7" s="47">
        <f t="shared" si="2"/>
        <v>1970849.1445500001</v>
      </c>
      <c r="L7" s="47">
        <f t="shared" si="2"/>
        <v>2328513.6950000003</v>
      </c>
      <c r="M7" s="47">
        <f t="shared" si="2"/>
        <v>2616721.7990000001</v>
      </c>
      <c r="N7" s="47">
        <f t="shared" si="2"/>
        <v>3037250.4560000002</v>
      </c>
      <c r="O7" s="47">
        <f t="shared" si="2"/>
        <v>3202666.2539999997</v>
      </c>
      <c r="P7" s="47">
        <f t="shared" si="2"/>
        <v>3432819.4549999996</v>
      </c>
      <c r="Q7" s="47">
        <f t="shared" si="2"/>
        <v>3770520.3320000004</v>
      </c>
      <c r="R7" s="47">
        <f t="shared" si="2"/>
        <v>4064872.571</v>
      </c>
      <c r="S7" s="47">
        <f t="shared" si="2"/>
        <v>4265144.9239999996</v>
      </c>
      <c r="T7" s="47">
        <f t="shared" si="2"/>
        <v>3888347.1749999998</v>
      </c>
      <c r="U7" s="47">
        <f t="shared" si="2"/>
        <v>3161441.986</v>
      </c>
      <c r="V7" s="47">
        <f t="shared" ref="V7" si="3">SUM(V8:V24)</f>
        <v>0</v>
      </c>
    </row>
    <row r="8" spans="1:22">
      <c r="A8" s="7" t="s">
        <v>97</v>
      </c>
    </row>
    <row r="9" spans="1:22">
      <c r="A9" s="1" t="s">
        <v>26</v>
      </c>
      <c r="B9" s="1">
        <f>19877+40321</f>
        <v>60198</v>
      </c>
      <c r="C9" s="1">
        <f>24198+46629</f>
        <v>70827</v>
      </c>
      <c r="D9" s="1">
        <f>25414+47489</f>
        <v>72903</v>
      </c>
      <c r="E9" s="1">
        <v>94919.786999999997</v>
      </c>
      <c r="F9" s="41">
        <v>91449.498999999996</v>
      </c>
      <c r="G9" s="1">
        <v>96099.126000000004</v>
      </c>
      <c r="H9" s="1">
        <v>107402.019</v>
      </c>
      <c r="I9" s="1">
        <v>111746.382</v>
      </c>
      <c r="J9" s="1">
        <v>113973.533</v>
      </c>
      <c r="K9" s="1">
        <v>114403.257</v>
      </c>
      <c r="L9" s="1">
        <v>131937.33199999999</v>
      </c>
      <c r="M9" s="1">
        <v>141522.66699999999</v>
      </c>
      <c r="N9" s="1">
        <v>141759.696</v>
      </c>
      <c r="O9" s="1">
        <v>178472.715</v>
      </c>
      <c r="P9" s="1">
        <v>177134.535</v>
      </c>
      <c r="Q9" s="1">
        <v>179980.86199999999</v>
      </c>
      <c r="R9" s="1">
        <v>209608.666</v>
      </c>
      <c r="S9" s="1">
        <v>241711.01500000001</v>
      </c>
      <c r="T9" s="1">
        <v>169028.60800000001</v>
      </c>
      <c r="U9" s="1">
        <v>120781.45699999999</v>
      </c>
    </row>
    <row r="10" spans="1:22">
      <c r="A10" s="1" t="s">
        <v>27</v>
      </c>
      <c r="B10" s="1">
        <f>7760+21690</f>
        <v>29450</v>
      </c>
      <c r="C10" s="1">
        <f>9044+23491</f>
        <v>32535</v>
      </c>
      <c r="D10" s="1">
        <f>9699+25447</f>
        <v>35146</v>
      </c>
      <c r="E10" s="1">
        <v>43507.330999999998</v>
      </c>
      <c r="F10" s="41">
        <v>46156.713000000003</v>
      </c>
      <c r="G10" s="1">
        <v>49886.696000000004</v>
      </c>
      <c r="H10" s="1">
        <v>51818.625</v>
      </c>
      <c r="I10" s="1">
        <v>49917.762000000002</v>
      </c>
      <c r="J10" s="1">
        <v>54627.021999999997</v>
      </c>
      <c r="K10" s="1">
        <v>57705.860999999997</v>
      </c>
      <c r="L10" s="1">
        <v>69362.252999999997</v>
      </c>
      <c r="M10" s="1">
        <v>75200.47</v>
      </c>
      <c r="N10" s="1">
        <v>90474.785000000003</v>
      </c>
      <c r="O10" s="1">
        <v>88900.418000000005</v>
      </c>
      <c r="P10" s="1">
        <v>94857.922999999995</v>
      </c>
      <c r="Q10" s="1">
        <v>109349.66099999999</v>
      </c>
      <c r="R10" s="1">
        <v>121503.73699999999</v>
      </c>
      <c r="S10" s="1">
        <v>119711.205</v>
      </c>
      <c r="T10" s="1">
        <v>103992.933</v>
      </c>
      <c r="U10" s="1">
        <v>87243.345000000001</v>
      </c>
    </row>
    <row r="11" spans="1:22">
      <c r="A11" s="1" t="s">
        <v>28</v>
      </c>
      <c r="D11" s="1">
        <f>13180+2617</f>
        <v>15797</v>
      </c>
      <c r="E11" s="1">
        <v>21079.15</v>
      </c>
      <c r="F11" s="41">
        <v>20827.583999999999</v>
      </c>
      <c r="I11" s="1">
        <v>24429.346000000001</v>
      </c>
      <c r="J11" s="1">
        <v>25910.583999999999</v>
      </c>
      <c r="K11" s="1">
        <v>28209.886999999999</v>
      </c>
      <c r="L11" s="1">
        <v>36607.586000000003</v>
      </c>
      <c r="M11" s="1">
        <v>4038.402</v>
      </c>
      <c r="N11" s="1">
        <v>3862.6669999999999</v>
      </c>
      <c r="O11" s="1">
        <v>4513.7280000000001</v>
      </c>
      <c r="P11" s="1">
        <v>4349.1480000000001</v>
      </c>
      <c r="Q11" s="1">
        <v>3752.777</v>
      </c>
      <c r="R11" s="1">
        <v>5150.0810000000001</v>
      </c>
      <c r="S11" s="1">
        <v>6156.3180000000002</v>
      </c>
      <c r="T11" s="1">
        <v>0</v>
      </c>
      <c r="U11" s="1">
        <v>0</v>
      </c>
    </row>
    <row r="12" spans="1:22">
      <c r="A12" s="1" t="s">
        <v>29</v>
      </c>
      <c r="B12" s="1">
        <f>41255+38060</f>
        <v>79315</v>
      </c>
      <c r="C12" s="1">
        <f>46956+41792</f>
        <v>88748</v>
      </c>
      <c r="D12" s="1">
        <f>48511+44114</f>
        <v>92625</v>
      </c>
      <c r="E12" s="1">
        <v>120961.906</v>
      </c>
      <c r="F12" s="41">
        <v>125083.906</v>
      </c>
      <c r="G12" s="1">
        <v>128408.181</v>
      </c>
      <c r="H12" s="1">
        <v>135402.68799999999</v>
      </c>
      <c r="I12" s="1">
        <v>142771.141</v>
      </c>
      <c r="J12" s="1">
        <v>147873.62400000001</v>
      </c>
      <c r="K12" s="1">
        <v>156696.84299999999</v>
      </c>
      <c r="L12" s="1">
        <v>204692.76199999999</v>
      </c>
      <c r="M12" s="1">
        <v>221623.09</v>
      </c>
      <c r="N12" s="1">
        <v>220010.27499999999</v>
      </c>
      <c r="O12" s="1">
        <v>270646.81099999999</v>
      </c>
      <c r="P12" s="1">
        <v>322327.88099999999</v>
      </c>
      <c r="Q12" s="1">
        <v>295986.576</v>
      </c>
      <c r="R12" s="1">
        <v>359852.33</v>
      </c>
      <c r="S12" s="1">
        <v>375591.28200000001</v>
      </c>
      <c r="T12" s="1">
        <v>385862.54599999997</v>
      </c>
      <c r="U12" s="1">
        <v>256793.55100000001</v>
      </c>
    </row>
    <row r="13" spans="1:22">
      <c r="A13" s="1" t="s">
        <v>30</v>
      </c>
      <c r="B13" s="1">
        <f>23938+51029</f>
        <v>74967</v>
      </c>
      <c r="C13" s="1">
        <f>27171+56537</f>
        <v>83708</v>
      </c>
      <c r="D13" s="1">
        <f>26615+59818</f>
        <v>86433</v>
      </c>
      <c r="E13" s="1">
        <v>117903.266</v>
      </c>
      <c r="F13" s="41">
        <v>118836.13</v>
      </c>
      <c r="G13" s="1">
        <v>127850.78200000001</v>
      </c>
      <c r="H13" s="1">
        <v>138176.747</v>
      </c>
      <c r="I13" s="1">
        <v>149448.76199999999</v>
      </c>
      <c r="J13" s="1">
        <v>157345.285</v>
      </c>
      <c r="K13" s="1">
        <v>169511.70499999999</v>
      </c>
      <c r="L13" s="1">
        <v>194148.99799999999</v>
      </c>
      <c r="M13" s="1">
        <v>204722.07</v>
      </c>
      <c r="N13" s="1">
        <v>254822.92199999999</v>
      </c>
      <c r="O13" s="1">
        <v>263662.80599999998</v>
      </c>
      <c r="P13" s="1">
        <v>268966.163</v>
      </c>
      <c r="Q13" s="1">
        <v>312301.89500000002</v>
      </c>
      <c r="R13" s="1">
        <v>351062.679</v>
      </c>
      <c r="S13" s="1">
        <v>369063.00400000002</v>
      </c>
      <c r="T13" s="1">
        <v>399621.04399999999</v>
      </c>
      <c r="U13" s="1">
        <v>363704.91700000002</v>
      </c>
    </row>
    <row r="14" spans="1:22">
      <c r="A14" s="1" t="s">
        <v>31</v>
      </c>
      <c r="B14" s="1">
        <f>30179+28541</f>
        <v>58720</v>
      </c>
      <c r="C14" s="1">
        <f>33661+30094</f>
        <v>63755</v>
      </c>
      <c r="D14" s="1">
        <f>32931+29857</f>
        <v>62788</v>
      </c>
      <c r="E14" s="1">
        <v>79280.880999999994</v>
      </c>
      <c r="F14" s="41">
        <v>80400.895000000004</v>
      </c>
      <c r="G14" s="1">
        <v>76131.902000000002</v>
      </c>
      <c r="H14" s="1">
        <v>79475.837</v>
      </c>
      <c r="I14" s="1">
        <v>84783.857000000004</v>
      </c>
      <c r="J14" s="1">
        <v>91029.235000000001</v>
      </c>
      <c r="K14" s="1">
        <v>89387.506999999998</v>
      </c>
      <c r="L14" s="1">
        <v>105673.878</v>
      </c>
      <c r="M14" s="1">
        <v>107965.51300000001</v>
      </c>
      <c r="N14" s="1">
        <v>137971.02799999999</v>
      </c>
      <c r="O14" s="1">
        <v>136187.81200000001</v>
      </c>
      <c r="P14" s="1">
        <v>142771.565</v>
      </c>
      <c r="Q14" s="1">
        <v>146807.571</v>
      </c>
      <c r="R14" s="1">
        <v>165195.15400000001</v>
      </c>
      <c r="S14" s="1">
        <v>175436.23800000001</v>
      </c>
      <c r="T14" s="1">
        <v>188253.20199999999</v>
      </c>
      <c r="U14" s="1">
        <v>192885.66500000001</v>
      </c>
    </row>
    <row r="15" spans="1:22">
      <c r="A15" s="1" t="s">
        <v>32</v>
      </c>
      <c r="B15" s="1">
        <f>19479+56168</f>
        <v>75647</v>
      </c>
      <c r="C15" s="1">
        <f>22431+58775</f>
        <v>81206</v>
      </c>
      <c r="D15" s="1">
        <f>22480+58001</f>
        <v>80481</v>
      </c>
      <c r="E15" s="1">
        <v>90009.660999999993</v>
      </c>
      <c r="F15" s="41">
        <v>87415.701000000001</v>
      </c>
      <c r="G15" s="1">
        <v>92071.813999999998</v>
      </c>
      <c r="H15" s="1">
        <v>97310.481</v>
      </c>
      <c r="I15" s="1">
        <v>94341.258000000002</v>
      </c>
      <c r="J15" s="1">
        <v>107047.545</v>
      </c>
      <c r="K15" s="1">
        <v>104434.442</v>
      </c>
      <c r="L15" s="1">
        <v>113214.77800000001</v>
      </c>
      <c r="M15" s="1">
        <v>136414.451</v>
      </c>
      <c r="N15" s="1">
        <v>168523.49</v>
      </c>
      <c r="O15" s="1">
        <v>200937.508</v>
      </c>
      <c r="P15" s="1">
        <v>198720.70499999999</v>
      </c>
      <c r="Q15" s="1">
        <v>210372.18900000001</v>
      </c>
      <c r="R15" s="1">
        <v>214719.73</v>
      </c>
      <c r="S15" s="1">
        <v>249939.18299999999</v>
      </c>
      <c r="T15" s="1">
        <v>116144.254</v>
      </c>
      <c r="U15" s="1">
        <v>53820.571000000004</v>
      </c>
    </row>
    <row r="16" spans="1:22">
      <c r="A16" s="1" t="s">
        <v>33</v>
      </c>
      <c r="B16" s="1">
        <v>70323</v>
      </c>
      <c r="C16" s="1">
        <f>0+73633</f>
        <v>73633</v>
      </c>
      <c r="D16" s="1">
        <v>76230</v>
      </c>
      <c r="E16" s="1">
        <v>94074.097999999998</v>
      </c>
      <c r="F16" s="41">
        <v>93694.430999999997</v>
      </c>
      <c r="G16" s="1">
        <v>101054.09299999999</v>
      </c>
      <c r="H16" s="1">
        <v>108356.302</v>
      </c>
      <c r="I16" s="1">
        <v>110268.485</v>
      </c>
      <c r="J16" s="1">
        <v>117740.746</v>
      </c>
      <c r="K16" s="1">
        <v>124324.363</v>
      </c>
      <c r="L16" s="1">
        <v>145549.13099999999</v>
      </c>
      <c r="M16" s="1">
        <v>151027.804</v>
      </c>
      <c r="N16" s="1">
        <v>233255.943</v>
      </c>
      <c r="O16" s="1">
        <v>203960.81899999999</v>
      </c>
      <c r="P16" s="1">
        <v>218383.83499999999</v>
      </c>
      <c r="Q16" s="1">
        <v>298364.68300000002</v>
      </c>
      <c r="R16" s="1">
        <v>276878.88099999999</v>
      </c>
      <c r="S16" s="1">
        <v>289429.38500000001</v>
      </c>
      <c r="T16" s="1">
        <v>130947.11199999999</v>
      </c>
      <c r="U16" s="1">
        <v>74530.94</v>
      </c>
    </row>
    <row r="17" spans="1:22">
      <c r="A17" s="1" t="s">
        <v>34</v>
      </c>
      <c r="B17" s="1">
        <f>6254+25623</f>
        <v>31877</v>
      </c>
      <c r="C17" s="1">
        <f>6018+27855</f>
        <v>33873</v>
      </c>
      <c r="D17" s="1">
        <f>6130+27864</f>
        <v>33994</v>
      </c>
      <c r="E17" s="1">
        <v>45935.357000000004</v>
      </c>
      <c r="F17" s="41">
        <v>45069.656999999999</v>
      </c>
      <c r="G17" s="1">
        <v>48255.356</v>
      </c>
      <c r="H17" s="1">
        <v>51910.892</v>
      </c>
      <c r="I17" s="1">
        <v>57160.163</v>
      </c>
      <c r="J17" s="1">
        <v>64766.067999999999</v>
      </c>
      <c r="K17" s="1">
        <v>65785.035000000003</v>
      </c>
      <c r="L17" s="1">
        <v>83434.952000000005</v>
      </c>
      <c r="M17" s="1">
        <v>85724.930999999997</v>
      </c>
      <c r="N17" s="1">
        <v>105436.322</v>
      </c>
      <c r="O17" s="1">
        <v>92371.724000000002</v>
      </c>
      <c r="P17" s="1">
        <v>98825.717000000004</v>
      </c>
      <c r="Q17" s="1">
        <v>115678.539</v>
      </c>
      <c r="R17" s="1">
        <v>138663.11199999999</v>
      </c>
      <c r="S17" s="1">
        <v>140822.08199999999</v>
      </c>
      <c r="T17" s="1">
        <v>113434.947</v>
      </c>
      <c r="U17" s="1">
        <v>91440.676000000007</v>
      </c>
    </row>
    <row r="18" spans="1:22">
      <c r="A18" s="1" t="s">
        <v>35</v>
      </c>
      <c r="B18" s="1">
        <f>25876+64816</f>
        <v>90692</v>
      </c>
      <c r="C18" s="1">
        <f>29294+71799</f>
        <v>101093</v>
      </c>
      <c r="D18" s="1">
        <f>32638+75925</f>
        <v>108563</v>
      </c>
      <c r="E18" s="1">
        <v>146154.43599999999</v>
      </c>
      <c r="F18" s="41">
        <v>152663.54999999999</v>
      </c>
      <c r="G18" s="1">
        <v>160980.74400000001</v>
      </c>
      <c r="H18" s="1">
        <v>175428.47</v>
      </c>
      <c r="I18" s="1">
        <v>176437.274</v>
      </c>
      <c r="J18" s="1">
        <v>182830.30300000001</v>
      </c>
      <c r="K18" s="1">
        <v>186248.08100000001</v>
      </c>
      <c r="L18" s="1">
        <v>226460.34099999999</v>
      </c>
      <c r="M18" s="1">
        <v>248960.90400000001</v>
      </c>
      <c r="N18" s="1">
        <v>311621.48499999999</v>
      </c>
      <c r="O18" s="1">
        <v>298435.663</v>
      </c>
      <c r="P18" s="1">
        <v>329572.32900000003</v>
      </c>
      <c r="Q18" s="1">
        <v>383902.67499999999</v>
      </c>
      <c r="R18" s="1">
        <v>458644.43099999998</v>
      </c>
      <c r="S18" s="1">
        <v>490967.81199999998</v>
      </c>
      <c r="T18" s="1">
        <v>501567.386</v>
      </c>
      <c r="U18" s="1">
        <v>492141.26799999998</v>
      </c>
    </row>
    <row r="19" spans="1:22">
      <c r="A19" s="1" t="s">
        <v>36</v>
      </c>
      <c r="B19" s="1">
        <v>47632</v>
      </c>
      <c r="C19" s="1">
        <f>0+49985</f>
        <v>49985</v>
      </c>
      <c r="D19" s="1">
        <v>55601</v>
      </c>
      <c r="E19" s="1">
        <v>57402.951999999997</v>
      </c>
      <c r="F19" s="41">
        <v>54325.436000000002</v>
      </c>
      <c r="G19" s="1">
        <v>58587.362000000001</v>
      </c>
      <c r="H19" s="1">
        <v>60138.982000000004</v>
      </c>
      <c r="I19" s="1">
        <v>60639.529000000002</v>
      </c>
      <c r="J19" s="1">
        <v>61305.591</v>
      </c>
      <c r="K19" s="1">
        <v>68807.017250000004</v>
      </c>
      <c r="L19" s="1">
        <v>87156.990999999995</v>
      </c>
      <c r="M19" s="1">
        <v>117854.432</v>
      </c>
      <c r="N19" s="1">
        <v>107003.15700000001</v>
      </c>
      <c r="O19" s="1">
        <v>111812.739</v>
      </c>
      <c r="P19" s="1">
        <v>115874.692</v>
      </c>
      <c r="Q19" s="1">
        <v>123376.374</v>
      </c>
      <c r="R19" s="1">
        <v>133137.64799999999</v>
      </c>
      <c r="S19" s="1">
        <v>145400.035</v>
      </c>
      <c r="T19" s="1">
        <v>106707.09600000001</v>
      </c>
      <c r="U19" s="1">
        <v>74550.297000000006</v>
      </c>
    </row>
    <row r="20" spans="1:22">
      <c r="A20" s="1" t="s">
        <v>37</v>
      </c>
      <c r="B20" s="1">
        <f>26576+24160</f>
        <v>50736</v>
      </c>
      <c r="C20" s="1">
        <f>30143+30153</f>
        <v>60296</v>
      </c>
      <c r="D20" s="1">
        <f>31599+31433</f>
        <v>63032</v>
      </c>
      <c r="E20" s="1">
        <v>79518.650999999998</v>
      </c>
      <c r="F20" s="41">
        <v>77523.585999999996</v>
      </c>
      <c r="G20" s="1">
        <v>80072.040999999997</v>
      </c>
      <c r="H20" s="1">
        <v>85402.642000000007</v>
      </c>
      <c r="I20" s="1">
        <v>84504.638999999996</v>
      </c>
      <c r="J20" s="1">
        <v>89131.214999999997</v>
      </c>
      <c r="K20" s="1">
        <v>88607.956999999995</v>
      </c>
      <c r="L20" s="1">
        <v>109875.641</v>
      </c>
      <c r="M20" s="1">
        <v>132490.07399999999</v>
      </c>
      <c r="N20" s="1">
        <v>147033.77499999999</v>
      </c>
      <c r="O20" s="1">
        <v>174619.90900000001</v>
      </c>
      <c r="P20" s="1">
        <v>182236.84099999999</v>
      </c>
      <c r="Q20" s="1">
        <v>204417.11199999999</v>
      </c>
      <c r="R20" s="1">
        <v>199969.774</v>
      </c>
      <c r="S20" s="1">
        <v>213153.571</v>
      </c>
      <c r="T20" s="1">
        <v>194561.337</v>
      </c>
      <c r="U20" s="1">
        <v>142877.147</v>
      </c>
    </row>
    <row r="21" spans="1:22" s="11" customFormat="1">
      <c r="A21" s="1" t="s">
        <v>38</v>
      </c>
      <c r="B21" s="1">
        <f>14420+41820</f>
        <v>56240</v>
      </c>
      <c r="C21" s="1">
        <f>16166+45174</f>
        <v>61340</v>
      </c>
      <c r="D21" s="1">
        <f>17071+48070</f>
        <v>65141</v>
      </c>
      <c r="E21" s="1">
        <v>77930.410999999993</v>
      </c>
      <c r="F21" s="41">
        <v>75517.129000000001</v>
      </c>
      <c r="G21" s="1">
        <v>79407.019</v>
      </c>
      <c r="H21" s="1">
        <v>88314.58</v>
      </c>
      <c r="I21" s="1">
        <v>91388.793999999994</v>
      </c>
      <c r="J21" s="1">
        <v>96127.11</v>
      </c>
      <c r="K21" s="1">
        <v>95730.445470000006</v>
      </c>
      <c r="L21" s="1">
        <v>109922.32</v>
      </c>
      <c r="M21" s="1">
        <v>125997.89</v>
      </c>
      <c r="N21" s="1">
        <v>154751.37400000001</v>
      </c>
      <c r="O21" s="1">
        <v>169182.989</v>
      </c>
      <c r="P21" s="1">
        <v>175450.31700000001</v>
      </c>
      <c r="Q21" s="1">
        <v>190623.633</v>
      </c>
      <c r="R21" s="1">
        <v>194785.636</v>
      </c>
      <c r="S21" s="1">
        <v>201511.005</v>
      </c>
      <c r="T21" s="1">
        <v>206678.94899999999</v>
      </c>
      <c r="U21" s="1">
        <v>219584.48699999999</v>
      </c>
      <c r="V21" s="1"/>
    </row>
    <row r="22" spans="1:22">
      <c r="A22" s="1" t="s">
        <v>39</v>
      </c>
      <c r="B22" s="1">
        <f>120720+227841</f>
        <v>348561</v>
      </c>
      <c r="C22" s="1">
        <f>120057+233921</f>
        <v>353978</v>
      </c>
      <c r="D22" s="1">
        <f>115109+217303</f>
        <v>332412</v>
      </c>
      <c r="E22" s="1">
        <v>374471.853</v>
      </c>
      <c r="F22" s="41">
        <v>366300.255</v>
      </c>
      <c r="G22" s="1">
        <v>416647.35600000003</v>
      </c>
      <c r="H22" s="1">
        <v>411593.93300000002</v>
      </c>
      <c r="I22" s="1">
        <v>414487.533</v>
      </c>
      <c r="J22" s="1">
        <v>405560.25199999998</v>
      </c>
      <c r="K22" s="1">
        <v>425993.46500000003</v>
      </c>
      <c r="L22" s="1">
        <v>475739.32699999999</v>
      </c>
      <c r="M22" s="1">
        <v>609620.80799999996</v>
      </c>
      <c r="N22" s="1">
        <v>685738.23</v>
      </c>
      <c r="O22" s="1">
        <v>735237.95200000005</v>
      </c>
      <c r="P22" s="1">
        <v>814021.96299999999</v>
      </c>
      <c r="Q22" s="1">
        <v>881372.21799999999</v>
      </c>
      <c r="R22" s="1">
        <v>859733.21299999999</v>
      </c>
      <c r="S22" s="1">
        <v>862156.42599999998</v>
      </c>
      <c r="T22" s="1">
        <v>926992.522</v>
      </c>
      <c r="U22" s="1">
        <v>629001.68099999998</v>
      </c>
    </row>
    <row r="23" spans="1:22">
      <c r="A23" s="1" t="s">
        <v>40</v>
      </c>
      <c r="B23" s="1">
        <f>27113+43838</f>
        <v>70951</v>
      </c>
      <c r="C23" s="1">
        <f>29786+47092</f>
        <v>76878</v>
      </c>
      <c r="D23" s="1">
        <f>32827+48821</f>
        <v>81648</v>
      </c>
      <c r="E23" s="1">
        <v>111485.012</v>
      </c>
      <c r="F23" s="41">
        <v>112502.27899999999</v>
      </c>
      <c r="G23" s="1">
        <v>117226.307</v>
      </c>
      <c r="H23" s="1">
        <v>124901.924</v>
      </c>
      <c r="I23" s="1">
        <v>126573.68399999999</v>
      </c>
      <c r="J23" s="1">
        <v>128327.587</v>
      </c>
      <c r="K23" s="1">
        <v>138525.65900000001</v>
      </c>
      <c r="L23" s="1">
        <v>173484.334</v>
      </c>
      <c r="M23" s="1">
        <v>190664.356</v>
      </c>
      <c r="N23" s="1">
        <v>209706.33300000001</v>
      </c>
      <c r="O23" s="1">
        <v>191833.29199999999</v>
      </c>
      <c r="P23" s="1">
        <v>210060.253</v>
      </c>
      <c r="Q23" s="1">
        <v>233719.41</v>
      </c>
      <c r="R23" s="1">
        <v>282534.84299999999</v>
      </c>
      <c r="S23" s="1">
        <v>292990.78000000003</v>
      </c>
      <c r="T23" s="1">
        <v>245676.799</v>
      </c>
      <c r="U23" s="1">
        <v>255561.446</v>
      </c>
    </row>
    <row r="24" spans="1:22">
      <c r="A24" s="23" t="s">
        <v>41</v>
      </c>
      <c r="B24" s="23">
        <f>18286+13027</f>
        <v>31313</v>
      </c>
      <c r="C24" s="23">
        <f>19411+14099</f>
        <v>33510</v>
      </c>
      <c r="D24" s="23">
        <f>18432+15500</f>
        <v>33932</v>
      </c>
      <c r="E24" s="23">
        <v>42993.385000000002</v>
      </c>
      <c r="F24" s="44">
        <v>49030.125999999997</v>
      </c>
      <c r="G24" s="23">
        <v>51980.09</v>
      </c>
      <c r="H24" s="23">
        <v>54482.673000000003</v>
      </c>
      <c r="I24" s="23">
        <v>54588.177000000003</v>
      </c>
      <c r="J24" s="23">
        <v>58129.521999999997</v>
      </c>
      <c r="K24" s="23">
        <v>56477.619829999996</v>
      </c>
      <c r="L24" s="23">
        <v>61253.071000000004</v>
      </c>
      <c r="M24" s="23">
        <v>62893.936999999998</v>
      </c>
      <c r="N24" s="23">
        <v>65278.974000000002</v>
      </c>
      <c r="O24" s="23">
        <v>81889.369000000006</v>
      </c>
      <c r="P24" s="23">
        <v>79265.588000000003</v>
      </c>
      <c r="Q24" s="23">
        <v>80514.157000000007</v>
      </c>
      <c r="R24" s="23">
        <v>93432.656000000003</v>
      </c>
      <c r="S24" s="23">
        <v>91105.582999999999</v>
      </c>
      <c r="T24" s="23">
        <v>98878.44</v>
      </c>
      <c r="U24" s="23">
        <v>106524.538</v>
      </c>
      <c r="V24" s="23"/>
    </row>
    <row r="25" spans="1:22">
      <c r="A25" s="7" t="s">
        <v>42</v>
      </c>
      <c r="B25" s="47">
        <f>SUM(B27:B39)</f>
        <v>0</v>
      </c>
      <c r="C25" s="47">
        <f t="shared" ref="C25:V25" si="4">SUM(C27:C39)</f>
        <v>0</v>
      </c>
      <c r="D25" s="47">
        <f t="shared" si="4"/>
        <v>0</v>
      </c>
      <c r="E25" s="47">
        <f t="shared" si="4"/>
        <v>0</v>
      </c>
      <c r="F25" s="47">
        <f t="shared" si="4"/>
        <v>947292.29000000015</v>
      </c>
      <c r="G25" s="47">
        <f t="shared" si="4"/>
        <v>0</v>
      </c>
      <c r="H25" s="47">
        <f t="shared" si="4"/>
        <v>0</v>
      </c>
      <c r="I25" s="47">
        <f t="shared" si="4"/>
        <v>1008779.4910000002</v>
      </c>
      <c r="J25" s="47">
        <f t="shared" si="4"/>
        <v>0</v>
      </c>
      <c r="K25" s="47">
        <f t="shared" si="4"/>
        <v>1133636.48156</v>
      </c>
      <c r="L25" s="47">
        <f t="shared" si="4"/>
        <v>1387958.476</v>
      </c>
      <c r="M25" s="47">
        <f t="shared" si="4"/>
        <v>1556363.5020000003</v>
      </c>
      <c r="N25" s="47">
        <f t="shared" si="4"/>
        <v>1570212.4080000001</v>
      </c>
      <c r="O25" s="47">
        <f t="shared" si="4"/>
        <v>1671052.6969999999</v>
      </c>
      <c r="P25" s="47">
        <f t="shared" si="4"/>
        <v>1677159.5649999999</v>
      </c>
      <c r="Q25" s="47">
        <f t="shared" si="4"/>
        <v>1978371.7689999996</v>
      </c>
      <c r="R25" s="47">
        <f t="shared" si="4"/>
        <v>2053821.5879999998</v>
      </c>
      <c r="S25" s="47">
        <f t="shared" si="4"/>
        <v>2236697.9900000002</v>
      </c>
      <c r="T25" s="47">
        <f t="shared" si="4"/>
        <v>1687055.0919999999</v>
      </c>
      <c r="U25" s="47">
        <f t="shared" si="4"/>
        <v>1515663.1719999998</v>
      </c>
      <c r="V25" s="47">
        <f t="shared" si="4"/>
        <v>0</v>
      </c>
    </row>
    <row r="26" spans="1:22">
      <c r="A26" s="7" t="s">
        <v>97</v>
      </c>
    </row>
    <row r="27" spans="1:22">
      <c r="A27" s="1" t="s">
        <v>43</v>
      </c>
      <c r="F27" s="41">
        <v>27247.137999999999</v>
      </c>
      <c r="I27" s="1">
        <v>32234.539000000001</v>
      </c>
      <c r="K27" s="1">
        <v>35914.302000000003</v>
      </c>
      <c r="L27" s="1">
        <v>33160.881000000001</v>
      </c>
      <c r="M27" s="1">
        <v>35454.678</v>
      </c>
      <c r="N27" s="1">
        <v>40106.877</v>
      </c>
      <c r="O27" s="1">
        <v>38497.47</v>
      </c>
      <c r="P27" s="1">
        <v>37593.277999999998</v>
      </c>
      <c r="Q27" s="1">
        <v>42615.798999999999</v>
      </c>
      <c r="R27" s="1">
        <v>42111.086000000003</v>
      </c>
      <c r="S27" s="1">
        <v>47941.747000000003</v>
      </c>
      <c r="T27" s="1">
        <v>52978.591</v>
      </c>
      <c r="U27" s="1">
        <v>0</v>
      </c>
    </row>
    <row r="28" spans="1:22">
      <c r="A28" s="1" t="s">
        <v>44</v>
      </c>
      <c r="F28" s="41">
        <v>79185.062999999995</v>
      </c>
      <c r="I28" s="1">
        <v>80972.899000000005</v>
      </c>
      <c r="K28" s="1">
        <v>88324.377999999997</v>
      </c>
      <c r="L28" s="1">
        <v>100699.303</v>
      </c>
      <c r="M28" s="1">
        <v>109722.784</v>
      </c>
      <c r="N28" s="1">
        <v>110040.04300000001</v>
      </c>
      <c r="O28" s="1">
        <v>106577.319</v>
      </c>
      <c r="P28" s="1">
        <v>117904.356</v>
      </c>
      <c r="Q28" s="1">
        <v>131439.69</v>
      </c>
      <c r="R28" s="1">
        <v>148691.62700000001</v>
      </c>
      <c r="S28" s="1">
        <v>180508.00399999999</v>
      </c>
      <c r="T28" s="1">
        <v>202593.37700000001</v>
      </c>
      <c r="U28" s="1">
        <v>190299.37400000001</v>
      </c>
    </row>
    <row r="29" spans="1:22">
      <c r="A29" s="1" t="s">
        <v>45</v>
      </c>
      <c r="F29" s="41">
        <v>426475.772</v>
      </c>
      <c r="I29" s="1">
        <v>425007.75599999999</v>
      </c>
      <c r="K29" s="1">
        <v>499041.63099999999</v>
      </c>
      <c r="L29" s="1">
        <v>649306.37100000004</v>
      </c>
      <c r="M29" s="1">
        <v>737880.10199999996</v>
      </c>
      <c r="N29" s="1">
        <v>671397.82799999998</v>
      </c>
      <c r="O29" s="1">
        <v>653358.02399999998</v>
      </c>
      <c r="P29" s="1">
        <v>680656.00100000005</v>
      </c>
      <c r="Q29" s="1">
        <v>778370.19299999997</v>
      </c>
      <c r="R29" s="1">
        <v>846911.28700000001</v>
      </c>
      <c r="S29" s="1">
        <v>891709.54599999997</v>
      </c>
      <c r="T29" s="1">
        <v>520207.90600000002</v>
      </c>
      <c r="U29" s="1">
        <v>461779</v>
      </c>
    </row>
    <row r="30" spans="1:22">
      <c r="A30" s="1" t="s">
        <v>46</v>
      </c>
      <c r="F30" s="41">
        <v>66819.313999999998</v>
      </c>
      <c r="I30" s="1">
        <v>80324.544999999998</v>
      </c>
      <c r="K30" s="1">
        <v>85823.714099999997</v>
      </c>
      <c r="L30" s="1">
        <v>110362.986</v>
      </c>
      <c r="M30" s="1">
        <v>124281.486</v>
      </c>
      <c r="N30" s="1">
        <v>149676.427</v>
      </c>
      <c r="O30" s="1">
        <v>158855.67199999999</v>
      </c>
      <c r="P30" s="1">
        <v>127650.51</v>
      </c>
      <c r="Q30" s="1">
        <v>281486.48</v>
      </c>
      <c r="R30" s="1">
        <v>183669.579</v>
      </c>
      <c r="S30" s="1">
        <v>199903.272</v>
      </c>
      <c r="T30" s="1">
        <v>204112.58199999999</v>
      </c>
      <c r="U30" s="1">
        <v>198637.69399999999</v>
      </c>
    </row>
    <row r="31" spans="1:22">
      <c r="A31" s="1" t="s">
        <v>47</v>
      </c>
      <c r="F31" s="41">
        <v>30812.54</v>
      </c>
      <c r="I31" s="1">
        <v>30917.713</v>
      </c>
      <c r="K31" s="1">
        <v>15870.614</v>
      </c>
      <c r="L31" s="1">
        <v>32029.722000000002</v>
      </c>
      <c r="M31" s="1">
        <v>35388.298999999999</v>
      </c>
      <c r="N31" s="1">
        <v>35101.987000000001</v>
      </c>
      <c r="O31" s="1">
        <v>35422.639999999999</v>
      </c>
      <c r="P31" s="1">
        <v>39810.091</v>
      </c>
      <c r="Q31" s="1">
        <v>40914.256999999998</v>
      </c>
      <c r="R31" s="1">
        <v>49907.629000000001</v>
      </c>
      <c r="S31" s="1">
        <v>49343.173999999999</v>
      </c>
      <c r="T31" s="1">
        <v>56429.398000000001</v>
      </c>
      <c r="U31" s="1">
        <v>55384.296999999999</v>
      </c>
    </row>
    <row r="32" spans="1:22">
      <c r="A32" s="1" t="s">
        <v>48</v>
      </c>
      <c r="F32" s="41">
        <v>24533.609</v>
      </c>
      <c r="I32" s="1">
        <v>24689.929</v>
      </c>
      <c r="K32" s="1">
        <v>28619.097000000002</v>
      </c>
      <c r="L32" s="1">
        <v>36308.817999999999</v>
      </c>
      <c r="M32" s="1">
        <v>39857.51</v>
      </c>
      <c r="N32" s="1">
        <v>40797.095999999998</v>
      </c>
      <c r="O32" s="1">
        <v>56049.034</v>
      </c>
      <c r="P32" s="1">
        <v>57932.432000000001</v>
      </c>
      <c r="Q32" s="1">
        <v>46923.067000000003</v>
      </c>
      <c r="R32" s="1">
        <v>52754.021999999997</v>
      </c>
      <c r="S32" s="1">
        <v>56144.28</v>
      </c>
      <c r="T32" s="1">
        <v>60371.355000000003</v>
      </c>
      <c r="U32" s="1">
        <v>55215.093999999997</v>
      </c>
    </row>
    <row r="33" spans="1:22">
      <c r="A33" s="1" t="s">
        <v>49</v>
      </c>
      <c r="F33" s="41">
        <v>18563.034</v>
      </c>
      <c r="I33" s="1">
        <v>18773.718000000001</v>
      </c>
      <c r="K33" s="1">
        <v>25607.162</v>
      </c>
      <c r="L33" s="1">
        <v>25254.702000000001</v>
      </c>
      <c r="M33" s="1">
        <v>25697.767</v>
      </c>
      <c r="N33" s="1">
        <v>34803.548000000003</v>
      </c>
      <c r="O33" s="1">
        <v>38645.4</v>
      </c>
      <c r="P33" s="1">
        <v>45825.285000000003</v>
      </c>
      <c r="Q33" s="1">
        <v>45536.186999999998</v>
      </c>
      <c r="R33" s="1">
        <v>45845.987999999998</v>
      </c>
      <c r="S33" s="1">
        <v>49197.599999999999</v>
      </c>
      <c r="T33" s="1">
        <v>51483.192000000003</v>
      </c>
      <c r="U33" s="1">
        <v>21759.666000000001</v>
      </c>
    </row>
    <row r="34" spans="1:22">
      <c r="A34" s="1" t="s">
        <v>50</v>
      </c>
      <c r="F34" s="41">
        <v>22278.329000000002</v>
      </c>
      <c r="I34" s="1">
        <v>23971.376</v>
      </c>
      <c r="K34" s="1">
        <v>30147.927</v>
      </c>
      <c r="L34" s="1">
        <v>35574.932999999997</v>
      </c>
      <c r="M34" s="1">
        <v>40651.726000000002</v>
      </c>
      <c r="N34" s="1">
        <v>51100.593999999997</v>
      </c>
      <c r="O34" s="1">
        <v>48734.773000000001</v>
      </c>
      <c r="P34" s="1">
        <v>64634.894</v>
      </c>
      <c r="Q34" s="1">
        <v>74071.153000000006</v>
      </c>
      <c r="R34" s="1">
        <v>86343.952999999994</v>
      </c>
      <c r="S34" s="1">
        <v>96309.835999999996</v>
      </c>
      <c r="T34" s="1">
        <v>106679.534</v>
      </c>
      <c r="U34" s="1">
        <v>89749.251999999993</v>
      </c>
    </row>
    <row r="35" spans="1:22">
      <c r="A35" s="1" t="s">
        <v>51</v>
      </c>
      <c r="F35" s="41">
        <v>42731.72</v>
      </c>
      <c r="I35" s="1">
        <v>44599.512999999999</v>
      </c>
      <c r="K35" s="1">
        <v>54401.034460000003</v>
      </c>
      <c r="L35" s="1">
        <v>54940.309000000001</v>
      </c>
      <c r="M35" s="1">
        <v>61343.722999999998</v>
      </c>
      <c r="N35" s="1">
        <v>72293.562000000005</v>
      </c>
      <c r="O35" s="1">
        <v>75974.907999999996</v>
      </c>
      <c r="P35" s="1">
        <v>81821.126000000004</v>
      </c>
      <c r="Q35" s="1">
        <v>94908.622000000003</v>
      </c>
      <c r="R35" s="1">
        <v>95128.407000000007</v>
      </c>
      <c r="S35" s="1">
        <v>105538.435</v>
      </c>
      <c r="T35" s="1">
        <v>98791.607999999993</v>
      </c>
      <c r="U35" s="1">
        <v>87841.312000000005</v>
      </c>
    </row>
    <row r="36" spans="1:22">
      <c r="A36" s="1" t="s">
        <v>52</v>
      </c>
      <c r="F36" s="41">
        <v>55574.828999999998</v>
      </c>
      <c r="I36" s="1">
        <v>56747.987000000001</v>
      </c>
      <c r="K36" s="1">
        <v>63657.260999999999</v>
      </c>
      <c r="L36" s="1">
        <v>81006.095000000001</v>
      </c>
      <c r="M36" s="1">
        <v>87907.555999999997</v>
      </c>
      <c r="N36" s="1">
        <v>73690.334000000003</v>
      </c>
      <c r="O36" s="1">
        <v>77642.213000000003</v>
      </c>
      <c r="P36" s="1">
        <v>68650.262000000002</v>
      </c>
      <c r="Q36" s="1">
        <v>75386.13</v>
      </c>
      <c r="R36" s="1">
        <v>109070.26</v>
      </c>
      <c r="S36" s="1">
        <v>116102.59299999999</v>
      </c>
      <c r="T36" s="1">
        <v>0</v>
      </c>
      <c r="U36" s="1">
        <v>0</v>
      </c>
    </row>
    <row r="37" spans="1:22">
      <c r="A37" s="1" t="s">
        <v>53</v>
      </c>
      <c r="F37" s="41">
        <v>43004.158000000003</v>
      </c>
      <c r="I37" s="1">
        <v>53763.832000000002</v>
      </c>
      <c r="K37" s="1">
        <v>58514.870999999999</v>
      </c>
      <c r="L37" s="1">
        <v>77923.247000000003</v>
      </c>
      <c r="M37" s="1">
        <v>88237.785999999993</v>
      </c>
      <c r="N37" s="1">
        <v>97445.091</v>
      </c>
      <c r="O37" s="1">
        <v>89957.006999999998</v>
      </c>
      <c r="P37" s="1">
        <v>101710.298</v>
      </c>
      <c r="Q37" s="1">
        <v>101407.31200000001</v>
      </c>
      <c r="R37" s="1">
        <v>113888.287</v>
      </c>
      <c r="S37" s="1">
        <v>111850.41800000001</v>
      </c>
      <c r="T37" s="1">
        <v>39971.398999999998</v>
      </c>
      <c r="U37" s="1">
        <v>44421.993999999999</v>
      </c>
    </row>
    <row r="38" spans="1:22">
      <c r="A38" s="1" t="s">
        <v>54</v>
      </c>
      <c r="F38" s="41">
        <v>98475.517000000007</v>
      </c>
      <c r="I38" s="1">
        <v>124436.307</v>
      </c>
      <c r="K38" s="1">
        <v>134756.99900000001</v>
      </c>
      <c r="L38" s="1">
        <v>138431.891</v>
      </c>
      <c r="M38" s="1">
        <v>156457.171</v>
      </c>
      <c r="N38" s="1">
        <v>176913.761</v>
      </c>
      <c r="O38" s="1">
        <v>272755.55300000001</v>
      </c>
      <c r="P38" s="1">
        <v>233282.45300000001</v>
      </c>
      <c r="Q38" s="1">
        <v>246622.12599999999</v>
      </c>
      <c r="R38" s="1">
        <v>258554.20499999999</v>
      </c>
      <c r="S38" s="1">
        <v>308182.75599999999</v>
      </c>
      <c r="T38" s="1">
        <v>269063.28700000001</v>
      </c>
      <c r="U38" s="1">
        <v>271198.02799999999</v>
      </c>
    </row>
    <row r="39" spans="1:22">
      <c r="A39" s="23" t="s">
        <v>55</v>
      </c>
      <c r="B39" s="23"/>
      <c r="C39" s="23"/>
      <c r="D39" s="23"/>
      <c r="E39" s="23"/>
      <c r="F39" s="44">
        <v>11591.267</v>
      </c>
      <c r="G39" s="23"/>
      <c r="H39" s="23"/>
      <c r="I39" s="23">
        <v>12339.377</v>
      </c>
      <c r="J39" s="23"/>
      <c r="K39" s="23">
        <v>12957.491</v>
      </c>
      <c r="L39" s="23">
        <v>12959.218000000001</v>
      </c>
      <c r="M39" s="23">
        <v>13482.914000000001</v>
      </c>
      <c r="N39" s="23">
        <v>16845.259999999998</v>
      </c>
      <c r="O39" s="23">
        <v>18582.684000000001</v>
      </c>
      <c r="P39" s="23">
        <v>19688.579000000002</v>
      </c>
      <c r="Q39" s="23">
        <v>18690.753000000001</v>
      </c>
      <c r="R39" s="23">
        <v>20945.258000000002</v>
      </c>
      <c r="S39" s="23">
        <v>23966.329000000002</v>
      </c>
      <c r="T39" s="23">
        <v>24372.863000000001</v>
      </c>
      <c r="U39" s="23">
        <v>39377.461000000003</v>
      </c>
      <c r="V39" s="23"/>
    </row>
    <row r="40" spans="1:22">
      <c r="A40" s="7" t="s">
        <v>56</v>
      </c>
      <c r="B40" s="47">
        <f>SUM(B42:B53)</f>
        <v>0</v>
      </c>
      <c r="C40" s="47">
        <f t="shared" ref="C40:V40" si="5">SUM(C42:C53)</f>
        <v>0</v>
      </c>
      <c r="D40" s="47">
        <f t="shared" si="5"/>
        <v>0</v>
      </c>
      <c r="E40" s="47">
        <f t="shared" si="5"/>
        <v>0</v>
      </c>
      <c r="F40" s="47">
        <f t="shared" si="5"/>
        <v>1322208.1950000001</v>
      </c>
      <c r="G40" s="47">
        <f t="shared" si="5"/>
        <v>0</v>
      </c>
      <c r="H40" s="47">
        <f t="shared" si="5"/>
        <v>0</v>
      </c>
      <c r="I40" s="47">
        <f t="shared" si="5"/>
        <v>1446462.6</v>
      </c>
      <c r="J40" s="47">
        <f t="shared" si="5"/>
        <v>0</v>
      </c>
      <c r="K40" s="47">
        <f t="shared" si="5"/>
        <v>1605355.8382699999</v>
      </c>
      <c r="L40" s="47">
        <f t="shared" si="5"/>
        <v>1825629.31</v>
      </c>
      <c r="M40" s="47">
        <f t="shared" si="5"/>
        <v>2066202.4200000002</v>
      </c>
      <c r="N40" s="47">
        <f t="shared" si="5"/>
        <v>2159789.6369999996</v>
      </c>
      <c r="O40" s="47">
        <f t="shared" si="5"/>
        <v>2186660.6289999997</v>
      </c>
      <c r="P40" s="47">
        <f t="shared" si="5"/>
        <v>2333656.3879999998</v>
      </c>
      <c r="Q40" s="47">
        <f t="shared" si="5"/>
        <v>2471174.5399999991</v>
      </c>
      <c r="R40" s="47">
        <f t="shared" si="5"/>
        <v>2751077.7129999995</v>
      </c>
      <c r="S40" s="47">
        <f t="shared" si="5"/>
        <v>2799432.1659999997</v>
      </c>
      <c r="T40" s="47">
        <f t="shared" si="5"/>
        <v>2251960.4740000004</v>
      </c>
      <c r="U40" s="47">
        <f t="shared" si="5"/>
        <v>1755913.0460000001</v>
      </c>
      <c r="V40" s="47">
        <f t="shared" si="5"/>
        <v>0</v>
      </c>
    </row>
    <row r="41" spans="1:22">
      <c r="A41" s="7" t="s">
        <v>97</v>
      </c>
    </row>
    <row r="42" spans="1:22">
      <c r="A42" s="1" t="s">
        <v>57</v>
      </c>
      <c r="F42" s="41">
        <v>193302.39799999999</v>
      </c>
      <c r="I42" s="1">
        <v>219457.49</v>
      </c>
      <c r="K42" s="1">
        <v>240420.65400000001</v>
      </c>
      <c r="L42" s="1">
        <v>270027.33899999998</v>
      </c>
      <c r="M42" s="1">
        <v>293185.717</v>
      </c>
      <c r="N42" s="1">
        <v>306717.07500000001</v>
      </c>
      <c r="O42" s="1">
        <v>329654.065</v>
      </c>
      <c r="P42" s="1">
        <v>332590.41800000001</v>
      </c>
      <c r="Q42" s="1">
        <v>356330.12599999999</v>
      </c>
      <c r="R42" s="1">
        <v>395956.4</v>
      </c>
      <c r="S42" s="1">
        <v>388809.25300000003</v>
      </c>
      <c r="T42" s="1">
        <v>426365.21</v>
      </c>
      <c r="U42" s="1">
        <v>431896.39</v>
      </c>
    </row>
    <row r="43" spans="1:22">
      <c r="A43" s="1" t="s">
        <v>58</v>
      </c>
      <c r="F43" s="41">
        <v>174146.90100000001</v>
      </c>
      <c r="I43" s="1">
        <v>186201.01</v>
      </c>
      <c r="K43" s="1">
        <v>197892.88800000001</v>
      </c>
      <c r="L43" s="1">
        <v>217289.21100000001</v>
      </c>
      <c r="M43" s="1">
        <v>224608.592</v>
      </c>
      <c r="N43" s="1">
        <v>229497.13200000001</v>
      </c>
      <c r="O43" s="1">
        <v>249196.56400000001</v>
      </c>
      <c r="P43" s="1">
        <v>260954.185</v>
      </c>
      <c r="Q43" s="1">
        <v>284333.81900000002</v>
      </c>
      <c r="R43" s="1">
        <v>299097.75900000002</v>
      </c>
      <c r="S43" s="1">
        <v>311593.223</v>
      </c>
      <c r="T43" s="1">
        <v>341137.04</v>
      </c>
      <c r="U43" s="1">
        <v>257983.44399999999</v>
      </c>
    </row>
    <row r="44" spans="1:22">
      <c r="A44" s="1" t="s">
        <v>59</v>
      </c>
      <c r="F44" s="41">
        <v>63106.853000000003</v>
      </c>
      <c r="I44" s="1">
        <v>70546.608999999997</v>
      </c>
      <c r="K44" s="1">
        <v>78395.745999999999</v>
      </c>
      <c r="L44" s="1">
        <v>92165.486000000004</v>
      </c>
      <c r="M44" s="1">
        <v>97323.569000000003</v>
      </c>
      <c r="N44" s="1">
        <v>103975.416</v>
      </c>
      <c r="O44" s="1">
        <v>83234.514999999999</v>
      </c>
      <c r="P44" s="1">
        <v>114030.171</v>
      </c>
      <c r="Q44" s="1">
        <v>120652.25900000001</v>
      </c>
      <c r="R44" s="1">
        <v>127734.042</v>
      </c>
      <c r="S44" s="1">
        <v>129592.823</v>
      </c>
      <c r="T44" s="1">
        <v>72137.748000000007</v>
      </c>
      <c r="U44" s="1">
        <v>74146.832999999999</v>
      </c>
    </row>
    <row r="45" spans="1:22">
      <c r="A45" s="1" t="s">
        <v>60</v>
      </c>
      <c r="F45" s="41">
        <v>78441.562000000005</v>
      </c>
      <c r="I45" s="1">
        <v>94093.84</v>
      </c>
      <c r="K45" s="1">
        <v>98716.209439999991</v>
      </c>
      <c r="L45" s="1">
        <v>108209.35400000001</v>
      </c>
      <c r="M45" s="1">
        <v>115881.19</v>
      </c>
      <c r="N45" s="1">
        <v>118900.54300000001</v>
      </c>
      <c r="O45" s="1">
        <v>120363.52899999999</v>
      </c>
      <c r="P45" s="1">
        <v>134337.10699999999</v>
      </c>
      <c r="Q45" s="1">
        <v>143184.06</v>
      </c>
      <c r="R45" s="1">
        <v>145099.18400000001</v>
      </c>
      <c r="S45" s="1">
        <v>147900.33799999999</v>
      </c>
      <c r="T45" s="1">
        <v>142046.587</v>
      </c>
      <c r="U45" s="1">
        <v>141820.94899999999</v>
      </c>
    </row>
    <row r="46" spans="1:22">
      <c r="A46" s="1" t="s">
        <v>61</v>
      </c>
      <c r="F46" s="41">
        <v>223357.804</v>
      </c>
      <c r="I46" s="1">
        <v>246106.07</v>
      </c>
      <c r="K46" s="1">
        <v>280582.73</v>
      </c>
      <c r="L46" s="1">
        <v>359880.777</v>
      </c>
      <c r="M46" s="1">
        <v>380932.73100000003</v>
      </c>
      <c r="N46" s="1">
        <v>476561.88400000002</v>
      </c>
      <c r="O46" s="1">
        <v>484258.21799999999</v>
      </c>
      <c r="P46" s="1">
        <v>494273.01500000001</v>
      </c>
      <c r="Q46" s="1">
        <v>523281.84299999999</v>
      </c>
      <c r="R46" s="1">
        <v>587280.58900000004</v>
      </c>
      <c r="S46" s="1">
        <v>624397.54399999999</v>
      </c>
      <c r="T46" s="1">
        <v>130428.128</v>
      </c>
      <c r="U46" s="1">
        <v>87121.606</v>
      </c>
    </row>
    <row r="47" spans="1:22">
      <c r="A47" s="1" t="s">
        <v>62</v>
      </c>
      <c r="F47" s="41">
        <v>118109.466</v>
      </c>
      <c r="I47" s="1">
        <v>120465.492</v>
      </c>
      <c r="K47" s="1">
        <v>138625.04699999999</v>
      </c>
      <c r="L47" s="1">
        <v>159335.78700000001</v>
      </c>
      <c r="M47" s="1">
        <v>178081.071</v>
      </c>
      <c r="N47" s="1">
        <v>197535.57500000001</v>
      </c>
      <c r="O47" s="1">
        <v>210267.09</v>
      </c>
      <c r="P47" s="1">
        <v>198414.11300000001</v>
      </c>
      <c r="Q47" s="1">
        <v>216897.67300000001</v>
      </c>
      <c r="R47" s="1">
        <v>247997.33600000001</v>
      </c>
      <c r="S47" s="1">
        <v>246173.16699999999</v>
      </c>
      <c r="T47" s="1">
        <v>302026.41800000001</v>
      </c>
      <c r="U47" s="1">
        <v>57756</v>
      </c>
    </row>
    <row r="48" spans="1:22">
      <c r="A48" s="1" t="s">
        <v>63</v>
      </c>
      <c r="F48" s="41">
        <v>70619.085999999996</v>
      </c>
      <c r="I48" s="1">
        <v>84082.694000000003</v>
      </c>
      <c r="K48" s="1">
        <v>110969.196</v>
      </c>
      <c r="L48" s="1">
        <v>122376.878</v>
      </c>
      <c r="M48" s="1">
        <v>224876.52499999999</v>
      </c>
      <c r="N48" s="1">
        <v>141651.55799999999</v>
      </c>
      <c r="O48" s="1">
        <v>120897.588</v>
      </c>
      <c r="P48" s="1">
        <v>127992.22900000001</v>
      </c>
      <c r="Q48" s="1">
        <v>131302.18299999999</v>
      </c>
      <c r="R48" s="1">
        <v>149376.234</v>
      </c>
      <c r="S48" s="1">
        <v>138679.87599999999</v>
      </c>
      <c r="T48" s="1">
        <v>51566.697999999997</v>
      </c>
      <c r="U48" s="1">
        <v>41970.108999999997</v>
      </c>
    </row>
    <row r="49" spans="1:22">
      <c r="A49" s="1" t="s">
        <v>64</v>
      </c>
      <c r="F49" s="41">
        <v>38947.639000000003</v>
      </c>
      <c r="I49" s="1">
        <v>43831.546000000002</v>
      </c>
      <c r="K49" s="1">
        <v>48128.921000000002</v>
      </c>
      <c r="L49" s="1">
        <v>50556.182000000001</v>
      </c>
      <c r="M49" s="1">
        <v>55049.027999999998</v>
      </c>
      <c r="N49" s="1">
        <v>67324.573999999993</v>
      </c>
      <c r="O49" s="1">
        <v>66462.581999999995</v>
      </c>
      <c r="P49" s="1">
        <v>72307.422999999995</v>
      </c>
      <c r="Q49" s="1">
        <v>81195.415999999997</v>
      </c>
      <c r="R49" s="1">
        <v>87882.9</v>
      </c>
      <c r="S49" s="1">
        <v>90300.129000000001</v>
      </c>
      <c r="T49" s="1">
        <v>93248.596999999994</v>
      </c>
      <c r="U49" s="1">
        <v>75387.972999999998</v>
      </c>
    </row>
    <row r="50" spans="1:22">
      <c r="A50" s="1" t="s">
        <v>65</v>
      </c>
      <c r="F50" s="41">
        <v>25678.436000000002</v>
      </c>
      <c r="I50" s="1">
        <v>27429.458999999999</v>
      </c>
      <c r="K50" s="1">
        <v>31967.86</v>
      </c>
      <c r="L50" s="1">
        <v>26972.197</v>
      </c>
      <c r="M50" s="1">
        <v>36694.239000000001</v>
      </c>
      <c r="N50" s="1">
        <v>39385.78</v>
      </c>
      <c r="O50" s="1">
        <v>34218.737999999998</v>
      </c>
      <c r="P50" s="1">
        <v>36983.942999999999</v>
      </c>
      <c r="Q50" s="1">
        <v>35648.243000000002</v>
      </c>
      <c r="R50" s="1">
        <v>44535.05</v>
      </c>
      <c r="S50" s="1">
        <v>41616.766000000003</v>
      </c>
      <c r="T50" s="1">
        <v>51331.307999999997</v>
      </c>
      <c r="U50" s="1">
        <v>52126.747000000003</v>
      </c>
    </row>
    <row r="51" spans="1:22">
      <c r="A51" s="1" t="s">
        <v>66</v>
      </c>
      <c r="F51" s="41">
        <v>208153.33300000001</v>
      </c>
      <c r="I51" s="1">
        <v>216586.052</v>
      </c>
      <c r="K51" s="1">
        <v>236087.79500000001</v>
      </c>
      <c r="L51" s="1">
        <v>261289.31299999999</v>
      </c>
      <c r="M51" s="1">
        <v>277714.33299999998</v>
      </c>
      <c r="N51" s="1">
        <v>297496.69799999997</v>
      </c>
      <c r="O51" s="1">
        <v>309242.23300000001</v>
      </c>
      <c r="P51" s="1">
        <v>335248.478</v>
      </c>
      <c r="Q51" s="1">
        <v>345031.625</v>
      </c>
      <c r="R51" s="1">
        <v>410225.28600000002</v>
      </c>
      <c r="S51" s="1">
        <v>396683.81599999999</v>
      </c>
      <c r="T51" s="1">
        <v>348628.27600000001</v>
      </c>
      <c r="U51" s="1">
        <v>215384.15400000001</v>
      </c>
    </row>
    <row r="52" spans="1:22">
      <c r="A52" s="1" t="s">
        <v>67</v>
      </c>
      <c r="F52" s="41">
        <v>10659.018</v>
      </c>
      <c r="I52" s="1">
        <v>12736.093999999999</v>
      </c>
      <c r="K52" s="1">
        <v>13443.74683</v>
      </c>
      <c r="L52" s="1">
        <v>16305.173000000001</v>
      </c>
      <c r="M52" s="1">
        <v>17824.628000000001</v>
      </c>
      <c r="N52" s="1">
        <v>20706.406999999999</v>
      </c>
      <c r="O52" s="1">
        <v>17974.448</v>
      </c>
      <c r="P52" s="1">
        <v>22820.232</v>
      </c>
      <c r="Q52" s="1">
        <v>24449.276999999998</v>
      </c>
      <c r="R52" s="1">
        <v>22268.681</v>
      </c>
      <c r="S52" s="1">
        <v>31167.078000000001</v>
      </c>
      <c r="T52" s="1">
        <v>38947.815000000002</v>
      </c>
      <c r="U52" s="1">
        <v>39016.131999999998</v>
      </c>
    </row>
    <row r="53" spans="1:22">
      <c r="A53" s="23" t="s">
        <v>68</v>
      </c>
      <c r="B53" s="23"/>
      <c r="C53" s="23"/>
      <c r="D53" s="23"/>
      <c r="E53" s="23"/>
      <c r="F53" s="44">
        <v>117685.69899999999</v>
      </c>
      <c r="G53" s="23"/>
      <c r="H53" s="23"/>
      <c r="I53" s="23">
        <v>124926.24400000001</v>
      </c>
      <c r="J53" s="23"/>
      <c r="K53" s="23">
        <v>130125.045</v>
      </c>
      <c r="L53" s="23">
        <v>141221.61300000001</v>
      </c>
      <c r="M53" s="23">
        <v>164030.79699999999</v>
      </c>
      <c r="N53" s="23">
        <v>160036.995</v>
      </c>
      <c r="O53" s="23">
        <v>160891.05900000001</v>
      </c>
      <c r="P53" s="23">
        <v>203705.07399999999</v>
      </c>
      <c r="Q53" s="23">
        <v>208868.016</v>
      </c>
      <c r="R53" s="23">
        <v>233624.25200000001</v>
      </c>
      <c r="S53" s="23">
        <v>252518.15299999999</v>
      </c>
      <c r="T53" s="23">
        <v>254096.649</v>
      </c>
      <c r="U53" s="23">
        <v>281302.70899999997</v>
      </c>
      <c r="V53" s="23"/>
    </row>
    <row r="54" spans="1:22">
      <c r="A54" s="7" t="s">
        <v>69</v>
      </c>
      <c r="B54" s="47">
        <f>SUM(B56:B64)</f>
        <v>0</v>
      </c>
      <c r="C54" s="47">
        <f t="shared" ref="C54:V54" si="6">SUM(C56:C64)</f>
        <v>0</v>
      </c>
      <c r="D54" s="47">
        <f t="shared" si="6"/>
        <v>0</v>
      </c>
      <c r="E54" s="47">
        <f t="shared" si="6"/>
        <v>0</v>
      </c>
      <c r="F54" s="47">
        <f t="shared" si="6"/>
        <v>907794.96400000004</v>
      </c>
      <c r="G54" s="47">
        <f t="shared" si="6"/>
        <v>0</v>
      </c>
      <c r="H54" s="47">
        <f t="shared" si="6"/>
        <v>0</v>
      </c>
      <c r="I54" s="47">
        <f t="shared" si="6"/>
        <v>1025035.6499999999</v>
      </c>
      <c r="J54" s="47">
        <f t="shared" si="6"/>
        <v>0</v>
      </c>
      <c r="K54" s="47">
        <f t="shared" si="6"/>
        <v>1151974.027</v>
      </c>
      <c r="L54" s="47">
        <f t="shared" si="6"/>
        <v>1246165.3419999999</v>
      </c>
      <c r="M54" s="47">
        <f t="shared" si="6"/>
        <v>1260990.9270000001</v>
      </c>
      <c r="N54" s="47">
        <f t="shared" si="6"/>
        <v>1184300.47</v>
      </c>
      <c r="O54" s="47">
        <f t="shared" si="6"/>
        <v>1108893.004</v>
      </c>
      <c r="P54" s="47">
        <f t="shared" si="6"/>
        <v>1249779.6679999998</v>
      </c>
      <c r="Q54" s="47">
        <f t="shared" si="6"/>
        <v>1630260.858</v>
      </c>
      <c r="R54" s="47">
        <f t="shared" si="6"/>
        <v>1707780.6230000001</v>
      </c>
      <c r="S54" s="47">
        <f t="shared" si="6"/>
        <v>1770328.3659999997</v>
      </c>
      <c r="T54" s="47">
        <f t="shared" si="6"/>
        <v>1578008.1069999998</v>
      </c>
      <c r="U54" s="47">
        <f t="shared" si="6"/>
        <v>1170224.9639999999</v>
      </c>
      <c r="V54" s="47">
        <f t="shared" si="6"/>
        <v>0</v>
      </c>
    </row>
    <row r="55" spans="1:22">
      <c r="A55" s="7" t="s">
        <v>97</v>
      </c>
    </row>
    <row r="56" spans="1:22">
      <c r="A56" s="1" t="s">
        <v>70</v>
      </c>
      <c r="F56" s="41">
        <v>54627.347000000002</v>
      </c>
      <c r="I56" s="1">
        <v>65700.97</v>
      </c>
      <c r="K56" s="1">
        <v>62917.338000000003</v>
      </c>
      <c r="L56" s="1">
        <v>90913.577000000005</v>
      </c>
      <c r="M56" s="1">
        <v>89637.682000000001</v>
      </c>
      <c r="N56" s="1">
        <v>93670.433999999994</v>
      </c>
      <c r="O56" s="1">
        <v>107087.541</v>
      </c>
      <c r="P56" s="1">
        <v>110345.73299999999</v>
      </c>
      <c r="Q56" s="1">
        <v>160345.87700000001</v>
      </c>
      <c r="R56" s="1">
        <v>172784.61799999999</v>
      </c>
      <c r="S56" s="1">
        <v>167520.549</v>
      </c>
      <c r="T56" s="1">
        <v>106984.575</v>
      </c>
      <c r="U56" s="1">
        <v>91790.323999999993</v>
      </c>
    </row>
    <row r="57" spans="1:22">
      <c r="A57" s="1" t="s">
        <v>71</v>
      </c>
      <c r="F57" s="41">
        <v>22537.149000000001</v>
      </c>
      <c r="I57" s="1">
        <v>23219.721000000001</v>
      </c>
      <c r="K57" s="1">
        <v>25286.573</v>
      </c>
      <c r="L57" s="1">
        <v>27183.235000000001</v>
      </c>
      <c r="M57" s="1">
        <v>30064.795999999998</v>
      </c>
      <c r="N57" s="1">
        <v>30347.91</v>
      </c>
      <c r="O57" s="1">
        <v>34536.900999999998</v>
      </c>
      <c r="P57" s="1">
        <v>36855.563999999998</v>
      </c>
      <c r="Q57" s="1">
        <v>40463.455999999998</v>
      </c>
      <c r="R57" s="1">
        <v>46783.86</v>
      </c>
      <c r="S57" s="1">
        <v>47540.892</v>
      </c>
      <c r="T57" s="1">
        <v>51567.811999999998</v>
      </c>
      <c r="U57" s="1">
        <v>52427.845000000001</v>
      </c>
    </row>
    <row r="58" spans="1:22" s="11" customFormat="1">
      <c r="A58" s="1" t="s">
        <v>72</v>
      </c>
      <c r="B58" s="1"/>
      <c r="C58" s="1"/>
      <c r="D58" s="1"/>
      <c r="E58" s="1"/>
      <c r="F58" s="41">
        <v>87456.43</v>
      </c>
      <c r="G58" s="1"/>
      <c r="H58" s="1"/>
      <c r="I58" s="1">
        <v>111027.535</v>
      </c>
      <c r="J58" s="1"/>
      <c r="K58" s="1">
        <v>113443.482</v>
      </c>
      <c r="L58" s="1">
        <v>133367.29699999999</v>
      </c>
      <c r="M58" s="1">
        <v>146950.774</v>
      </c>
      <c r="N58" s="1">
        <v>154590.83499999999</v>
      </c>
      <c r="O58" s="1">
        <v>154737.848</v>
      </c>
      <c r="P58" s="1">
        <v>174597.45199999999</v>
      </c>
      <c r="Q58" s="1">
        <v>208590.40400000001</v>
      </c>
      <c r="R58" s="1">
        <v>239583.61600000001</v>
      </c>
      <c r="S58" s="1">
        <v>248935.728</v>
      </c>
      <c r="T58" s="1">
        <v>255573.86</v>
      </c>
      <c r="U58" s="1">
        <v>203532.29699999999</v>
      </c>
      <c r="V58" s="1"/>
    </row>
    <row r="59" spans="1:22">
      <c r="A59" s="1" t="s">
        <v>73</v>
      </c>
      <c r="F59" s="41">
        <v>11770.768</v>
      </c>
      <c r="I59" s="1">
        <v>14894.15</v>
      </c>
      <c r="K59" s="1">
        <v>16537.701000000001</v>
      </c>
      <c r="L59" s="1">
        <v>17986.597000000002</v>
      </c>
      <c r="M59" s="1">
        <v>17157.830000000002</v>
      </c>
      <c r="N59" s="1">
        <v>20489.866000000002</v>
      </c>
      <c r="O59" s="1">
        <v>19907.644</v>
      </c>
      <c r="P59" s="1">
        <v>23522.32</v>
      </c>
      <c r="Q59" s="1">
        <v>32992.339</v>
      </c>
      <c r="R59" s="1">
        <v>32967.014999999999</v>
      </c>
      <c r="S59" s="1">
        <v>38487.894999999997</v>
      </c>
      <c r="T59" s="1">
        <v>0</v>
      </c>
      <c r="U59" s="1">
        <v>0</v>
      </c>
    </row>
    <row r="60" spans="1:22">
      <c r="A60" s="1" t="s">
        <v>74</v>
      </c>
      <c r="F60" s="41">
        <v>91714.248000000007</v>
      </c>
      <c r="I60" s="1">
        <v>108668.83900000001</v>
      </c>
      <c r="K60" s="1">
        <v>181964.057</v>
      </c>
      <c r="L60" s="1">
        <v>127892.113</v>
      </c>
      <c r="M60" s="1">
        <v>138256.06899999999</v>
      </c>
      <c r="N60" s="1">
        <v>147237.72700000001</v>
      </c>
      <c r="O60" s="1">
        <v>150660.16800000001</v>
      </c>
      <c r="P60" s="1">
        <v>163149.29500000001</v>
      </c>
      <c r="Q60" s="1">
        <v>284699.935</v>
      </c>
      <c r="R60" s="1">
        <v>319158.85100000002</v>
      </c>
      <c r="S60" s="1">
        <v>316192.005</v>
      </c>
      <c r="T60" s="1">
        <v>136984.71299999999</v>
      </c>
      <c r="U60" s="1">
        <v>146554.10800000001</v>
      </c>
    </row>
    <row r="61" spans="1:22">
      <c r="A61" s="1" t="s">
        <v>75</v>
      </c>
      <c r="F61" s="41">
        <v>355659.80699999997</v>
      </c>
      <c r="I61" s="1">
        <v>409674.59399999998</v>
      </c>
      <c r="K61" s="1">
        <v>438884.52500000002</v>
      </c>
      <c r="L61" s="1">
        <v>502108.853</v>
      </c>
      <c r="M61" s="1">
        <v>528830.946</v>
      </c>
      <c r="N61" s="1">
        <v>518260.63</v>
      </c>
      <c r="O61" s="1">
        <v>484733.21</v>
      </c>
      <c r="P61" s="1">
        <v>559350.26</v>
      </c>
      <c r="Q61" s="1">
        <v>706122.50699999998</v>
      </c>
      <c r="R61" s="1">
        <v>669906.42799999996</v>
      </c>
      <c r="S61" s="1">
        <v>723344.84199999995</v>
      </c>
      <c r="T61" s="1">
        <v>804568.13399999996</v>
      </c>
      <c r="U61" s="1">
        <v>470184.56400000001</v>
      </c>
    </row>
    <row r="62" spans="1:22">
      <c r="A62" s="1" t="s">
        <v>76</v>
      </c>
      <c r="F62" s="41">
        <v>243649.01800000001</v>
      </c>
      <c r="I62" s="1">
        <v>247337.337</v>
      </c>
      <c r="K62" s="1">
        <v>262750.62099999998</v>
      </c>
      <c r="L62" s="1">
        <v>290126.70199999999</v>
      </c>
      <c r="M62" s="1">
        <v>250199.595</v>
      </c>
      <c r="N62" s="1">
        <v>158383.98499999999</v>
      </c>
      <c r="O62" s="1">
        <v>105488.716</v>
      </c>
      <c r="P62" s="1">
        <v>109581.659</v>
      </c>
      <c r="Q62" s="1">
        <v>114896.073</v>
      </c>
      <c r="R62" s="1">
        <v>127977.401</v>
      </c>
      <c r="S62" s="1">
        <v>134019.535</v>
      </c>
      <c r="T62" s="1">
        <v>141775.81200000001</v>
      </c>
      <c r="U62" s="1">
        <v>144040.74</v>
      </c>
    </row>
    <row r="63" spans="1:22">
      <c r="A63" s="1" t="s">
        <v>77</v>
      </c>
      <c r="F63" s="41">
        <v>19246.728999999999</v>
      </c>
      <c r="I63" s="1">
        <v>20884.095000000001</v>
      </c>
      <c r="K63" s="1">
        <v>26967.8</v>
      </c>
      <c r="L63" s="1">
        <v>31016.024000000001</v>
      </c>
      <c r="M63" s="1">
        <v>33588.360999999997</v>
      </c>
      <c r="N63" s="1">
        <v>29988.785</v>
      </c>
      <c r="O63" s="1">
        <v>34864.116999999998</v>
      </c>
      <c r="P63" s="1">
        <v>34257.423999999999</v>
      </c>
      <c r="Q63" s="1">
        <v>38479.635000000002</v>
      </c>
      <c r="R63" s="1">
        <v>47666.718999999997</v>
      </c>
      <c r="S63" s="1">
        <v>42155.586000000003</v>
      </c>
      <c r="T63" s="1">
        <v>34726.362000000001</v>
      </c>
      <c r="U63" s="1">
        <v>33800.453999999998</v>
      </c>
    </row>
    <row r="64" spans="1:22">
      <c r="A64" s="23" t="s">
        <v>78</v>
      </c>
      <c r="B64" s="23"/>
      <c r="C64" s="23"/>
      <c r="D64" s="23"/>
      <c r="E64" s="23"/>
      <c r="F64" s="44">
        <v>21133.468000000001</v>
      </c>
      <c r="G64" s="23"/>
      <c r="H64" s="23"/>
      <c r="I64" s="23">
        <v>23628.409</v>
      </c>
      <c r="J64" s="23"/>
      <c r="K64" s="23">
        <v>23221.93</v>
      </c>
      <c r="L64" s="23">
        <v>25570.944</v>
      </c>
      <c r="M64" s="23">
        <v>26304.874</v>
      </c>
      <c r="N64" s="23">
        <v>31330.297999999999</v>
      </c>
      <c r="O64" s="23">
        <v>16876.859</v>
      </c>
      <c r="P64" s="23">
        <v>38119.961000000003</v>
      </c>
      <c r="Q64" s="23">
        <v>43670.631999999998</v>
      </c>
      <c r="R64" s="23">
        <v>50952.114999999998</v>
      </c>
      <c r="S64" s="23">
        <v>52131.334000000003</v>
      </c>
      <c r="T64" s="23">
        <v>45826.839</v>
      </c>
      <c r="U64" s="23">
        <v>27894.632000000001</v>
      </c>
      <c r="V64" s="23"/>
    </row>
    <row r="65" spans="1:22">
      <c r="A65" s="45" t="s">
        <v>79</v>
      </c>
      <c r="B65" s="45"/>
      <c r="C65" s="45"/>
      <c r="D65" s="45"/>
      <c r="E65" s="45"/>
      <c r="F65" s="46">
        <v>16378.137000000001</v>
      </c>
      <c r="G65" s="45"/>
      <c r="H65" s="45"/>
      <c r="I65" s="45">
        <v>16121.873</v>
      </c>
      <c r="J65" s="45"/>
      <c r="K65" s="45">
        <v>17388.88178</v>
      </c>
      <c r="L65" s="45">
        <v>6534.36</v>
      </c>
      <c r="M65" s="45">
        <v>8058.1819999999998</v>
      </c>
      <c r="N65" s="45">
        <v>6955.058</v>
      </c>
      <c r="O65" s="45">
        <v>7412.5240000000003</v>
      </c>
      <c r="P65" s="45">
        <v>7884.3509999999997</v>
      </c>
      <c r="Q65" s="45">
        <v>7575.7659999999996</v>
      </c>
      <c r="R65" s="45">
        <v>8810.7810000000009</v>
      </c>
      <c r="S65" s="45">
        <v>9409.74</v>
      </c>
      <c r="T65" s="45">
        <v>14313.107</v>
      </c>
      <c r="U65" s="45">
        <v>16711.631000000001</v>
      </c>
      <c r="V65" s="45"/>
    </row>
    <row r="66" spans="1:22">
      <c r="F66" s="41"/>
    </row>
    <row r="67" spans="1:22">
      <c r="I67" s="19" t="s">
        <v>99</v>
      </c>
      <c r="J67" s="19" t="s">
        <v>100</v>
      </c>
      <c r="K67" s="19"/>
      <c r="L67" s="19" t="s">
        <v>101</v>
      </c>
      <c r="M67" s="19"/>
      <c r="N67" s="19"/>
      <c r="O67" s="19" t="s">
        <v>99</v>
      </c>
      <c r="P67" s="19" t="s">
        <v>99</v>
      </c>
      <c r="Q67" s="19" t="s">
        <v>99</v>
      </c>
      <c r="R67" s="19" t="s">
        <v>99</v>
      </c>
      <c r="S67" s="19"/>
      <c r="T67" s="19"/>
      <c r="U67" s="19"/>
      <c r="V67" s="19"/>
    </row>
    <row r="68" spans="1:22">
      <c r="I68" s="1" t="s">
        <v>102</v>
      </c>
      <c r="J68" s="1" t="s">
        <v>103</v>
      </c>
      <c r="L68" s="1" t="s">
        <v>104</v>
      </c>
      <c r="O68" s="1" t="s">
        <v>102</v>
      </c>
      <c r="P68" s="1" t="s">
        <v>102</v>
      </c>
      <c r="Q68" s="1" t="s">
        <v>102</v>
      </c>
      <c r="R68" s="1" t="s">
        <v>102</v>
      </c>
    </row>
    <row r="69" spans="1:22">
      <c r="I69" s="1" t="s">
        <v>105</v>
      </c>
      <c r="J69" s="1" t="s">
        <v>106</v>
      </c>
      <c r="O69" s="1" t="s">
        <v>105</v>
      </c>
      <c r="P69" s="1" t="s">
        <v>105</v>
      </c>
      <c r="Q69" s="1" t="s">
        <v>105</v>
      </c>
      <c r="R69" s="1" t="s">
        <v>105</v>
      </c>
    </row>
    <row r="70" spans="1:22">
      <c r="J70" s="1" t="s">
        <v>107</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codeName="Sheet10">
    <tabColor theme="0" tint="-0.499984740745262"/>
  </sheetPr>
  <dimension ref="A1:V70"/>
  <sheetViews>
    <sheetView showZeros="0" zoomScale="80" zoomScaleNormal="80" workbookViewId="0">
      <pane xSplit="1" ySplit="5" topLeftCell="R6" activePane="bottomRight" state="frozen"/>
      <selection pane="topRight" activeCell="Z72" sqref="Z72"/>
      <selection pane="bottomLeft" activeCell="Z72" sqref="Z72"/>
      <selection pane="bottomRight" activeCell="Z72" sqref="Z72"/>
    </sheetView>
  </sheetViews>
  <sheetFormatPr defaultColWidth="9.85546875" defaultRowHeight="12.75"/>
  <cols>
    <col min="1" max="1" width="23.42578125" style="43" customWidth="1"/>
    <col min="2" max="22" width="12.42578125" style="1" customWidth="1"/>
    <col min="23" max="49" width="10.85546875" style="1" customWidth="1"/>
    <col min="50" max="16384" width="9.85546875" style="1"/>
  </cols>
  <sheetData>
    <row r="1" spans="1:22">
      <c r="A1" s="7" t="s">
        <v>94</v>
      </c>
      <c r="B1"/>
      <c r="C1"/>
      <c r="D1"/>
      <c r="E1"/>
      <c r="F1"/>
      <c r="G1"/>
      <c r="H1"/>
      <c r="I1"/>
      <c r="J1"/>
      <c r="K1"/>
      <c r="L1"/>
      <c r="M1"/>
      <c r="N1"/>
      <c r="O1"/>
      <c r="P1"/>
      <c r="Q1"/>
      <c r="R1"/>
      <c r="S1"/>
    </row>
    <row r="2" spans="1:22">
      <c r="A2" s="7"/>
      <c r="B2"/>
      <c r="C2"/>
      <c r="D2"/>
      <c r="E2"/>
      <c r="F2"/>
      <c r="G2"/>
      <c r="H2"/>
      <c r="I2"/>
      <c r="J2"/>
      <c r="K2"/>
      <c r="L2"/>
      <c r="M2"/>
      <c r="N2"/>
      <c r="O2"/>
      <c r="P2"/>
      <c r="Q2"/>
      <c r="R2"/>
      <c r="S2"/>
    </row>
    <row r="3" spans="1:22">
      <c r="A3" s="7" t="s">
        <v>156</v>
      </c>
      <c r="B3"/>
      <c r="C3"/>
      <c r="D3"/>
      <c r="E3"/>
      <c r="F3"/>
      <c r="G3"/>
      <c r="H3"/>
      <c r="I3"/>
      <c r="J3"/>
      <c r="K3"/>
      <c r="L3"/>
      <c r="M3"/>
      <c r="N3"/>
      <c r="O3"/>
      <c r="P3"/>
      <c r="Q3"/>
      <c r="R3"/>
      <c r="S3"/>
    </row>
    <row r="4" spans="1:22" s="32" customFormat="1">
      <c r="B4" s="32">
        <v>1984</v>
      </c>
      <c r="C4" s="32">
        <v>1985</v>
      </c>
      <c r="D4" s="32">
        <v>1986</v>
      </c>
      <c r="E4" s="32">
        <v>1991</v>
      </c>
      <c r="F4" s="32">
        <v>1992</v>
      </c>
      <c r="G4" s="32">
        <v>1993</v>
      </c>
      <c r="H4" s="32">
        <v>1994</v>
      </c>
      <c r="I4" s="32">
        <v>1995</v>
      </c>
      <c r="J4" s="32">
        <v>1996</v>
      </c>
      <c r="K4" s="32">
        <v>1997</v>
      </c>
      <c r="L4" s="32">
        <v>2000</v>
      </c>
      <c r="M4" s="39">
        <v>2001</v>
      </c>
      <c r="N4" s="39">
        <v>2002</v>
      </c>
      <c r="O4" s="39">
        <v>2003</v>
      </c>
      <c r="P4" s="39">
        <v>2004</v>
      </c>
      <c r="Q4" s="32">
        <v>2005</v>
      </c>
      <c r="R4" s="32">
        <v>2006</v>
      </c>
      <c r="S4" s="39">
        <v>2007</v>
      </c>
      <c r="T4" s="39">
        <v>2008</v>
      </c>
      <c r="U4" s="39">
        <v>2009</v>
      </c>
      <c r="V4" s="39">
        <v>2010</v>
      </c>
    </row>
    <row r="5" spans="1:22" s="8" customFormat="1">
      <c r="B5" s="8" t="s">
        <v>109</v>
      </c>
      <c r="C5" s="8" t="s">
        <v>109</v>
      </c>
      <c r="D5" s="8" t="s">
        <v>109</v>
      </c>
      <c r="E5" s="8" t="s">
        <v>109</v>
      </c>
      <c r="F5" s="8" t="s">
        <v>109</v>
      </c>
      <c r="G5" s="8" t="s">
        <v>109</v>
      </c>
      <c r="H5" s="8" t="s">
        <v>109</v>
      </c>
      <c r="I5" s="8" t="s">
        <v>109</v>
      </c>
      <c r="J5" s="8" t="s">
        <v>109</v>
      </c>
      <c r="K5" s="8" t="s">
        <v>109</v>
      </c>
      <c r="L5" s="8" t="s">
        <v>109</v>
      </c>
      <c r="M5" s="8" t="s">
        <v>109</v>
      </c>
      <c r="N5" s="8" t="s">
        <v>109</v>
      </c>
      <c r="O5" s="8" t="s">
        <v>109</v>
      </c>
      <c r="P5" s="8" t="s">
        <v>109</v>
      </c>
      <c r="Q5" s="8" t="s">
        <v>109</v>
      </c>
      <c r="R5" s="8" t="s">
        <v>109</v>
      </c>
      <c r="S5" s="8" t="s">
        <v>109</v>
      </c>
      <c r="T5" s="8" t="s">
        <v>109</v>
      </c>
      <c r="U5" s="8" t="s">
        <v>109</v>
      </c>
      <c r="V5" s="8" t="s">
        <v>109</v>
      </c>
    </row>
    <row r="6" spans="1:22">
      <c r="A6" s="23" t="s">
        <v>24</v>
      </c>
      <c r="B6" s="1">
        <v>1076371</v>
      </c>
      <c r="C6" s="1">
        <v>1157820</v>
      </c>
      <c r="D6" s="1">
        <v>1221422</v>
      </c>
      <c r="E6" s="1">
        <v>1621541.983</v>
      </c>
      <c r="F6" s="48">
        <f>+F7+F25+F40+F54+F65</f>
        <v>1603792.071</v>
      </c>
      <c r="G6" s="1">
        <v>1750489.294</v>
      </c>
      <c r="H6" s="1">
        <v>1888780.2860000001</v>
      </c>
      <c r="I6" s="48">
        <f>+I7+I25+I40+I54+I65</f>
        <v>1856752.5500000003</v>
      </c>
      <c r="J6" s="1">
        <v>2079515.963</v>
      </c>
      <c r="K6" s="48">
        <f t="shared" ref="K6:U6" si="0">+K7+K25+K40+K54+K65</f>
        <v>2150215.3102299999</v>
      </c>
      <c r="L6" s="48">
        <f t="shared" si="0"/>
        <v>2396546.0669999998</v>
      </c>
      <c r="M6" s="48">
        <f t="shared" si="0"/>
        <v>2640926.8169999998</v>
      </c>
      <c r="N6" s="48">
        <f t="shared" si="0"/>
        <v>2727567.9819999998</v>
      </c>
      <c r="O6" s="48">
        <f t="shared" si="0"/>
        <v>2806103.9949999996</v>
      </c>
      <c r="P6" s="48">
        <f t="shared" si="0"/>
        <v>2879059.2639999995</v>
      </c>
      <c r="Q6" s="48">
        <f t="shared" si="0"/>
        <v>3211991.45</v>
      </c>
      <c r="R6" s="48">
        <f t="shared" si="0"/>
        <v>3532956.0569999996</v>
      </c>
      <c r="S6" s="48">
        <f t="shared" si="0"/>
        <v>3759702.1880000001</v>
      </c>
      <c r="T6" s="48">
        <f t="shared" si="0"/>
        <v>3246415.4239999996</v>
      </c>
      <c r="U6" s="48">
        <f t="shared" si="0"/>
        <v>2690661.2999999993</v>
      </c>
      <c r="V6" s="48">
        <f t="shared" ref="V6" si="1">+V7+V25+V40+V54+V65</f>
        <v>0</v>
      </c>
    </row>
    <row r="7" spans="1:22">
      <c r="A7" s="1" t="s">
        <v>25</v>
      </c>
      <c r="B7" s="47">
        <f>SUM(B8:B24)</f>
        <v>319416</v>
      </c>
      <c r="C7" s="47">
        <f t="shared" ref="C7:U7" si="2">SUM(C8:C24)</f>
        <v>336273</v>
      </c>
      <c r="D7" s="47">
        <f t="shared" si="2"/>
        <v>356632</v>
      </c>
      <c r="E7" s="47">
        <f t="shared" si="2"/>
        <v>488743.09199999995</v>
      </c>
      <c r="F7" s="47">
        <f t="shared" si="2"/>
        <v>485412.24199999991</v>
      </c>
      <c r="G7" s="47">
        <f t="shared" si="2"/>
        <v>539103.48100000003</v>
      </c>
      <c r="H7" s="47">
        <f t="shared" si="2"/>
        <v>581386.87399999995</v>
      </c>
      <c r="I7" s="47">
        <f t="shared" si="2"/>
        <v>575137.91800000006</v>
      </c>
      <c r="J7" s="47">
        <f t="shared" si="2"/>
        <v>620296.65599999996</v>
      </c>
      <c r="K7" s="47">
        <f t="shared" si="2"/>
        <v>645303.74984000006</v>
      </c>
      <c r="L7" s="47">
        <f t="shared" si="2"/>
        <v>814495.96600000001</v>
      </c>
      <c r="M7" s="47">
        <f t="shared" si="2"/>
        <v>943489.27599999984</v>
      </c>
      <c r="N7" s="47">
        <f t="shared" si="2"/>
        <v>957104.66399999987</v>
      </c>
      <c r="O7" s="47">
        <f t="shared" si="2"/>
        <v>1000868.0780000001</v>
      </c>
      <c r="P7" s="47">
        <f t="shared" si="2"/>
        <v>1018153.9649999999</v>
      </c>
      <c r="Q7" s="47">
        <f t="shared" si="2"/>
        <v>1133836.304</v>
      </c>
      <c r="R7" s="47">
        <f t="shared" si="2"/>
        <v>1253884.2889999999</v>
      </c>
      <c r="S7" s="47">
        <f t="shared" si="2"/>
        <v>1404181.94</v>
      </c>
      <c r="T7" s="47">
        <f t="shared" si="2"/>
        <v>1183668.3879999998</v>
      </c>
      <c r="U7" s="47">
        <f t="shared" si="2"/>
        <v>765174.03700000001</v>
      </c>
      <c r="V7" s="47">
        <f t="shared" ref="V7" si="3">SUM(V8:V24)</f>
        <v>0</v>
      </c>
    </row>
    <row r="8" spans="1:22">
      <c r="A8" s="7" t="s">
        <v>97</v>
      </c>
    </row>
    <row r="9" spans="1:22">
      <c r="A9" s="1" t="s">
        <v>26</v>
      </c>
      <c r="B9" s="1">
        <v>11171</v>
      </c>
      <c r="C9" s="1">
        <v>15759</v>
      </c>
      <c r="D9" s="1">
        <v>17037</v>
      </c>
      <c r="E9" s="1">
        <v>22625.322</v>
      </c>
      <c r="F9" s="41">
        <v>23965.131000000001</v>
      </c>
      <c r="G9" s="1">
        <v>25808.300999999999</v>
      </c>
      <c r="H9" s="1">
        <v>28463.056</v>
      </c>
      <c r="I9" s="1">
        <v>28223.271000000001</v>
      </c>
      <c r="J9" s="1">
        <v>29769.841</v>
      </c>
      <c r="K9" s="1">
        <v>30424.781939999997</v>
      </c>
      <c r="L9" s="1">
        <v>34535.716</v>
      </c>
      <c r="M9" s="1">
        <v>37292.78</v>
      </c>
      <c r="N9" s="1">
        <v>40291.038</v>
      </c>
      <c r="O9" s="1">
        <v>47509.514999999999</v>
      </c>
      <c r="P9" s="1">
        <v>46022.26</v>
      </c>
      <c r="Q9" s="1">
        <v>49514.720000000001</v>
      </c>
      <c r="R9" s="1">
        <v>56669.703000000001</v>
      </c>
      <c r="S9" s="1">
        <v>63094.124000000003</v>
      </c>
      <c r="T9" s="1">
        <v>0</v>
      </c>
      <c r="U9" s="1">
        <v>0</v>
      </c>
    </row>
    <row r="10" spans="1:22">
      <c r="A10" s="1" t="s">
        <v>27</v>
      </c>
      <c r="B10" s="1">
        <v>3202</v>
      </c>
      <c r="C10" s="1">
        <v>3784</v>
      </c>
      <c r="D10" s="1">
        <v>3885</v>
      </c>
      <c r="E10" s="1">
        <v>5316.8969999999999</v>
      </c>
      <c r="F10" s="41">
        <v>5346.78</v>
      </c>
      <c r="G10" s="1">
        <v>6552.2969999999996</v>
      </c>
      <c r="H10" s="1">
        <v>7299.5339999999997</v>
      </c>
      <c r="I10" s="1">
        <v>8337.018</v>
      </c>
      <c r="J10" s="1">
        <v>12536.431</v>
      </c>
      <c r="K10" s="1">
        <v>11713.671</v>
      </c>
      <c r="L10" s="1">
        <v>16159.447</v>
      </c>
      <c r="M10" s="1">
        <v>21326.48</v>
      </c>
      <c r="N10" s="1">
        <v>18607.651000000002</v>
      </c>
      <c r="O10" s="1">
        <v>18244.498</v>
      </c>
      <c r="P10" s="1">
        <v>21895.455000000002</v>
      </c>
      <c r="Q10" s="1">
        <v>22877.483</v>
      </c>
      <c r="R10" s="1">
        <v>26011.556</v>
      </c>
      <c r="S10" s="1">
        <v>33624.025999999998</v>
      </c>
      <c r="T10" s="1">
        <v>32511.437000000002</v>
      </c>
      <c r="U10" s="1">
        <v>29737.74</v>
      </c>
    </row>
    <row r="11" spans="1:22">
      <c r="A11" s="1" t="s">
        <v>28</v>
      </c>
      <c r="D11" s="1">
        <v>2251</v>
      </c>
      <c r="E11" s="1">
        <v>3337.4209999999998</v>
      </c>
      <c r="F11" s="41">
        <v>3537.21</v>
      </c>
      <c r="I11" s="1">
        <v>9295.0580000000009</v>
      </c>
      <c r="J11" s="1">
        <v>7604.8180000000002</v>
      </c>
      <c r="K11" s="1">
        <v>7925.3559999999998</v>
      </c>
      <c r="L11" s="1">
        <v>8644.5660000000007</v>
      </c>
      <c r="M11" s="1">
        <v>7774.0209999999997</v>
      </c>
      <c r="N11" s="1">
        <v>8257.4390000000003</v>
      </c>
      <c r="O11" s="1">
        <v>8076.665</v>
      </c>
      <c r="P11" s="1">
        <v>8911.0329999999994</v>
      </c>
      <c r="Q11" s="1">
        <v>9454.8940000000002</v>
      </c>
      <c r="R11" s="1">
        <v>10570.557000000001</v>
      </c>
      <c r="S11" s="1">
        <v>10571.209000000001</v>
      </c>
      <c r="T11" s="1">
        <v>11053.826999999999</v>
      </c>
      <c r="U11" s="1">
        <v>12047.611999999999</v>
      </c>
    </row>
    <row r="12" spans="1:22">
      <c r="A12" s="1" t="s">
        <v>29</v>
      </c>
      <c r="B12" s="1">
        <v>57833</v>
      </c>
      <c r="C12" s="1">
        <v>60204</v>
      </c>
      <c r="D12" s="1">
        <v>62009</v>
      </c>
      <c r="E12" s="1">
        <v>91100.122000000003</v>
      </c>
      <c r="F12" s="41">
        <v>91361.505999999994</v>
      </c>
      <c r="G12" s="1">
        <v>97063.846999999994</v>
      </c>
      <c r="H12" s="1">
        <v>104557.334</v>
      </c>
      <c r="I12" s="1">
        <v>107890.81600000001</v>
      </c>
      <c r="J12" s="1">
        <v>109674.09699999999</v>
      </c>
      <c r="K12" s="1">
        <v>121267.704</v>
      </c>
      <c r="L12" s="1">
        <v>145434.54500000001</v>
      </c>
      <c r="M12" s="1">
        <v>175751.65299999999</v>
      </c>
      <c r="N12" s="1">
        <v>204221.361</v>
      </c>
      <c r="O12" s="1">
        <v>184544.97700000001</v>
      </c>
      <c r="P12" s="1">
        <v>175956.405</v>
      </c>
      <c r="Q12" s="1">
        <v>195750.35399999999</v>
      </c>
      <c r="R12" s="1">
        <v>210336.087</v>
      </c>
      <c r="S12" s="1">
        <v>271640.87099999998</v>
      </c>
      <c r="T12" s="1">
        <v>269334.864</v>
      </c>
      <c r="U12" s="1">
        <v>0</v>
      </c>
    </row>
    <row r="13" spans="1:22">
      <c r="A13" s="1" t="s">
        <v>30</v>
      </c>
      <c r="B13" s="1">
        <v>11973</v>
      </c>
      <c r="C13" s="1">
        <v>12408</v>
      </c>
      <c r="D13" s="1">
        <v>13715</v>
      </c>
      <c r="E13" s="1">
        <v>28309.420999999998</v>
      </c>
      <c r="F13" s="41">
        <v>32388.947</v>
      </c>
      <c r="G13" s="1">
        <v>34546.163999999997</v>
      </c>
      <c r="H13" s="1">
        <v>39394.934999999998</v>
      </c>
      <c r="I13" s="1">
        <v>42530.078999999998</v>
      </c>
      <c r="J13" s="1">
        <v>37595.269999999997</v>
      </c>
      <c r="K13" s="1">
        <v>37272.96143000001</v>
      </c>
      <c r="L13" s="1">
        <v>59718.341</v>
      </c>
      <c r="M13" s="1">
        <v>64525.665000000001</v>
      </c>
      <c r="N13" s="1">
        <v>87198.820999999996</v>
      </c>
      <c r="O13" s="1">
        <v>71178.262000000002</v>
      </c>
      <c r="P13" s="1">
        <v>76412.191999999995</v>
      </c>
      <c r="Q13" s="1">
        <v>87815.504000000001</v>
      </c>
      <c r="R13" s="1">
        <v>106609.302</v>
      </c>
      <c r="S13" s="1">
        <v>92886.343999999997</v>
      </c>
      <c r="T13" s="1">
        <v>98760.388999999996</v>
      </c>
      <c r="U13" s="1">
        <v>59692.41</v>
      </c>
    </row>
    <row r="14" spans="1:22">
      <c r="A14" s="1" t="s">
        <v>31</v>
      </c>
      <c r="B14" s="1">
        <v>4437</v>
      </c>
      <c r="C14" s="1">
        <v>4687</v>
      </c>
      <c r="D14" s="1">
        <v>5125</v>
      </c>
      <c r="E14" s="1">
        <v>7336.6769999999997</v>
      </c>
      <c r="F14" s="41">
        <v>8357.7279999999992</v>
      </c>
      <c r="G14" s="1">
        <v>8436.7270000000008</v>
      </c>
      <c r="H14" s="1">
        <v>9463.6489999999994</v>
      </c>
      <c r="I14" s="1">
        <v>10349.851000000001</v>
      </c>
      <c r="J14" s="1">
        <v>10731.895</v>
      </c>
      <c r="K14" s="1">
        <v>11295.322</v>
      </c>
      <c r="L14" s="1">
        <v>24329.696</v>
      </c>
      <c r="M14" s="1">
        <v>23948.451000000001</v>
      </c>
      <c r="N14" s="1">
        <v>945.76599999999996</v>
      </c>
      <c r="O14" s="1">
        <v>1146.306</v>
      </c>
      <c r="P14" s="1">
        <v>1284.3789999999999</v>
      </c>
      <c r="Q14" s="1">
        <v>31313.698</v>
      </c>
      <c r="R14" s="1">
        <v>33680.502999999997</v>
      </c>
      <c r="S14" s="1">
        <v>35752.11</v>
      </c>
      <c r="T14" s="1">
        <v>0</v>
      </c>
      <c r="U14" s="1">
        <v>0</v>
      </c>
    </row>
    <row r="15" spans="1:22">
      <c r="A15" s="1" t="s">
        <v>32</v>
      </c>
      <c r="B15" s="1">
        <v>5731</v>
      </c>
      <c r="C15" s="1">
        <v>5644</v>
      </c>
      <c r="D15" s="1">
        <v>5640</v>
      </c>
      <c r="E15" s="1">
        <v>6785.2849999999999</v>
      </c>
      <c r="F15" s="41">
        <v>6630.65</v>
      </c>
      <c r="G15" s="1">
        <v>7582.5829999999996</v>
      </c>
      <c r="H15" s="1">
        <v>9199.7160000000003</v>
      </c>
      <c r="I15" s="1">
        <v>9139.3950000000004</v>
      </c>
      <c r="J15" s="1">
        <v>14132.112999999999</v>
      </c>
      <c r="K15" s="1">
        <v>17772.176749999999</v>
      </c>
      <c r="L15" s="1">
        <v>17636.098000000002</v>
      </c>
      <c r="M15" s="1">
        <v>21099.192999999999</v>
      </c>
      <c r="N15" s="1">
        <v>21359.05</v>
      </c>
      <c r="O15" s="1">
        <v>25461.714</v>
      </c>
      <c r="P15" s="1">
        <v>28915.053</v>
      </c>
      <c r="Q15" s="1">
        <v>31856.727999999999</v>
      </c>
      <c r="R15" s="1">
        <v>34031.243999999999</v>
      </c>
      <c r="S15" s="1">
        <v>40680.697999999997</v>
      </c>
      <c r="T15" s="1">
        <v>48190.341</v>
      </c>
      <c r="U15" s="1">
        <v>23585.392</v>
      </c>
    </row>
    <row r="16" spans="1:22">
      <c r="A16" s="1" t="s">
        <v>33</v>
      </c>
      <c r="B16" s="1">
        <v>26427</v>
      </c>
      <c r="C16" s="1">
        <v>27804</v>
      </c>
      <c r="D16" s="1">
        <v>30129</v>
      </c>
      <c r="E16" s="1">
        <v>37956.915000000001</v>
      </c>
      <c r="F16" s="41">
        <v>29649.172999999999</v>
      </c>
      <c r="G16" s="1">
        <v>42100.887000000002</v>
      </c>
      <c r="H16" s="1">
        <v>44519.082999999999</v>
      </c>
      <c r="I16" s="1">
        <v>35911.794999999998</v>
      </c>
      <c r="J16" s="1">
        <v>46301.785000000003</v>
      </c>
      <c r="K16" s="1">
        <v>46943.875999999997</v>
      </c>
      <c r="L16" s="1">
        <v>55698.756000000001</v>
      </c>
      <c r="M16" s="1">
        <v>65264.974999999999</v>
      </c>
      <c r="N16" s="1">
        <v>62848.75</v>
      </c>
      <c r="O16" s="1">
        <v>68758.819000000003</v>
      </c>
      <c r="P16" s="1">
        <v>72185.361999999994</v>
      </c>
      <c r="Q16" s="1">
        <v>80448.52</v>
      </c>
      <c r="R16" s="1">
        <v>90101.729000000007</v>
      </c>
      <c r="S16" s="1">
        <v>100934.171</v>
      </c>
      <c r="T16" s="1">
        <v>94568.657000000007</v>
      </c>
      <c r="U16" s="1">
        <v>57079.737000000001</v>
      </c>
    </row>
    <row r="17" spans="1:22">
      <c r="A17" s="1" t="s">
        <v>34</v>
      </c>
      <c r="B17" s="1">
        <v>16367</v>
      </c>
      <c r="C17" s="1">
        <v>15548</v>
      </c>
      <c r="D17" s="1">
        <v>17205</v>
      </c>
      <c r="E17" s="1">
        <v>22152.879000000001</v>
      </c>
      <c r="F17" s="41">
        <v>21806.633000000002</v>
      </c>
      <c r="G17" s="1">
        <v>24584.776999999998</v>
      </c>
      <c r="H17" s="1">
        <v>26252.815999999999</v>
      </c>
      <c r="I17" s="1">
        <v>32780.25</v>
      </c>
      <c r="J17" s="1">
        <v>31595.447</v>
      </c>
      <c r="K17" s="1">
        <v>32311.971000000001</v>
      </c>
      <c r="L17" s="1">
        <v>41630.290999999997</v>
      </c>
      <c r="M17" s="1">
        <v>42781.997000000003</v>
      </c>
      <c r="N17" s="1">
        <v>40110.205999999998</v>
      </c>
      <c r="O17" s="1">
        <v>50730.756999999998</v>
      </c>
      <c r="P17" s="1">
        <v>49594.307999999997</v>
      </c>
      <c r="Q17" s="1">
        <v>56498.114000000001</v>
      </c>
      <c r="R17" s="1">
        <v>63754.995999999999</v>
      </c>
      <c r="S17" s="1">
        <v>65212.688000000002</v>
      </c>
      <c r="T17" s="1">
        <v>70347.236000000004</v>
      </c>
      <c r="U17" s="1">
        <v>54365.671000000002</v>
      </c>
    </row>
    <row r="18" spans="1:22">
      <c r="A18" s="1" t="s">
        <v>35</v>
      </c>
      <c r="B18" s="1">
        <v>28883</v>
      </c>
      <c r="C18" s="1">
        <v>29829</v>
      </c>
      <c r="D18" s="1">
        <v>31887</v>
      </c>
      <c r="E18" s="1">
        <v>47419.383000000002</v>
      </c>
      <c r="F18" s="41">
        <v>49679.516000000003</v>
      </c>
      <c r="G18" s="1">
        <v>53695.538</v>
      </c>
      <c r="H18" s="1">
        <v>55437.535000000003</v>
      </c>
      <c r="I18" s="1">
        <v>56734.273999999998</v>
      </c>
      <c r="J18" s="1">
        <v>60999.567999999999</v>
      </c>
      <c r="K18" s="1">
        <v>65170.907039999991</v>
      </c>
      <c r="L18" s="1">
        <v>82453.788</v>
      </c>
      <c r="M18" s="1">
        <v>90555.16</v>
      </c>
      <c r="N18" s="1">
        <v>107385.469</v>
      </c>
      <c r="O18" s="1">
        <v>121468.944</v>
      </c>
      <c r="P18" s="1">
        <v>125863.625</v>
      </c>
      <c r="Q18" s="1">
        <v>128951.599</v>
      </c>
      <c r="R18" s="1">
        <v>133369.038</v>
      </c>
      <c r="S18" s="1">
        <v>149363.663</v>
      </c>
      <c r="T18" s="1">
        <v>151482.625</v>
      </c>
      <c r="U18" s="1">
        <v>131603.886</v>
      </c>
    </row>
    <row r="19" spans="1:22">
      <c r="A19" s="1" t="s">
        <v>36</v>
      </c>
      <c r="B19" s="1">
        <v>12051</v>
      </c>
      <c r="C19" s="1">
        <v>13002</v>
      </c>
      <c r="D19" s="1">
        <v>13886</v>
      </c>
      <c r="E19" s="1">
        <v>18022.761999999999</v>
      </c>
      <c r="F19" s="41">
        <v>18921.262999999999</v>
      </c>
      <c r="G19" s="1">
        <v>19228.350999999999</v>
      </c>
      <c r="H19" s="1">
        <v>19411.064999999999</v>
      </c>
      <c r="I19" s="1">
        <v>19484.564999999999</v>
      </c>
      <c r="J19" s="1">
        <v>21337.348999999998</v>
      </c>
      <c r="K19" s="1">
        <v>22440.296719999998</v>
      </c>
      <c r="L19" s="1">
        <v>24914.374</v>
      </c>
      <c r="M19" s="1">
        <v>56124.88</v>
      </c>
      <c r="N19" s="1">
        <v>30915.161</v>
      </c>
      <c r="O19" s="1">
        <v>33700.120999999999</v>
      </c>
      <c r="P19" s="1">
        <v>31589.257000000001</v>
      </c>
      <c r="Q19" s="1">
        <v>32456.609</v>
      </c>
      <c r="R19" s="1">
        <v>34024.841</v>
      </c>
      <c r="S19" s="1">
        <v>35367.879000000001</v>
      </c>
      <c r="T19" s="1">
        <v>34600.612999999998</v>
      </c>
      <c r="U19" s="1">
        <v>30452.648000000001</v>
      </c>
    </row>
    <row r="20" spans="1:22">
      <c r="A20" s="1" t="s">
        <v>37</v>
      </c>
      <c r="B20" s="1">
        <v>14817</v>
      </c>
      <c r="C20" s="1">
        <v>12489</v>
      </c>
      <c r="D20" s="1">
        <v>12928</v>
      </c>
      <c r="E20" s="1">
        <v>19578.611000000001</v>
      </c>
      <c r="F20" s="41">
        <v>19730.968000000001</v>
      </c>
      <c r="G20" s="1">
        <v>20480.662</v>
      </c>
      <c r="H20" s="1">
        <v>22056.246999999999</v>
      </c>
      <c r="I20" s="1">
        <v>22649.957999999999</v>
      </c>
      <c r="J20" s="1">
        <v>23147.007000000001</v>
      </c>
      <c r="K20" s="1">
        <v>25594.384999999998</v>
      </c>
      <c r="L20" s="1">
        <v>32259.575000000001</v>
      </c>
      <c r="M20" s="1">
        <v>37603.112999999998</v>
      </c>
      <c r="N20" s="1">
        <v>40894.483</v>
      </c>
      <c r="O20" s="1">
        <v>47851.243000000002</v>
      </c>
      <c r="P20" s="1">
        <v>43947.118999999999</v>
      </c>
      <c r="Q20" s="1">
        <v>49010.254999999997</v>
      </c>
      <c r="R20" s="1">
        <v>55300.957000000002</v>
      </c>
      <c r="S20" s="1">
        <v>65511.834000000003</v>
      </c>
      <c r="T20" s="1">
        <v>44825.608999999997</v>
      </c>
      <c r="U20" s="1">
        <v>5491.9380000000001</v>
      </c>
    </row>
    <row r="21" spans="1:22" s="11" customFormat="1">
      <c r="A21" s="1" t="s">
        <v>38</v>
      </c>
      <c r="B21" s="1">
        <v>9930</v>
      </c>
      <c r="C21" s="1">
        <v>10715</v>
      </c>
      <c r="D21" s="1">
        <v>10589</v>
      </c>
      <c r="E21" s="1">
        <v>15581.120999999999</v>
      </c>
      <c r="F21" s="41">
        <v>15624.187</v>
      </c>
      <c r="G21" s="1">
        <v>16606.377</v>
      </c>
      <c r="H21" s="1">
        <v>17936.189999999999</v>
      </c>
      <c r="I21" s="1">
        <v>19467.755000000001</v>
      </c>
      <c r="J21" s="1">
        <v>20781.851999999999</v>
      </c>
      <c r="K21" s="1">
        <v>22420.054</v>
      </c>
      <c r="L21" s="1">
        <v>27756.425999999999</v>
      </c>
      <c r="M21" s="1">
        <v>32037.499</v>
      </c>
      <c r="N21" s="1">
        <v>30639.441999999999</v>
      </c>
      <c r="O21" s="1">
        <v>32240.261999999999</v>
      </c>
      <c r="P21" s="1">
        <v>35267.461000000003</v>
      </c>
      <c r="Q21" s="1">
        <v>40282.029000000002</v>
      </c>
      <c r="R21" s="1">
        <v>45578.076000000001</v>
      </c>
      <c r="S21" s="1">
        <v>49357.696000000004</v>
      </c>
      <c r="T21" s="1">
        <v>50430.756000000001</v>
      </c>
      <c r="U21" s="1">
        <v>34229.444000000003</v>
      </c>
      <c r="V21" s="1"/>
    </row>
    <row r="22" spans="1:22">
      <c r="A22" s="1" t="s">
        <v>39</v>
      </c>
      <c r="B22" s="1">
        <v>99108</v>
      </c>
      <c r="C22" s="1">
        <v>106001</v>
      </c>
      <c r="D22" s="1">
        <v>111265</v>
      </c>
      <c r="E22" s="1">
        <v>140220.978</v>
      </c>
      <c r="F22" s="41">
        <v>134624.88099999999</v>
      </c>
      <c r="G22" s="1">
        <v>156625.35999999999</v>
      </c>
      <c r="H22" s="1">
        <v>168848.81200000001</v>
      </c>
      <c r="I22" s="1">
        <v>143713.54</v>
      </c>
      <c r="J22" s="1">
        <v>164390.424</v>
      </c>
      <c r="K22" s="1">
        <v>162391.41099999999</v>
      </c>
      <c r="L22" s="1">
        <v>197917.39300000001</v>
      </c>
      <c r="M22" s="1">
        <v>217149.55300000001</v>
      </c>
      <c r="N22" s="1">
        <v>213231.95499999999</v>
      </c>
      <c r="O22" s="1">
        <v>233864.61799999999</v>
      </c>
      <c r="P22" s="1">
        <v>238452.88800000001</v>
      </c>
      <c r="Q22" s="1">
        <v>252792.96100000001</v>
      </c>
      <c r="R22" s="1">
        <v>284104.98499999999</v>
      </c>
      <c r="S22" s="1">
        <v>309100.114</v>
      </c>
      <c r="T22" s="1">
        <v>268522.71100000001</v>
      </c>
      <c r="U22" s="1">
        <v>316825.26699999999</v>
      </c>
    </row>
    <row r="23" spans="1:22">
      <c r="A23" s="1" t="s">
        <v>40</v>
      </c>
      <c r="B23" s="1">
        <v>15103</v>
      </c>
      <c r="C23" s="1">
        <v>15920</v>
      </c>
      <c r="D23" s="1">
        <v>16458</v>
      </c>
      <c r="E23" s="1">
        <v>20871.095000000001</v>
      </c>
      <c r="F23" s="41">
        <v>21666.331999999999</v>
      </c>
      <c r="G23" s="1">
        <v>23292.61</v>
      </c>
      <c r="H23" s="1">
        <v>26320.886999999999</v>
      </c>
      <c r="I23" s="1">
        <v>26572.407999999999</v>
      </c>
      <c r="J23" s="1">
        <v>27269.488000000001</v>
      </c>
      <c r="K23" s="1">
        <v>27905.241000000002</v>
      </c>
      <c r="L23" s="1">
        <v>42429.457999999999</v>
      </c>
      <c r="M23" s="1">
        <v>45550.34</v>
      </c>
      <c r="N23" s="1">
        <v>47147.298000000003</v>
      </c>
      <c r="O23" s="1">
        <v>52582.04</v>
      </c>
      <c r="P23" s="1">
        <v>59483.13</v>
      </c>
      <c r="Q23" s="1">
        <v>59670.93</v>
      </c>
      <c r="R23" s="1">
        <v>64688.207000000002</v>
      </c>
      <c r="S23" s="1">
        <v>74324.873999999996</v>
      </c>
      <c r="T23" s="1">
        <v>1544.94</v>
      </c>
      <c r="U23" s="1">
        <v>1524.6849999999999</v>
      </c>
    </row>
    <row r="24" spans="1:22">
      <c r="A24" s="23" t="s">
        <v>41</v>
      </c>
      <c r="B24" s="23">
        <v>2383</v>
      </c>
      <c r="C24" s="23">
        <v>2479</v>
      </c>
      <c r="D24" s="23">
        <v>2623</v>
      </c>
      <c r="E24" s="23">
        <v>2128.203</v>
      </c>
      <c r="F24" s="44">
        <v>2121.337</v>
      </c>
      <c r="G24" s="23">
        <v>2499</v>
      </c>
      <c r="H24" s="23">
        <v>2226.0149999999999</v>
      </c>
      <c r="I24" s="23">
        <v>2057.8850000000002</v>
      </c>
      <c r="J24" s="23">
        <v>2429.2710000000002</v>
      </c>
      <c r="K24" s="23">
        <v>2453.6349600000008</v>
      </c>
      <c r="L24" s="23">
        <v>2977.4960000000001</v>
      </c>
      <c r="M24" s="23">
        <v>4703.5159999999996</v>
      </c>
      <c r="N24" s="23">
        <v>3050.7739999999999</v>
      </c>
      <c r="O24" s="23">
        <v>3509.337</v>
      </c>
      <c r="P24" s="23">
        <v>2374.038</v>
      </c>
      <c r="Q24" s="23">
        <v>5141.9059999999999</v>
      </c>
      <c r="R24" s="23">
        <v>5052.5079999999998</v>
      </c>
      <c r="S24" s="23">
        <v>6759.6390000000001</v>
      </c>
      <c r="T24" s="23">
        <v>7494.3829999999998</v>
      </c>
      <c r="U24" s="23">
        <v>8537.607</v>
      </c>
      <c r="V24" s="23"/>
    </row>
    <row r="25" spans="1:22">
      <c r="A25" s="7" t="s">
        <v>42</v>
      </c>
      <c r="B25" s="47">
        <f>SUM(B27:B39)</f>
        <v>0</v>
      </c>
      <c r="C25" s="47">
        <f t="shared" ref="C25:V25" si="4">SUM(C27:C39)</f>
        <v>0</v>
      </c>
      <c r="D25" s="47">
        <f t="shared" si="4"/>
        <v>0</v>
      </c>
      <c r="E25" s="47">
        <f t="shared" si="4"/>
        <v>0</v>
      </c>
      <c r="F25" s="47">
        <f t="shared" si="4"/>
        <v>457561.48100000009</v>
      </c>
      <c r="G25" s="47">
        <f t="shared" si="4"/>
        <v>0</v>
      </c>
      <c r="H25" s="47">
        <f t="shared" si="4"/>
        <v>0</v>
      </c>
      <c r="I25" s="47">
        <f t="shared" si="4"/>
        <v>528864.804</v>
      </c>
      <c r="J25" s="47">
        <f t="shared" si="4"/>
        <v>0</v>
      </c>
      <c r="K25" s="47">
        <f t="shared" si="4"/>
        <v>634123.53477000003</v>
      </c>
      <c r="L25" s="47">
        <f t="shared" si="4"/>
        <v>612123.66599999997</v>
      </c>
      <c r="M25" s="47">
        <f t="shared" si="4"/>
        <v>631395.24400000006</v>
      </c>
      <c r="N25" s="47">
        <f t="shared" si="4"/>
        <v>658835.69300000009</v>
      </c>
      <c r="O25" s="47">
        <f t="shared" si="4"/>
        <v>643133.35900000005</v>
      </c>
      <c r="P25" s="47">
        <f t="shared" si="4"/>
        <v>654596.24</v>
      </c>
      <c r="Q25" s="47">
        <f t="shared" si="4"/>
        <v>813047.57500000007</v>
      </c>
      <c r="R25" s="47">
        <f t="shared" si="4"/>
        <v>901972.29299999983</v>
      </c>
      <c r="S25" s="47">
        <f t="shared" si="4"/>
        <v>921936.86600000015</v>
      </c>
      <c r="T25" s="47">
        <f t="shared" si="4"/>
        <v>733468.17799999996</v>
      </c>
      <c r="U25" s="47">
        <f t="shared" si="4"/>
        <v>780046.84299999988</v>
      </c>
      <c r="V25" s="47">
        <f t="shared" si="4"/>
        <v>0</v>
      </c>
    </row>
    <row r="26" spans="1:22">
      <c r="A26" s="7" t="s">
        <v>97</v>
      </c>
    </row>
    <row r="27" spans="1:22">
      <c r="A27" s="1" t="s">
        <v>43</v>
      </c>
      <c r="F27" s="41">
        <v>287.53300000000002</v>
      </c>
      <c r="I27" s="1">
        <v>538.33699999999999</v>
      </c>
      <c r="K27" s="1">
        <v>511.27699999999999</v>
      </c>
      <c r="L27" s="1">
        <v>1417.41</v>
      </c>
      <c r="M27" s="1">
        <v>538.01099999999997</v>
      </c>
      <c r="N27" s="1">
        <v>2695.4349999999999</v>
      </c>
      <c r="O27" s="1">
        <v>1023.419</v>
      </c>
      <c r="P27" s="1">
        <v>1000.829</v>
      </c>
      <c r="Q27" s="1">
        <v>722.58100000000002</v>
      </c>
      <c r="R27" s="1">
        <v>2473.9270000000001</v>
      </c>
      <c r="S27" s="1">
        <v>2517.2629999999999</v>
      </c>
      <c r="T27" s="1">
        <v>2628.74</v>
      </c>
      <c r="U27" s="1">
        <v>1785.2460000000001</v>
      </c>
    </row>
    <row r="28" spans="1:22">
      <c r="A28" s="1" t="s">
        <v>44</v>
      </c>
      <c r="F28" s="41">
        <v>35341.847999999998</v>
      </c>
      <c r="I28" s="1">
        <v>36389.622000000003</v>
      </c>
      <c r="K28" s="1">
        <v>39988.54939</v>
      </c>
      <c r="L28" s="1">
        <v>47617.012000000002</v>
      </c>
      <c r="M28" s="1">
        <v>53079.436000000002</v>
      </c>
      <c r="N28" s="1">
        <v>65601.084000000003</v>
      </c>
      <c r="O28" s="1">
        <v>59954.773000000001</v>
      </c>
      <c r="P28" s="1">
        <v>67383.345000000001</v>
      </c>
      <c r="Q28" s="1">
        <v>69952.736000000004</v>
      </c>
      <c r="R28" s="1">
        <v>79019.816999999995</v>
      </c>
      <c r="S28" s="1">
        <v>82994.445999999996</v>
      </c>
      <c r="T28" s="1">
        <v>32095.850999999999</v>
      </c>
      <c r="U28" s="1">
        <v>32064.237000000001</v>
      </c>
    </row>
    <row r="29" spans="1:22">
      <c r="A29" s="1" t="s">
        <v>45</v>
      </c>
      <c r="F29" s="41">
        <v>275247.40100000001</v>
      </c>
      <c r="I29" s="1">
        <v>315881.26</v>
      </c>
      <c r="K29" s="1">
        <v>399253.70101000002</v>
      </c>
      <c r="L29" s="1">
        <v>340765.52</v>
      </c>
      <c r="M29" s="1">
        <v>337457.64899999998</v>
      </c>
      <c r="N29" s="1">
        <v>340972.67300000001</v>
      </c>
      <c r="O29" s="1">
        <v>313875.21799999999</v>
      </c>
      <c r="P29" s="1">
        <v>313728.73499999999</v>
      </c>
      <c r="Q29" s="1">
        <v>448351.859</v>
      </c>
      <c r="R29" s="1">
        <v>468471.01899999997</v>
      </c>
      <c r="S29" s="1">
        <v>504744.10600000003</v>
      </c>
      <c r="T29" s="1">
        <v>435005.54200000002</v>
      </c>
      <c r="U29" s="1">
        <v>424444.95600000001</v>
      </c>
    </row>
    <row r="30" spans="1:22">
      <c r="A30" s="1" t="s">
        <v>46</v>
      </c>
      <c r="F30" s="41">
        <v>17581.528999999999</v>
      </c>
      <c r="I30" s="1">
        <v>21106.954000000002</v>
      </c>
      <c r="K30" s="1">
        <v>23138.536</v>
      </c>
      <c r="L30" s="1">
        <v>30745.208999999999</v>
      </c>
      <c r="M30" s="1">
        <v>33711.945</v>
      </c>
      <c r="N30" s="1">
        <v>40386.856</v>
      </c>
      <c r="O30" s="1">
        <v>40217.868999999999</v>
      </c>
      <c r="P30" s="1">
        <v>36824.858999999997</v>
      </c>
      <c r="Q30" s="1">
        <v>37137.612000000001</v>
      </c>
      <c r="R30" s="1">
        <v>41050.894999999997</v>
      </c>
      <c r="S30" s="1">
        <v>43000.915000000001</v>
      </c>
      <c r="T30" s="1">
        <v>15078.883</v>
      </c>
      <c r="U30" s="1">
        <v>17251.507000000001</v>
      </c>
    </row>
    <row r="31" spans="1:22">
      <c r="A31" s="1" t="s">
        <v>47</v>
      </c>
      <c r="F31" s="41">
        <v>7336.5749999999998</v>
      </c>
      <c r="I31" s="1">
        <v>10470.415000000001</v>
      </c>
      <c r="K31" s="1">
        <v>8961.0619999999999</v>
      </c>
      <c r="L31" s="1">
        <v>7989.3890000000001</v>
      </c>
      <c r="M31" s="1">
        <v>7998.4570000000003</v>
      </c>
      <c r="N31" s="1">
        <v>8224.4240000000009</v>
      </c>
      <c r="O31" s="1">
        <v>8634.2039999999997</v>
      </c>
      <c r="P31" s="1">
        <v>8881.5169999999998</v>
      </c>
      <c r="Q31" s="1">
        <v>8966.75</v>
      </c>
      <c r="R31" s="1">
        <v>13017.998</v>
      </c>
      <c r="S31" s="1">
        <v>14125.014999999999</v>
      </c>
      <c r="T31" s="1">
        <v>16651.098000000002</v>
      </c>
      <c r="U31" s="1">
        <v>18779.955999999998</v>
      </c>
    </row>
    <row r="32" spans="1:22">
      <c r="A32" s="1" t="s">
        <v>48</v>
      </c>
      <c r="F32" s="41">
        <v>3484.0120000000002</v>
      </c>
      <c r="I32" s="1">
        <v>5327.2879999999996</v>
      </c>
      <c r="K32" s="1">
        <v>6248.0259999999998</v>
      </c>
      <c r="L32" s="1">
        <v>4914.5349999999999</v>
      </c>
      <c r="M32" s="1">
        <v>5371.9620000000004</v>
      </c>
      <c r="N32" s="1">
        <v>4034.0149999999999</v>
      </c>
      <c r="O32" s="1">
        <v>7070.6589999999997</v>
      </c>
      <c r="P32" s="1">
        <v>8391.259</v>
      </c>
      <c r="Q32" s="1">
        <v>5912.97</v>
      </c>
      <c r="R32" s="1">
        <v>10014.244000000001</v>
      </c>
      <c r="S32" s="1">
        <v>6498.732</v>
      </c>
      <c r="T32" s="1">
        <v>6856.8339999999998</v>
      </c>
      <c r="U32" s="1">
        <v>8409.5560000000005</v>
      </c>
    </row>
    <row r="33" spans="1:22">
      <c r="A33" s="1" t="s">
        <v>49</v>
      </c>
      <c r="F33" s="41">
        <v>2412.4160000000002</v>
      </c>
      <c r="I33" s="1">
        <v>3462.4430000000002</v>
      </c>
      <c r="K33" s="1">
        <v>3055.1905100000017</v>
      </c>
      <c r="L33" s="1">
        <v>3605.982</v>
      </c>
      <c r="M33" s="1">
        <v>4166.9290000000001</v>
      </c>
      <c r="N33" s="1">
        <v>4564.5020000000004</v>
      </c>
      <c r="O33" s="1">
        <v>5976.4769999999999</v>
      </c>
      <c r="P33" s="1">
        <v>5063.0649999999996</v>
      </c>
      <c r="Q33" s="1">
        <v>7370.3879999999999</v>
      </c>
      <c r="R33" s="1">
        <v>9615.6949999999997</v>
      </c>
      <c r="S33" s="1">
        <v>6427.5889999999999</v>
      </c>
      <c r="T33" s="1">
        <v>8612.018</v>
      </c>
      <c r="U33" s="1">
        <v>7440.9889999999996</v>
      </c>
    </row>
    <row r="34" spans="1:22">
      <c r="A34" s="1" t="s">
        <v>50</v>
      </c>
      <c r="F34" s="41">
        <v>5959.2809999999999</v>
      </c>
      <c r="I34" s="1">
        <v>7580.4790000000003</v>
      </c>
      <c r="K34" s="1">
        <v>10540</v>
      </c>
      <c r="L34" s="1">
        <v>14314</v>
      </c>
      <c r="M34" s="1">
        <v>15427</v>
      </c>
      <c r="N34" s="1">
        <v>13720</v>
      </c>
      <c r="O34" s="1">
        <v>15508</v>
      </c>
      <c r="P34" s="1">
        <v>8238</v>
      </c>
      <c r="Q34" s="1">
        <v>8516</v>
      </c>
      <c r="R34" s="1">
        <v>9193</v>
      </c>
      <c r="S34" s="1">
        <v>4901</v>
      </c>
      <c r="T34" s="1">
        <v>6475</v>
      </c>
      <c r="U34" s="1">
        <v>34316.046999999999</v>
      </c>
    </row>
    <row r="35" spans="1:22">
      <c r="A35" s="1" t="s">
        <v>51</v>
      </c>
      <c r="F35" s="41">
        <v>13541.841</v>
      </c>
      <c r="I35" s="1">
        <v>17539.913</v>
      </c>
      <c r="K35" s="1">
        <v>20438.040699999994</v>
      </c>
      <c r="L35" s="1">
        <v>23335.279999999999</v>
      </c>
      <c r="M35" s="1">
        <v>24807.256000000001</v>
      </c>
      <c r="N35" s="1">
        <v>27713.422999999999</v>
      </c>
      <c r="O35" s="1">
        <v>31394.994999999999</v>
      </c>
      <c r="P35" s="1">
        <v>33178.391000000003</v>
      </c>
      <c r="Q35" s="1">
        <v>33900.292000000001</v>
      </c>
      <c r="R35" s="1">
        <v>39447.595000000001</v>
      </c>
      <c r="S35" s="1">
        <v>41698.239999999998</v>
      </c>
      <c r="T35" s="1">
        <v>30987.145</v>
      </c>
      <c r="U35" s="1">
        <v>23085.409</v>
      </c>
    </row>
    <row r="36" spans="1:22">
      <c r="A36" s="1" t="s">
        <v>52</v>
      </c>
      <c r="F36" s="41">
        <v>28433.186000000002</v>
      </c>
      <c r="I36" s="1">
        <v>30483.806</v>
      </c>
      <c r="K36" s="1">
        <v>35526.753859999997</v>
      </c>
      <c r="L36" s="1">
        <v>42184.11</v>
      </c>
      <c r="M36" s="1">
        <v>39557.15</v>
      </c>
      <c r="N36" s="1">
        <v>41524.944000000003</v>
      </c>
      <c r="O36" s="1">
        <v>44280.84</v>
      </c>
      <c r="P36" s="1">
        <v>51762.482000000004</v>
      </c>
      <c r="Q36" s="1">
        <v>53695.177000000003</v>
      </c>
      <c r="R36" s="1">
        <v>68343.134000000005</v>
      </c>
      <c r="S36" s="1">
        <v>61946.961000000003</v>
      </c>
      <c r="T36" s="1">
        <v>23558.267</v>
      </c>
      <c r="U36" s="1">
        <v>29651.794999999998</v>
      </c>
    </row>
    <row r="37" spans="1:22">
      <c r="A37" s="1" t="s">
        <v>53</v>
      </c>
      <c r="F37" s="41">
        <v>13539.275</v>
      </c>
      <c r="I37" s="1">
        <v>11023.002</v>
      </c>
      <c r="K37" s="1">
        <v>14327.605</v>
      </c>
      <c r="L37" s="1">
        <v>13758.179</v>
      </c>
      <c r="M37" s="1">
        <v>16471.638999999999</v>
      </c>
      <c r="N37" s="1">
        <v>16707.907999999999</v>
      </c>
      <c r="O37" s="1">
        <v>18530.624</v>
      </c>
      <c r="P37" s="1">
        <v>21674.174999999999</v>
      </c>
      <c r="Q37" s="1">
        <v>21410.785</v>
      </c>
      <c r="R37" s="1">
        <v>23762.327000000001</v>
      </c>
      <c r="S37" s="1">
        <v>25953.873</v>
      </c>
      <c r="T37" s="1">
        <v>24566.091</v>
      </c>
      <c r="U37" s="1">
        <v>23481.266</v>
      </c>
    </row>
    <row r="38" spans="1:22">
      <c r="A38" s="1" t="s">
        <v>54</v>
      </c>
      <c r="F38" s="41">
        <v>42300.482000000004</v>
      </c>
      <c r="I38" s="1">
        <v>57265.133999999998</v>
      </c>
      <c r="K38" s="1">
        <v>60204.900300000008</v>
      </c>
      <c r="L38" s="1">
        <v>67184.251999999993</v>
      </c>
      <c r="M38" s="1">
        <v>76585.788</v>
      </c>
      <c r="N38" s="1">
        <v>73707.138999999996</v>
      </c>
      <c r="O38" s="1">
        <v>80609.016000000003</v>
      </c>
      <c r="P38" s="1">
        <v>79508.718999999997</v>
      </c>
      <c r="Q38" s="1">
        <v>96952.093999999997</v>
      </c>
      <c r="R38" s="1">
        <v>117019.327</v>
      </c>
      <c r="S38" s="1">
        <v>103514.05899999999</v>
      </c>
      <c r="T38" s="1">
        <v>110005.557</v>
      </c>
      <c r="U38" s="1">
        <v>135278.83600000001</v>
      </c>
    </row>
    <row r="39" spans="1:22">
      <c r="A39" s="23" t="s">
        <v>55</v>
      </c>
      <c r="B39" s="23"/>
      <c r="C39" s="23"/>
      <c r="D39" s="23"/>
      <c r="E39" s="23"/>
      <c r="F39" s="44">
        <v>12096.102000000001</v>
      </c>
      <c r="G39" s="23"/>
      <c r="H39" s="23"/>
      <c r="I39" s="23">
        <v>11796.151</v>
      </c>
      <c r="J39" s="23"/>
      <c r="K39" s="23">
        <v>11929.893</v>
      </c>
      <c r="L39" s="23">
        <v>14292.788</v>
      </c>
      <c r="M39" s="23">
        <v>16222.022000000001</v>
      </c>
      <c r="N39" s="23">
        <v>18983.29</v>
      </c>
      <c r="O39" s="23">
        <v>16057.264999999999</v>
      </c>
      <c r="P39" s="23">
        <v>18960.864000000001</v>
      </c>
      <c r="Q39" s="23">
        <v>20158.330999999998</v>
      </c>
      <c r="R39" s="23">
        <v>20543.314999999999</v>
      </c>
      <c r="S39" s="23">
        <v>23614.667000000001</v>
      </c>
      <c r="T39" s="23">
        <v>20947.151999999998</v>
      </c>
      <c r="U39" s="23">
        <v>24057.043000000001</v>
      </c>
      <c r="V39" s="23"/>
    </row>
    <row r="40" spans="1:22">
      <c r="A40" s="7" t="s">
        <v>56</v>
      </c>
      <c r="B40" s="47">
        <f>SUM(B42:B53)</f>
        <v>0</v>
      </c>
      <c r="C40" s="47">
        <f t="shared" ref="C40:V40" si="5">SUM(C42:C53)</f>
        <v>0</v>
      </c>
      <c r="D40" s="47">
        <f t="shared" si="5"/>
        <v>0</v>
      </c>
      <c r="E40" s="47">
        <f t="shared" si="5"/>
        <v>0</v>
      </c>
      <c r="F40" s="47">
        <f t="shared" si="5"/>
        <v>400278.89900000003</v>
      </c>
      <c r="G40" s="47">
        <f t="shared" si="5"/>
        <v>0</v>
      </c>
      <c r="H40" s="47">
        <f t="shared" si="5"/>
        <v>0</v>
      </c>
      <c r="I40" s="47">
        <f t="shared" si="5"/>
        <v>447359.89000000007</v>
      </c>
      <c r="J40" s="47">
        <f t="shared" si="5"/>
        <v>0</v>
      </c>
      <c r="K40" s="47">
        <f t="shared" si="5"/>
        <v>542380.09667000012</v>
      </c>
      <c r="L40" s="47">
        <f t="shared" si="5"/>
        <v>638322.40899999987</v>
      </c>
      <c r="M40" s="47">
        <f t="shared" si="5"/>
        <v>688529.80699999991</v>
      </c>
      <c r="N40" s="47">
        <f t="shared" si="5"/>
        <v>717289.60800000001</v>
      </c>
      <c r="O40" s="47">
        <f t="shared" si="5"/>
        <v>718436.9879999999</v>
      </c>
      <c r="P40" s="47">
        <f t="shared" si="5"/>
        <v>728288.08599999989</v>
      </c>
      <c r="Q40" s="47">
        <f t="shared" si="5"/>
        <v>760698.21600000001</v>
      </c>
      <c r="R40" s="47">
        <f t="shared" si="5"/>
        <v>824330.31900000002</v>
      </c>
      <c r="S40" s="47">
        <f t="shared" si="5"/>
        <v>851065.375</v>
      </c>
      <c r="T40" s="47">
        <f t="shared" si="5"/>
        <v>750700.15199999989</v>
      </c>
      <c r="U40" s="47">
        <f t="shared" si="5"/>
        <v>696967.31599999988</v>
      </c>
      <c r="V40" s="47">
        <f t="shared" si="5"/>
        <v>0</v>
      </c>
    </row>
    <row r="41" spans="1:22">
      <c r="A41" s="7" t="s">
        <v>97</v>
      </c>
    </row>
    <row r="42" spans="1:22">
      <c r="A42" s="1" t="s">
        <v>57</v>
      </c>
      <c r="F42" s="41">
        <v>111162.97500000001</v>
      </c>
      <c r="I42" s="1">
        <v>123965.84</v>
      </c>
      <c r="K42" s="1">
        <v>154212.27882000001</v>
      </c>
      <c r="L42" s="1">
        <v>181047.97399999999</v>
      </c>
      <c r="M42" s="1">
        <v>185538.80799999999</v>
      </c>
      <c r="N42" s="1">
        <v>216478.56299999999</v>
      </c>
      <c r="O42" s="1">
        <v>167733.43799999999</v>
      </c>
      <c r="P42" s="1">
        <v>182537.58300000001</v>
      </c>
      <c r="Q42" s="1">
        <v>197764.212</v>
      </c>
      <c r="R42" s="1">
        <v>212460.78899999999</v>
      </c>
      <c r="S42" s="1">
        <v>226681.28700000001</v>
      </c>
      <c r="T42" s="1">
        <v>182291.125</v>
      </c>
      <c r="U42" s="1">
        <v>132078.21400000001</v>
      </c>
    </row>
    <row r="43" spans="1:22">
      <c r="A43" s="1" t="s">
        <v>58</v>
      </c>
      <c r="F43" s="41">
        <v>14788.628000000001</v>
      </c>
      <c r="I43" s="1">
        <v>15643.468000000001</v>
      </c>
      <c r="K43" s="1">
        <v>17638.23</v>
      </c>
      <c r="L43" s="1">
        <v>20187.856</v>
      </c>
      <c r="M43" s="1">
        <v>21527.830999999998</v>
      </c>
      <c r="N43" s="1">
        <v>16340.815000000001</v>
      </c>
      <c r="O43" s="1">
        <v>22036.673999999999</v>
      </c>
      <c r="P43" s="1">
        <v>18921.376</v>
      </c>
      <c r="Q43" s="1">
        <v>21447.377</v>
      </c>
      <c r="R43" s="1">
        <v>22347.550999999999</v>
      </c>
      <c r="S43" s="1">
        <v>25085.606</v>
      </c>
      <c r="T43" s="1">
        <v>25849.15</v>
      </c>
      <c r="U43" s="1">
        <v>25904.432000000001</v>
      </c>
    </row>
    <row r="44" spans="1:22">
      <c r="A44" s="1" t="s">
        <v>59</v>
      </c>
      <c r="F44" s="41">
        <v>23207.995999999999</v>
      </c>
      <c r="I44" s="1">
        <v>27296.94</v>
      </c>
      <c r="K44" s="1">
        <v>29275.746999999999</v>
      </c>
      <c r="L44" s="1">
        <v>33805.72</v>
      </c>
      <c r="M44" s="1">
        <v>36513.762000000002</v>
      </c>
      <c r="N44" s="1">
        <v>42569.415999999997</v>
      </c>
      <c r="O44" s="1">
        <v>47805.436999999998</v>
      </c>
      <c r="P44" s="1">
        <v>48551.942999999999</v>
      </c>
      <c r="Q44" s="1">
        <v>51095.446000000004</v>
      </c>
      <c r="R44" s="1">
        <v>52734.159</v>
      </c>
      <c r="S44" s="1">
        <v>59127.781999999999</v>
      </c>
      <c r="T44" s="1">
        <v>44451.629000000001</v>
      </c>
      <c r="U44" s="1">
        <v>43726.951000000001</v>
      </c>
    </row>
    <row r="45" spans="1:22">
      <c r="A45" s="1" t="s">
        <v>60</v>
      </c>
      <c r="F45" s="41">
        <v>24783.036</v>
      </c>
      <c r="I45" s="1">
        <v>27271.606</v>
      </c>
      <c r="K45" s="1">
        <v>30925.48747</v>
      </c>
      <c r="L45" s="1">
        <v>37817.786</v>
      </c>
      <c r="M45" s="1">
        <v>40959.252999999997</v>
      </c>
      <c r="N45" s="1">
        <v>43694.207000000002</v>
      </c>
      <c r="O45" s="1">
        <v>39666.696000000004</v>
      </c>
      <c r="P45" s="1">
        <v>39390.451000000001</v>
      </c>
      <c r="Q45" s="1">
        <v>42546.521999999997</v>
      </c>
      <c r="R45" s="1">
        <v>43207.057999999997</v>
      </c>
      <c r="S45" s="1">
        <v>47641.362999999998</v>
      </c>
      <c r="T45" s="1">
        <v>47136.315999999999</v>
      </c>
      <c r="U45" s="1">
        <v>51437.625999999997</v>
      </c>
    </row>
    <row r="46" spans="1:22">
      <c r="A46" s="1" t="s">
        <v>61</v>
      </c>
      <c r="F46" s="41">
        <v>70327.467000000004</v>
      </c>
      <c r="I46" s="1">
        <v>76652.607000000004</v>
      </c>
      <c r="K46" s="1">
        <v>85024.969420000023</v>
      </c>
      <c r="L46" s="1">
        <v>97560.843999999997</v>
      </c>
      <c r="M46" s="1">
        <v>106214.989</v>
      </c>
      <c r="N46" s="1">
        <v>118770.951</v>
      </c>
      <c r="O46" s="1">
        <v>141884.978</v>
      </c>
      <c r="P46" s="1">
        <v>132803.524</v>
      </c>
      <c r="Q46" s="1">
        <v>138665.60500000001</v>
      </c>
      <c r="R46" s="1">
        <v>155417.20800000001</v>
      </c>
      <c r="S46" s="1">
        <v>154708.05499999999</v>
      </c>
      <c r="T46" s="1">
        <v>163617.90900000001</v>
      </c>
      <c r="U46" s="1">
        <v>172319.242</v>
      </c>
    </row>
    <row r="47" spans="1:22">
      <c r="A47" s="1" t="s">
        <v>62</v>
      </c>
      <c r="F47" s="41">
        <v>32244.937999999998</v>
      </c>
      <c r="I47" s="1">
        <v>43485.271000000001</v>
      </c>
      <c r="K47" s="1">
        <v>51076.329840000006</v>
      </c>
      <c r="L47" s="1">
        <v>56195.786</v>
      </c>
      <c r="M47" s="1">
        <v>67697.262000000002</v>
      </c>
      <c r="N47" s="1">
        <v>68058.64</v>
      </c>
      <c r="O47" s="1">
        <v>74681.171000000002</v>
      </c>
      <c r="P47" s="1">
        <v>71013.695999999996</v>
      </c>
      <c r="Q47" s="1">
        <v>71780.032000000007</v>
      </c>
      <c r="R47" s="1">
        <v>81951.057000000001</v>
      </c>
      <c r="S47" s="1">
        <v>85325.577999999994</v>
      </c>
      <c r="T47" s="1">
        <v>87445.646999999997</v>
      </c>
      <c r="U47" s="1">
        <v>83426.191999999995</v>
      </c>
    </row>
    <row r="48" spans="1:22">
      <c r="A48" s="1" t="s">
        <v>63</v>
      </c>
      <c r="F48" s="41">
        <v>20996.819</v>
      </c>
      <c r="I48" s="1">
        <v>8894.1939999999995</v>
      </c>
      <c r="K48" s="1">
        <v>34625.262999999999</v>
      </c>
      <c r="L48" s="1">
        <v>18447.260999999999</v>
      </c>
      <c r="M48" s="1">
        <v>32629.120999999999</v>
      </c>
      <c r="N48" s="1">
        <v>21878.406999999999</v>
      </c>
      <c r="O48" s="1">
        <v>20528.859</v>
      </c>
      <c r="P48" s="1">
        <v>20855.592000000001</v>
      </c>
      <c r="Q48" s="1">
        <v>23476.332999999999</v>
      </c>
      <c r="R48" s="1">
        <v>24439.181</v>
      </c>
      <c r="S48" s="1">
        <v>28454.09</v>
      </c>
      <c r="T48" s="1">
        <v>20571.460999999999</v>
      </c>
      <c r="U48" s="1">
        <v>15825.562</v>
      </c>
    </row>
    <row r="49" spans="1:22">
      <c r="A49" s="1" t="s">
        <v>64</v>
      </c>
      <c r="F49" s="41">
        <v>8467.9060000000009</v>
      </c>
      <c r="I49" s="1">
        <v>8120.9549999999999</v>
      </c>
      <c r="K49" s="1">
        <v>12177.058000000001</v>
      </c>
      <c r="L49" s="1">
        <v>13999.481</v>
      </c>
      <c r="M49" s="1">
        <v>14981.987999999999</v>
      </c>
      <c r="N49" s="1">
        <v>15303.474</v>
      </c>
      <c r="O49" s="1">
        <v>18853.396000000001</v>
      </c>
      <c r="P49" s="1">
        <v>19108.292000000001</v>
      </c>
      <c r="Q49" s="1">
        <v>19355.781999999999</v>
      </c>
      <c r="R49" s="1">
        <v>21987.172999999999</v>
      </c>
      <c r="S49" s="1">
        <v>21622.29</v>
      </c>
      <c r="T49" s="1">
        <v>24437.401999999998</v>
      </c>
      <c r="U49" s="1">
        <v>26786.953000000001</v>
      </c>
    </row>
    <row r="50" spans="1:22">
      <c r="A50" s="1" t="s">
        <v>65</v>
      </c>
      <c r="F50" s="41">
        <v>5770.46</v>
      </c>
      <c r="I50" s="1">
        <v>6361.4549999999999</v>
      </c>
      <c r="K50" s="1">
        <v>6181.637950000003</v>
      </c>
      <c r="L50" s="1">
        <v>7940.3339999999998</v>
      </c>
      <c r="M50" s="1">
        <v>7698.6239999999998</v>
      </c>
      <c r="N50" s="1">
        <v>7528.4849999999997</v>
      </c>
      <c r="O50" s="1">
        <v>7450.0410000000002</v>
      </c>
      <c r="P50" s="1">
        <v>6270.8649999999998</v>
      </c>
      <c r="Q50" s="1">
        <v>7111.5150000000003</v>
      </c>
      <c r="R50" s="1">
        <v>6996.1149999999998</v>
      </c>
      <c r="S50" s="1">
        <v>7029.1329999999998</v>
      </c>
      <c r="T50" s="1">
        <v>8028.1139999999996</v>
      </c>
      <c r="U50" s="1">
        <v>9682.0020000000004</v>
      </c>
    </row>
    <row r="51" spans="1:22">
      <c r="A51" s="1" t="s">
        <v>66</v>
      </c>
      <c r="F51" s="41">
        <v>48382.947999999997</v>
      </c>
      <c r="I51" s="1">
        <v>58340.341999999997</v>
      </c>
      <c r="K51" s="1">
        <v>62987.783000000003</v>
      </c>
      <c r="L51" s="1">
        <v>83133.043999999994</v>
      </c>
      <c r="M51" s="1">
        <v>91910.471999999994</v>
      </c>
      <c r="N51" s="1">
        <v>87391.214000000007</v>
      </c>
      <c r="O51" s="1">
        <v>88728.804999999993</v>
      </c>
      <c r="P51" s="1">
        <v>93382.326000000001</v>
      </c>
      <c r="Q51" s="1">
        <v>93046.394</v>
      </c>
      <c r="R51" s="1">
        <v>103712.19500000001</v>
      </c>
      <c r="S51" s="1">
        <v>106200.883</v>
      </c>
      <c r="T51" s="1">
        <v>70589.808999999994</v>
      </c>
      <c r="U51" s="1">
        <v>78040.817999999999</v>
      </c>
    </row>
    <row r="52" spans="1:22">
      <c r="A52" s="1" t="s">
        <v>67</v>
      </c>
      <c r="F52" s="41">
        <v>79.465000000000003</v>
      </c>
      <c r="I52" s="1">
        <v>79.066999999999993</v>
      </c>
      <c r="K52" s="1">
        <v>2844.9511699999998</v>
      </c>
      <c r="L52" s="1">
        <v>2952.1880000000001</v>
      </c>
      <c r="M52" s="1">
        <v>4250.3890000000001</v>
      </c>
      <c r="N52" s="1">
        <v>3546.1329999999998</v>
      </c>
      <c r="O52" s="1">
        <v>4507.5780000000004</v>
      </c>
      <c r="P52" s="1">
        <v>4417.7539999999999</v>
      </c>
      <c r="Q52" s="1">
        <v>3817.1849999999999</v>
      </c>
      <c r="R52" s="1">
        <v>4679.8109999999997</v>
      </c>
      <c r="S52" s="1">
        <v>7002.9769999999999</v>
      </c>
      <c r="T52" s="1">
        <v>5355.9650000000001</v>
      </c>
      <c r="U52" s="1">
        <v>11600.561</v>
      </c>
    </row>
    <row r="53" spans="1:22">
      <c r="A53" s="23" t="s">
        <v>68</v>
      </c>
      <c r="B53" s="23"/>
      <c r="C53" s="23"/>
      <c r="D53" s="23"/>
      <c r="E53" s="23"/>
      <c r="F53" s="44">
        <v>40066.260999999999</v>
      </c>
      <c r="G53" s="23"/>
      <c r="H53" s="23"/>
      <c r="I53" s="23">
        <v>51248.144999999997</v>
      </c>
      <c r="J53" s="23"/>
      <c r="K53" s="23">
        <v>55410.360999999997</v>
      </c>
      <c r="L53" s="23">
        <v>85234.134999999995</v>
      </c>
      <c r="M53" s="23">
        <v>78607.308000000005</v>
      </c>
      <c r="N53" s="23">
        <v>75729.303</v>
      </c>
      <c r="O53" s="23">
        <v>84559.914999999994</v>
      </c>
      <c r="P53" s="23">
        <v>91034.683999999994</v>
      </c>
      <c r="Q53" s="23">
        <v>90591.812999999995</v>
      </c>
      <c r="R53" s="23">
        <v>94398.021999999997</v>
      </c>
      <c r="S53" s="23">
        <v>82186.331000000006</v>
      </c>
      <c r="T53" s="23">
        <v>70925.625</v>
      </c>
      <c r="U53" s="23">
        <v>46138.762999999999</v>
      </c>
      <c r="V53" s="23"/>
    </row>
    <row r="54" spans="1:22">
      <c r="A54" s="7" t="s">
        <v>69</v>
      </c>
      <c r="B54" s="47">
        <f>SUM(B56:B64)</f>
        <v>0</v>
      </c>
      <c r="C54" s="47">
        <f t="shared" ref="C54:V54" si="6">SUM(C56:C64)</f>
        <v>0</v>
      </c>
      <c r="D54" s="47">
        <f t="shared" si="6"/>
        <v>0</v>
      </c>
      <c r="E54" s="47">
        <f t="shared" si="6"/>
        <v>0</v>
      </c>
      <c r="F54" s="47">
        <f t="shared" si="6"/>
        <v>260539.44899999999</v>
      </c>
      <c r="G54" s="47">
        <f t="shared" si="6"/>
        <v>0</v>
      </c>
      <c r="H54" s="47">
        <f t="shared" si="6"/>
        <v>0</v>
      </c>
      <c r="I54" s="47">
        <f t="shared" si="6"/>
        <v>305389.93799999997</v>
      </c>
      <c r="J54" s="47">
        <f t="shared" si="6"/>
        <v>0</v>
      </c>
      <c r="K54" s="47">
        <f t="shared" si="6"/>
        <v>328407.92895000003</v>
      </c>
      <c r="L54" s="47">
        <f t="shared" si="6"/>
        <v>331604.02600000001</v>
      </c>
      <c r="M54" s="47">
        <f t="shared" si="6"/>
        <v>377512.49</v>
      </c>
      <c r="N54" s="47">
        <f t="shared" si="6"/>
        <v>394338.01699999999</v>
      </c>
      <c r="O54" s="47">
        <f t="shared" si="6"/>
        <v>443665.57</v>
      </c>
      <c r="P54" s="47">
        <f t="shared" si="6"/>
        <v>478020.973</v>
      </c>
      <c r="Q54" s="47">
        <f t="shared" si="6"/>
        <v>504409.35499999998</v>
      </c>
      <c r="R54" s="47">
        <f t="shared" si="6"/>
        <v>552769.15599999996</v>
      </c>
      <c r="S54" s="47">
        <f t="shared" si="6"/>
        <v>582518.0070000001</v>
      </c>
      <c r="T54" s="47">
        <f t="shared" si="6"/>
        <v>578578.70600000001</v>
      </c>
      <c r="U54" s="47">
        <f t="shared" si="6"/>
        <v>448473.10399999993</v>
      </c>
      <c r="V54" s="47">
        <f t="shared" si="6"/>
        <v>0</v>
      </c>
    </row>
    <row r="55" spans="1:22">
      <c r="A55" s="7" t="s">
        <v>97</v>
      </c>
    </row>
    <row r="56" spans="1:22">
      <c r="A56" s="1" t="s">
        <v>70</v>
      </c>
      <c r="F56" s="41">
        <v>7584.6589999999997</v>
      </c>
      <c r="I56" s="1">
        <v>10957.975</v>
      </c>
      <c r="K56" s="1">
        <v>14028.170079999998</v>
      </c>
      <c r="L56" s="1">
        <v>16028.99</v>
      </c>
      <c r="M56" s="1">
        <v>17551.952000000001</v>
      </c>
      <c r="N56" s="1">
        <v>24487.231</v>
      </c>
      <c r="O56" s="1">
        <v>30301.278999999999</v>
      </c>
      <c r="P56" s="1">
        <v>31637.41</v>
      </c>
      <c r="Q56" s="1">
        <v>31536.172999999999</v>
      </c>
      <c r="R56" s="1">
        <v>32834.021999999997</v>
      </c>
      <c r="S56" s="1">
        <v>35716.006000000001</v>
      </c>
      <c r="T56" s="1">
        <v>41353.112000000001</v>
      </c>
      <c r="U56" s="1">
        <v>45732.161999999997</v>
      </c>
    </row>
    <row r="57" spans="1:22">
      <c r="A57" s="1" t="s">
        <v>71</v>
      </c>
      <c r="F57" s="41">
        <v>4554.1189999999997</v>
      </c>
      <c r="I57" s="1">
        <v>4807.4840000000004</v>
      </c>
      <c r="K57" s="1">
        <v>5440.6419999999998</v>
      </c>
      <c r="L57" s="1">
        <v>6325.7629999999999</v>
      </c>
      <c r="M57" s="1">
        <v>6644.9359999999997</v>
      </c>
      <c r="N57" s="1">
        <v>6885.0379999999996</v>
      </c>
      <c r="O57" s="1">
        <v>7625.59</v>
      </c>
      <c r="P57" s="1">
        <v>8130.7820000000002</v>
      </c>
      <c r="Q57" s="1">
        <v>9113.0020000000004</v>
      </c>
      <c r="R57" s="1">
        <v>9474.6540000000005</v>
      </c>
      <c r="S57" s="1">
        <v>9555.8349999999991</v>
      </c>
      <c r="T57" s="1">
        <v>10501.19</v>
      </c>
      <c r="U57" s="1">
        <v>0</v>
      </c>
    </row>
    <row r="58" spans="1:22" s="11" customFormat="1">
      <c r="A58" s="1" t="s">
        <v>72</v>
      </c>
      <c r="B58" s="1"/>
      <c r="C58" s="1"/>
      <c r="D58" s="1"/>
      <c r="E58" s="1"/>
      <c r="F58" s="41">
        <v>26079.044000000002</v>
      </c>
      <c r="G58" s="1"/>
      <c r="H58" s="1"/>
      <c r="I58" s="1">
        <v>32580.02</v>
      </c>
      <c r="J58" s="1"/>
      <c r="K58" s="1">
        <v>37348.232000000004</v>
      </c>
      <c r="L58" s="1">
        <v>42387.883000000002</v>
      </c>
      <c r="M58" s="1">
        <v>47178.273000000001</v>
      </c>
      <c r="N58" s="1">
        <v>50921.877999999997</v>
      </c>
      <c r="O58" s="1">
        <v>49214.904000000002</v>
      </c>
      <c r="P58" s="1">
        <v>49577.819000000003</v>
      </c>
      <c r="Q58" s="1">
        <v>56310.472999999998</v>
      </c>
      <c r="R58" s="1">
        <v>60944.735000000001</v>
      </c>
      <c r="S58" s="1">
        <v>64043.569000000003</v>
      </c>
      <c r="T58" s="1">
        <v>74045.75</v>
      </c>
      <c r="U58" s="1">
        <v>69667.195000000007</v>
      </c>
      <c r="V58" s="1"/>
    </row>
    <row r="59" spans="1:22">
      <c r="A59" s="1" t="s">
        <v>73</v>
      </c>
      <c r="F59" s="41">
        <v>2760.4160000000002</v>
      </c>
      <c r="I59" s="1">
        <v>3484.0160000000001</v>
      </c>
      <c r="K59" s="1">
        <v>3924.1167699999996</v>
      </c>
      <c r="L59" s="1">
        <v>3635.134</v>
      </c>
      <c r="M59" s="1">
        <v>3823.3180000000002</v>
      </c>
      <c r="N59" s="1">
        <v>4565.6689999999999</v>
      </c>
      <c r="O59" s="1">
        <v>4630.6220000000003</v>
      </c>
      <c r="P59" s="1">
        <v>4869.3379999999997</v>
      </c>
      <c r="Q59" s="1">
        <v>4986.0450000000001</v>
      </c>
      <c r="R59" s="1">
        <v>5446.3819999999996</v>
      </c>
      <c r="S59" s="1">
        <v>5566.17</v>
      </c>
      <c r="T59" s="1">
        <v>6911.82</v>
      </c>
      <c r="U59" s="1">
        <v>8196.3089999999993</v>
      </c>
    </row>
    <row r="60" spans="1:22">
      <c r="A60" s="1" t="s">
        <v>74</v>
      </c>
      <c r="F60" s="41">
        <v>52261.714</v>
      </c>
      <c r="I60" s="1">
        <v>58207.866999999998</v>
      </c>
      <c r="K60" s="1">
        <v>61003.273000000001</v>
      </c>
      <c r="L60" s="1">
        <v>64668.014000000003</v>
      </c>
      <c r="M60" s="1">
        <v>70718.376999999993</v>
      </c>
      <c r="N60" s="1">
        <v>75278.858999999997</v>
      </c>
      <c r="O60" s="1">
        <v>79991.716</v>
      </c>
      <c r="P60" s="1">
        <v>84924.172000000006</v>
      </c>
      <c r="Q60" s="1">
        <v>86578.49</v>
      </c>
      <c r="R60" s="1">
        <v>103186.99400000001</v>
      </c>
      <c r="S60" s="1">
        <v>107471.88499999999</v>
      </c>
      <c r="T60" s="1">
        <v>95550.592000000004</v>
      </c>
      <c r="U60" s="1">
        <v>67474.520999999993</v>
      </c>
    </row>
    <row r="61" spans="1:22">
      <c r="A61" s="1" t="s">
        <v>75</v>
      </c>
      <c r="F61" s="41">
        <v>124187.55499999999</v>
      </c>
      <c r="I61" s="1">
        <v>149756.74</v>
      </c>
      <c r="K61" s="1">
        <v>157602.74100000001</v>
      </c>
      <c r="L61" s="1">
        <v>142210.016</v>
      </c>
      <c r="M61" s="1">
        <v>169287.69099999999</v>
      </c>
      <c r="N61" s="1">
        <v>163924.03599999999</v>
      </c>
      <c r="O61" s="1">
        <v>191966.106</v>
      </c>
      <c r="P61" s="1">
        <v>213391.177</v>
      </c>
      <c r="Q61" s="1">
        <v>230346.24299999999</v>
      </c>
      <c r="R61" s="1">
        <v>249396.12400000001</v>
      </c>
      <c r="S61" s="1">
        <v>259824.003</v>
      </c>
      <c r="T61" s="1">
        <v>277017.53399999999</v>
      </c>
      <c r="U61" s="1">
        <v>194542.98499999999</v>
      </c>
    </row>
    <row r="62" spans="1:22">
      <c r="A62" s="1" t="s">
        <v>76</v>
      </c>
      <c r="F62" s="41">
        <v>36885.243999999999</v>
      </c>
      <c r="I62" s="1">
        <v>38738.726000000002</v>
      </c>
      <c r="K62" s="1">
        <v>41590.963100000023</v>
      </c>
      <c r="L62" s="1">
        <v>47093.256000000001</v>
      </c>
      <c r="M62" s="1">
        <v>52277.944000000003</v>
      </c>
      <c r="N62" s="1">
        <v>57741.123</v>
      </c>
      <c r="O62" s="1">
        <v>69162.365000000005</v>
      </c>
      <c r="P62" s="1">
        <v>74100.054000000004</v>
      </c>
      <c r="Q62" s="1">
        <v>75323.028999999995</v>
      </c>
      <c r="R62" s="1">
        <v>80601.37</v>
      </c>
      <c r="S62" s="1">
        <v>89055.044999999998</v>
      </c>
      <c r="T62" s="1">
        <v>61608.142999999996</v>
      </c>
      <c r="U62" s="1">
        <v>64360.006999999998</v>
      </c>
    </row>
    <row r="63" spans="1:22">
      <c r="A63" s="1" t="s">
        <v>77</v>
      </c>
      <c r="F63" s="41">
        <v>5490.5659999999998</v>
      </c>
      <c r="I63" s="1">
        <v>5909.1130000000003</v>
      </c>
      <c r="K63" s="1">
        <v>6458.585</v>
      </c>
      <c r="L63" s="1">
        <v>8057.6540000000005</v>
      </c>
      <c r="M63" s="1">
        <v>8404.3960000000006</v>
      </c>
      <c r="N63" s="1">
        <v>9187.2510000000002</v>
      </c>
      <c r="O63" s="1">
        <v>9312.7430000000004</v>
      </c>
      <c r="P63" s="1">
        <v>10003.56</v>
      </c>
      <c r="Q63" s="1">
        <v>8685.1790000000001</v>
      </c>
      <c r="R63" s="1">
        <v>9022.8250000000007</v>
      </c>
      <c r="S63" s="1">
        <v>9262.9050000000007</v>
      </c>
      <c r="T63" s="1">
        <v>9542.3060000000005</v>
      </c>
      <c r="U63" s="1">
        <v>0</v>
      </c>
    </row>
    <row r="64" spans="1:22">
      <c r="A64" s="23" t="s">
        <v>78</v>
      </c>
      <c r="B64" s="23"/>
      <c r="C64" s="23"/>
      <c r="D64" s="23"/>
      <c r="E64" s="23"/>
      <c r="F64" s="44">
        <v>736.13199999999995</v>
      </c>
      <c r="G64" s="23"/>
      <c r="H64" s="23"/>
      <c r="I64" s="23">
        <v>947.99699999999996</v>
      </c>
      <c r="J64" s="23"/>
      <c r="K64" s="23">
        <v>1011.206</v>
      </c>
      <c r="L64" s="23">
        <v>1197.316</v>
      </c>
      <c r="M64" s="23">
        <v>1625.6030000000001</v>
      </c>
      <c r="N64" s="23">
        <v>1346.932</v>
      </c>
      <c r="O64" s="23">
        <v>1460.2449999999999</v>
      </c>
      <c r="P64" s="23">
        <v>1386.6610000000001</v>
      </c>
      <c r="Q64" s="23">
        <v>1530.721</v>
      </c>
      <c r="R64" s="23">
        <v>1862.05</v>
      </c>
      <c r="S64" s="23">
        <v>2022.5889999999999</v>
      </c>
      <c r="T64" s="23">
        <v>2048.259</v>
      </c>
      <c r="U64" s="23">
        <v>-1500.075</v>
      </c>
      <c r="V64" s="23"/>
    </row>
    <row r="65" spans="1:22">
      <c r="A65" s="45" t="s">
        <v>79</v>
      </c>
      <c r="B65" s="45"/>
      <c r="C65" s="45"/>
      <c r="D65" s="45"/>
      <c r="E65" s="45"/>
      <c r="F65" s="46">
        <v>0</v>
      </c>
      <c r="G65" s="45"/>
      <c r="H65" s="45"/>
      <c r="I65" s="45">
        <v>0</v>
      </c>
      <c r="J65" s="45"/>
      <c r="K65" s="45">
        <v>0</v>
      </c>
      <c r="L65" s="45">
        <v>0</v>
      </c>
      <c r="M65" s="45">
        <v>0</v>
      </c>
      <c r="N65" s="45">
        <v>0</v>
      </c>
      <c r="O65" s="45">
        <v>0</v>
      </c>
      <c r="P65" s="45">
        <v>0</v>
      </c>
      <c r="Q65" s="45">
        <v>0</v>
      </c>
      <c r="R65" s="45">
        <v>0</v>
      </c>
      <c r="S65" s="45">
        <v>0</v>
      </c>
      <c r="T65" s="45">
        <v>0</v>
      </c>
      <c r="U65" s="45">
        <v>0</v>
      </c>
      <c r="V65" s="45"/>
    </row>
    <row r="66" spans="1:22">
      <c r="F66" s="41"/>
    </row>
    <row r="67" spans="1:22">
      <c r="I67" s="19" t="s">
        <v>99</v>
      </c>
      <c r="J67" s="19" t="s">
        <v>100</v>
      </c>
      <c r="K67" s="19"/>
      <c r="L67" s="19" t="s">
        <v>101</v>
      </c>
      <c r="M67" s="19"/>
      <c r="N67" s="19"/>
      <c r="O67" s="19" t="s">
        <v>99</v>
      </c>
      <c r="P67" s="19" t="s">
        <v>99</v>
      </c>
      <c r="Q67" s="19" t="s">
        <v>99</v>
      </c>
      <c r="R67" s="19" t="s">
        <v>99</v>
      </c>
      <c r="S67" s="19"/>
    </row>
    <row r="68" spans="1:22">
      <c r="I68" s="1" t="s">
        <v>102</v>
      </c>
      <c r="J68" s="1" t="s">
        <v>103</v>
      </c>
      <c r="L68" s="1" t="s">
        <v>104</v>
      </c>
      <c r="O68" s="1" t="s">
        <v>102</v>
      </c>
      <c r="P68" s="1" t="s">
        <v>102</v>
      </c>
      <c r="Q68" s="1" t="s">
        <v>102</v>
      </c>
      <c r="R68" s="1" t="s">
        <v>102</v>
      </c>
    </row>
    <row r="69" spans="1:22">
      <c r="I69" s="1" t="s">
        <v>105</v>
      </c>
      <c r="J69" s="1" t="s">
        <v>106</v>
      </c>
      <c r="O69" s="1" t="s">
        <v>105</v>
      </c>
      <c r="P69" s="1" t="s">
        <v>105</v>
      </c>
      <c r="Q69" s="1" t="s">
        <v>105</v>
      </c>
      <c r="R69" s="1" t="s">
        <v>105</v>
      </c>
    </row>
    <row r="70" spans="1:22">
      <c r="J70" s="1" t="s">
        <v>107</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rgb="FF0099FF"/>
  </sheetPr>
  <dimension ref="A1:BI70"/>
  <sheetViews>
    <sheetView showGridLines="0" zoomScaleNormal="100" workbookViewId="0">
      <pane xSplit="1" ySplit="5" topLeftCell="X18" activePane="bottomRight" state="frozen"/>
      <selection pane="topRight" activeCell="H72" sqref="H72"/>
      <selection pane="bottomLeft" activeCell="H72" sqref="H72"/>
      <selection pane="bottomRight" activeCell="BI42" sqref="BI42"/>
    </sheetView>
  </sheetViews>
  <sheetFormatPr defaultColWidth="9.85546875" defaultRowHeight="12.75"/>
  <cols>
    <col min="1" max="1" width="23.42578125" style="43" customWidth="1"/>
    <col min="2" max="51" width="12.42578125" style="1" customWidth="1"/>
    <col min="52" max="52" width="13.5703125" style="1" bestFit="1" customWidth="1"/>
    <col min="53" max="54" width="11.140625" style="1" bestFit="1" customWidth="1"/>
    <col min="55" max="60" width="9.85546875" style="1"/>
    <col min="61" max="61" width="11.5703125" style="1" bestFit="1" customWidth="1"/>
    <col min="62" max="16384" width="9.85546875" style="1"/>
  </cols>
  <sheetData>
    <row r="1" spans="1:61">
      <c r="A1" s="7" t="s">
        <v>94</v>
      </c>
      <c r="D1" s="9"/>
      <c r="E1" s="9"/>
      <c r="F1" s="9"/>
      <c r="AB1" s="1">
        <v>1000</v>
      </c>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row>
    <row r="2" spans="1:61">
      <c r="A2" s="1"/>
      <c r="D2" s="9"/>
      <c r="E2" s="9"/>
      <c r="F2" s="9"/>
      <c r="AF2" s="74" t="s">
        <v>23</v>
      </c>
      <c r="AG2" s="75"/>
      <c r="AH2" s="75"/>
      <c r="AI2" s="75"/>
      <c r="AJ2" s="75"/>
      <c r="AK2" s="75"/>
      <c r="AL2" s="75"/>
      <c r="AM2" s="75"/>
      <c r="AN2" s="75"/>
      <c r="AO2" s="75"/>
      <c r="AP2" s="75"/>
      <c r="AQ2" s="75"/>
      <c r="AR2" s="75"/>
      <c r="AS2" s="75"/>
      <c r="AT2" s="75"/>
      <c r="AU2" s="75"/>
      <c r="AV2" s="75"/>
      <c r="AW2" s="75"/>
      <c r="AX2" s="75"/>
      <c r="AY2" s="74" t="s">
        <v>23</v>
      </c>
      <c r="AZ2" s="74" t="s">
        <v>23</v>
      </c>
      <c r="BA2" s="74" t="s">
        <v>23</v>
      </c>
      <c r="BB2" s="74"/>
      <c r="BC2" s="74"/>
      <c r="BD2" s="74"/>
      <c r="BE2" s="74"/>
      <c r="BF2" s="74"/>
      <c r="BG2" s="74"/>
      <c r="BH2" s="74"/>
      <c r="BI2" s="74"/>
    </row>
    <row r="3" spans="1:61">
      <c r="A3" s="1" t="s">
        <v>95</v>
      </c>
      <c r="D3" s="9"/>
      <c r="E3" s="9"/>
      <c r="F3" s="9"/>
      <c r="AF3" s="74"/>
      <c r="AG3" s="75"/>
      <c r="AH3" s="75"/>
      <c r="AI3" s="75"/>
      <c r="AJ3" s="75"/>
      <c r="AK3" s="75"/>
      <c r="AL3" s="75"/>
      <c r="AM3" s="75"/>
      <c r="AN3" s="75"/>
      <c r="AO3" s="75"/>
      <c r="AP3" s="75"/>
      <c r="AQ3" s="75"/>
      <c r="AR3" s="75"/>
      <c r="AS3" s="75"/>
      <c r="AT3" s="75"/>
      <c r="AU3" s="75"/>
      <c r="AV3" s="75"/>
      <c r="AW3" s="75"/>
      <c r="AX3" s="75"/>
      <c r="AY3" s="74"/>
      <c r="AZ3" s="74"/>
      <c r="BA3" s="74"/>
      <c r="BB3" s="74"/>
      <c r="BC3" s="74"/>
      <c r="BD3" s="74"/>
      <c r="BE3" s="74"/>
      <c r="BF3" s="74"/>
      <c r="BG3" s="74"/>
      <c r="BH3" s="74"/>
      <c r="BI3" s="74"/>
    </row>
    <row r="4" spans="1:61" s="32" customFormat="1">
      <c r="B4" s="32">
        <v>1984</v>
      </c>
      <c r="C4" s="32">
        <v>1985</v>
      </c>
      <c r="D4" s="32">
        <v>1986</v>
      </c>
      <c r="E4" s="32">
        <v>1991</v>
      </c>
      <c r="F4" s="32">
        <v>1992</v>
      </c>
      <c r="G4" s="32">
        <v>1993</v>
      </c>
      <c r="H4" s="32">
        <v>1994</v>
      </c>
      <c r="I4" s="32">
        <v>1995</v>
      </c>
      <c r="J4" s="32">
        <v>1996</v>
      </c>
      <c r="K4" s="32">
        <v>1997</v>
      </c>
      <c r="L4" s="32">
        <v>2000</v>
      </c>
      <c r="M4" s="39">
        <v>2001</v>
      </c>
      <c r="N4" s="39">
        <v>2002</v>
      </c>
      <c r="O4" s="39">
        <v>2003</v>
      </c>
      <c r="P4" s="39">
        <v>2004</v>
      </c>
      <c r="Q4" s="32">
        <v>2005</v>
      </c>
      <c r="R4" s="32">
        <v>2006</v>
      </c>
      <c r="S4" s="39">
        <v>2007</v>
      </c>
      <c r="T4" s="39">
        <v>2008</v>
      </c>
      <c r="U4" s="39">
        <v>2009</v>
      </c>
      <c r="V4" s="39">
        <v>2010</v>
      </c>
      <c r="W4" s="39">
        <v>2011</v>
      </c>
      <c r="X4" s="39">
        <v>2012</v>
      </c>
      <c r="Y4" s="39">
        <v>2013</v>
      </c>
      <c r="Z4" s="39">
        <v>2014</v>
      </c>
      <c r="AA4" s="39">
        <v>2015</v>
      </c>
      <c r="AB4" s="96">
        <v>2016</v>
      </c>
      <c r="AC4" s="96">
        <v>2017</v>
      </c>
      <c r="AD4" s="96">
        <v>2018</v>
      </c>
      <c r="AE4" s="96">
        <v>2019</v>
      </c>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row>
    <row r="5" spans="1:61">
      <c r="B5" s="8" t="s">
        <v>96</v>
      </c>
      <c r="C5" s="8" t="s">
        <v>96</v>
      </c>
      <c r="D5" s="8" t="s">
        <v>96</v>
      </c>
      <c r="E5" s="8" t="s">
        <v>96</v>
      </c>
      <c r="F5" s="8" t="s">
        <v>96</v>
      </c>
      <c r="G5" s="8" t="s">
        <v>96</v>
      </c>
      <c r="H5" s="8" t="s">
        <v>96</v>
      </c>
      <c r="I5" s="8" t="s">
        <v>96</v>
      </c>
      <c r="J5" s="8" t="s">
        <v>96</v>
      </c>
      <c r="K5" s="8" t="s">
        <v>96</v>
      </c>
      <c r="L5" s="8" t="s">
        <v>96</v>
      </c>
      <c r="M5" s="8" t="s">
        <v>96</v>
      </c>
      <c r="N5" s="8" t="s">
        <v>96</v>
      </c>
      <c r="O5" s="8" t="s">
        <v>96</v>
      </c>
      <c r="P5" s="8" t="s">
        <v>96</v>
      </c>
      <c r="Q5" s="8" t="s">
        <v>96</v>
      </c>
      <c r="R5" s="8" t="s">
        <v>96</v>
      </c>
      <c r="S5" s="8" t="s">
        <v>96</v>
      </c>
      <c r="T5" s="8" t="s">
        <v>96</v>
      </c>
      <c r="U5" s="8" t="s">
        <v>96</v>
      </c>
      <c r="V5" s="8" t="s">
        <v>96</v>
      </c>
      <c r="W5" s="8" t="s">
        <v>96</v>
      </c>
      <c r="X5" s="8" t="s">
        <v>96</v>
      </c>
      <c r="Y5" s="8" t="s">
        <v>96</v>
      </c>
      <c r="Z5" s="8" t="s">
        <v>96</v>
      </c>
      <c r="AA5" s="8" t="s">
        <v>96</v>
      </c>
      <c r="AB5" s="8" t="s">
        <v>96</v>
      </c>
      <c r="AC5" s="8" t="s">
        <v>96</v>
      </c>
      <c r="AD5" s="8" t="s">
        <v>96</v>
      </c>
      <c r="AE5" s="8" t="s">
        <v>96</v>
      </c>
      <c r="AF5" s="76">
        <f t="shared" ref="AF5:BA5" si="0">+B4</f>
        <v>1984</v>
      </c>
      <c r="AG5" s="76">
        <f t="shared" si="0"/>
        <v>1985</v>
      </c>
      <c r="AH5" s="76">
        <f t="shared" si="0"/>
        <v>1986</v>
      </c>
      <c r="AI5" s="76">
        <f t="shared" si="0"/>
        <v>1991</v>
      </c>
      <c r="AJ5" s="76">
        <f t="shared" si="0"/>
        <v>1992</v>
      </c>
      <c r="AK5" s="76">
        <f t="shared" si="0"/>
        <v>1993</v>
      </c>
      <c r="AL5" s="76">
        <f t="shared" si="0"/>
        <v>1994</v>
      </c>
      <c r="AM5" s="76">
        <f t="shared" si="0"/>
        <v>1995</v>
      </c>
      <c r="AN5" s="76">
        <f t="shared" si="0"/>
        <v>1996</v>
      </c>
      <c r="AO5" s="76">
        <f t="shared" si="0"/>
        <v>1997</v>
      </c>
      <c r="AP5" s="76">
        <f t="shared" si="0"/>
        <v>2000</v>
      </c>
      <c r="AQ5" s="76">
        <f t="shared" si="0"/>
        <v>2001</v>
      </c>
      <c r="AR5" s="76">
        <f t="shared" si="0"/>
        <v>2002</v>
      </c>
      <c r="AS5" s="76">
        <f t="shared" si="0"/>
        <v>2003</v>
      </c>
      <c r="AT5" s="76">
        <f t="shared" si="0"/>
        <v>2004</v>
      </c>
      <c r="AU5" s="76">
        <f t="shared" si="0"/>
        <v>2005</v>
      </c>
      <c r="AV5" s="76">
        <f t="shared" si="0"/>
        <v>2006</v>
      </c>
      <c r="AW5" s="76">
        <f t="shared" si="0"/>
        <v>2007</v>
      </c>
      <c r="AX5" s="76">
        <f t="shared" si="0"/>
        <v>2008</v>
      </c>
      <c r="AY5" s="76">
        <f t="shared" si="0"/>
        <v>2009</v>
      </c>
      <c r="AZ5" s="76">
        <f t="shared" si="0"/>
        <v>2010</v>
      </c>
      <c r="BA5" s="76">
        <f t="shared" si="0"/>
        <v>2011</v>
      </c>
      <c r="BB5" s="75">
        <v>2012</v>
      </c>
      <c r="BC5" s="75">
        <v>2013</v>
      </c>
      <c r="BD5" s="99">
        <v>2014</v>
      </c>
      <c r="BE5" s="99">
        <v>2015</v>
      </c>
      <c r="BF5" s="99">
        <v>2016</v>
      </c>
      <c r="BG5" s="99">
        <v>2017</v>
      </c>
      <c r="BH5" s="99">
        <v>2018</v>
      </c>
      <c r="BI5" s="99">
        <v>2019</v>
      </c>
    </row>
    <row r="6" spans="1:61">
      <c r="A6" s="23" t="s">
        <v>24</v>
      </c>
      <c r="B6" s="23">
        <f>14692148+20043143</f>
        <v>34735291</v>
      </c>
      <c r="C6" s="23">
        <f>16164351+22182388</f>
        <v>38346739</v>
      </c>
      <c r="D6" s="23">
        <f>17739540+24088718</f>
        <v>41828258</v>
      </c>
      <c r="E6" s="23">
        <v>60717016.428999998</v>
      </c>
      <c r="F6" s="48">
        <f>+F7+F25+F40+F54+F65</f>
        <v>63086595.118000001</v>
      </c>
      <c r="G6" s="23">
        <v>68094627.483999997</v>
      </c>
      <c r="H6" s="23">
        <v>70972121.620000005</v>
      </c>
      <c r="I6" s="48">
        <f>+I7+I25+I40+I54+I65</f>
        <v>72983322.177000001</v>
      </c>
      <c r="J6" s="23">
        <v>78112280.522</v>
      </c>
      <c r="K6" s="48">
        <f t="shared" ref="K6:U6" si="1">+K7+K25+K40+K54+K65</f>
        <v>82791254.839900002</v>
      </c>
      <c r="L6" s="48">
        <f t="shared" si="1"/>
        <v>97344402.655000001</v>
      </c>
      <c r="M6" s="48">
        <f t="shared" si="1"/>
        <v>105255878.21100001</v>
      </c>
      <c r="N6" s="48">
        <f t="shared" si="1"/>
        <v>114476664.09300001</v>
      </c>
      <c r="O6" s="48">
        <f t="shared" si="1"/>
        <v>119158293.78999999</v>
      </c>
      <c r="P6" s="48">
        <f t="shared" si="1"/>
        <v>126324849.40000001</v>
      </c>
      <c r="Q6" s="48">
        <f t="shared" si="1"/>
        <v>136254441.289</v>
      </c>
      <c r="R6" s="48">
        <f t="shared" si="1"/>
        <v>142077199.52599999</v>
      </c>
      <c r="S6" s="48">
        <f t="shared" si="1"/>
        <v>151644586.63</v>
      </c>
      <c r="T6" s="48">
        <f t="shared" si="1"/>
        <v>163699695.785</v>
      </c>
      <c r="U6" s="48">
        <f t="shared" si="1"/>
        <v>155006693.76300001</v>
      </c>
      <c r="V6" s="48">
        <f t="shared" ref="V6:W6" si="2">+V7+V25+V40+V54+V65</f>
        <v>170626200.972</v>
      </c>
      <c r="W6" s="48">
        <f t="shared" si="2"/>
        <v>180374626.90999997</v>
      </c>
      <c r="X6" s="48">
        <f t="shared" ref="X6:Y6" si="3">+X7+X25+X40+X54+X65</f>
        <v>185296911.405</v>
      </c>
      <c r="Y6" s="48">
        <f t="shared" si="3"/>
        <v>185186822.30999997</v>
      </c>
      <c r="Z6" s="48">
        <f t="shared" ref="Z6:AA6" si="4">+Z7+Z25+Z40+Z54+Z65</f>
        <v>194215935.35000002</v>
      </c>
      <c r="AA6" s="48">
        <f t="shared" si="4"/>
        <v>201396526.74600002</v>
      </c>
      <c r="AB6" s="48">
        <f t="shared" ref="AB6:AC6" si="5">+AB7+AB25+AB40+AB54+AB65</f>
        <v>218248260.42200002</v>
      </c>
      <c r="AC6" s="48">
        <f t="shared" si="5"/>
        <v>228807114.94299996</v>
      </c>
      <c r="AD6" s="48">
        <f t="shared" ref="AD6:AE6" si="6">+AD7+AD25+AD40+AD54+AD65</f>
        <v>0</v>
      </c>
      <c r="AE6" s="48">
        <f t="shared" si="6"/>
        <v>249356019.35599995</v>
      </c>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row>
    <row r="7" spans="1:61">
      <c r="A7" s="1" t="s">
        <v>25</v>
      </c>
      <c r="B7" s="47">
        <f>SUM(B8:B24)</f>
        <v>11195623</v>
      </c>
      <c r="C7" s="47">
        <f t="shared" ref="C7:U7" si="7">SUM(C8:C24)</f>
        <v>12289870</v>
      </c>
      <c r="D7" s="47">
        <f t="shared" si="7"/>
        <v>13604883</v>
      </c>
      <c r="E7" s="47">
        <f t="shared" si="7"/>
        <v>20283096.723000001</v>
      </c>
      <c r="F7" s="47">
        <f t="shared" si="7"/>
        <v>20986763.502</v>
      </c>
      <c r="G7" s="47">
        <f t="shared" si="7"/>
        <v>22401225.125999995</v>
      </c>
      <c r="H7" s="47">
        <f t="shared" si="7"/>
        <v>23546651.619999997</v>
      </c>
      <c r="I7" s="47">
        <f t="shared" si="7"/>
        <v>25247528.560000002</v>
      </c>
      <c r="J7" s="47">
        <f t="shared" si="7"/>
        <v>26935678.545999996</v>
      </c>
      <c r="K7" s="47">
        <f t="shared" si="7"/>
        <v>28768130.757919997</v>
      </c>
      <c r="L7" s="47">
        <f t="shared" si="7"/>
        <v>34617800.920000002</v>
      </c>
      <c r="M7" s="47">
        <f t="shared" si="7"/>
        <v>37491545.475000001</v>
      </c>
      <c r="N7" s="47">
        <f t="shared" si="7"/>
        <v>42425641.704999998</v>
      </c>
      <c r="O7" s="47">
        <f t="shared" si="7"/>
        <v>45161487.040999994</v>
      </c>
      <c r="P7" s="47">
        <f t="shared" si="7"/>
        <v>47927207.759000011</v>
      </c>
      <c r="Q7" s="47">
        <f t="shared" si="7"/>
        <v>51563018.194000006</v>
      </c>
      <c r="R7" s="47">
        <f t="shared" si="7"/>
        <v>53248986.096000001</v>
      </c>
      <c r="S7" s="47">
        <f t="shared" si="7"/>
        <v>56716844.725999996</v>
      </c>
      <c r="T7" s="47">
        <f t="shared" si="7"/>
        <v>61746202.609999999</v>
      </c>
      <c r="U7" s="47">
        <f t="shared" si="7"/>
        <v>56093672.956000008</v>
      </c>
      <c r="V7" s="47">
        <f t="shared" ref="V7:W7" si="8">SUM(V8:V24)</f>
        <v>65200095.023999996</v>
      </c>
      <c r="W7" s="47">
        <f t="shared" si="8"/>
        <v>68844749.775000006</v>
      </c>
      <c r="X7" s="47">
        <f t="shared" ref="X7:Y7" si="9">SUM(X8:X24)</f>
        <v>70028189.103</v>
      </c>
      <c r="Y7" s="47">
        <f t="shared" si="9"/>
        <v>67344997.675999999</v>
      </c>
      <c r="Z7" s="47">
        <f t="shared" ref="Z7:AA7" si="10">SUM(Z8:Z24)</f>
        <v>70579336.119000003</v>
      </c>
      <c r="AA7" s="47">
        <f t="shared" si="10"/>
        <v>73487913.803000003</v>
      </c>
      <c r="AB7" s="47">
        <f t="shared" ref="AB7:AC7" si="11">SUM(AB8:AB24)</f>
        <v>81565297.179999992</v>
      </c>
      <c r="AC7" s="47">
        <f t="shared" si="11"/>
        <v>85119431.109999985</v>
      </c>
      <c r="AD7" s="47">
        <f t="shared" ref="AD7:AE7" si="12">SUM(AD8:AD24)</f>
        <v>0</v>
      </c>
      <c r="AE7" s="47">
        <f t="shared" si="12"/>
        <v>93964757.060000002</v>
      </c>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row>
    <row r="8" spans="1:61">
      <c r="A8" s="7" t="s">
        <v>97</v>
      </c>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row>
    <row r="9" spans="1:61">
      <c r="A9" s="1" t="s">
        <v>26</v>
      </c>
      <c r="B9" s="1">
        <v>672396</v>
      </c>
      <c r="C9" s="1">
        <v>762502</v>
      </c>
      <c r="D9" s="1">
        <v>844481</v>
      </c>
      <c r="E9" s="1">
        <v>1252084.4680000001</v>
      </c>
      <c r="F9" s="41">
        <v>1292610.4850000001</v>
      </c>
      <c r="G9" s="1">
        <v>1390108.5719999999</v>
      </c>
      <c r="H9" s="1">
        <v>1495473.66</v>
      </c>
      <c r="I9" s="1">
        <v>1612440.4739999999</v>
      </c>
      <c r="J9" s="1">
        <v>1659985.3689999999</v>
      </c>
      <c r="K9" s="1">
        <v>1695708.2879999999</v>
      </c>
      <c r="L9" s="1">
        <v>2032126.4439999999</v>
      </c>
      <c r="M9" s="1">
        <v>2151222.5660000001</v>
      </c>
      <c r="N9" s="1">
        <v>2380230.048</v>
      </c>
      <c r="O9" s="1">
        <v>2563775.7370000002</v>
      </c>
      <c r="P9" s="1">
        <v>2820309.8229999999</v>
      </c>
      <c r="Q9" s="1">
        <v>2923819.5329999998</v>
      </c>
      <c r="R9" s="1">
        <v>3151654.2880000002</v>
      </c>
      <c r="S9" s="1">
        <v>3454020.1</v>
      </c>
      <c r="T9" s="1">
        <v>4016071.1880000001</v>
      </c>
      <c r="U9" s="1">
        <v>4103818.2820000001</v>
      </c>
      <c r="V9" s="1">
        <v>4213609.1469999999</v>
      </c>
      <c r="W9" s="1">
        <v>4118915.5959999999</v>
      </c>
      <c r="X9" s="1">
        <v>4044047.6779999998</v>
      </c>
      <c r="Y9" s="1">
        <v>4226042.3210000005</v>
      </c>
      <c r="Z9" s="1">
        <v>4388581.841</v>
      </c>
      <c r="AA9" s="1">
        <v>4528543.7539999997</v>
      </c>
      <c r="AB9" s="1">
        <v>4739771.5889999997</v>
      </c>
      <c r="AC9" s="1">
        <v>4977635.182</v>
      </c>
      <c r="AE9" s="1">
        <v>5517822.5669999998</v>
      </c>
      <c r="AF9" s="74">
        <f>('Instruction-4YR'!B9+'RESEARCH 4yr'!B9+'PUBLIC SERVICE 4yr'!B9+'ASptISptSSv 4yr'!B9+'PLANT OPER MAIN 4yr'!B9+'SCHOLAR FELLOW 4yr'!B9+'All Other 4yr'!B9)-B9</f>
        <v>0</v>
      </c>
      <c r="AG9" s="74">
        <f>('Instruction-4YR'!C9+'RESEARCH 4yr'!C9+'PUBLIC SERVICE 4yr'!C9+'ASptISptSSv 4yr'!C9+'PLANT OPER MAIN 4yr'!C9+'SCHOLAR FELLOW 4yr'!C9+'All Other 4yr'!C9)-C9</f>
        <v>0</v>
      </c>
      <c r="AH9" s="74">
        <f>('Instruction-4YR'!D9+'RESEARCH 4yr'!D9+'PUBLIC SERVICE 4yr'!D9+'ASptISptSSv 4yr'!D9+'PLANT OPER MAIN 4yr'!D9+'SCHOLAR FELLOW 4yr'!D9+'All Other 4yr'!D9)-D9</f>
        <v>0</v>
      </c>
      <c r="AI9" s="74">
        <f>('Instruction-4YR'!E9+'RESEARCH 4yr'!E9+'PUBLIC SERVICE 4yr'!E9+'ASptISptSSv 4yr'!E9+'PLANT OPER MAIN 4yr'!E9+'SCHOLAR FELLOW 4yr'!E9+'All Other 4yr'!E9)-E9</f>
        <v>0</v>
      </c>
      <c r="AJ9" s="74">
        <f>('Instruction-4YR'!F9+'RESEARCH 4yr'!F9+'PUBLIC SERVICE 4yr'!F9+'ASptISptSSv 4yr'!F9+'PLANT OPER MAIN 4yr'!F9+'SCHOLAR FELLOW 4yr'!F9+'All Other 4yr'!F9)-F9</f>
        <v>0</v>
      </c>
      <c r="AK9" s="74">
        <f>('Instruction-4YR'!G9+'RESEARCH 4yr'!G9+'PUBLIC SERVICE 4yr'!G9+'ASptISptSSv 4yr'!G9+'PLANT OPER MAIN 4yr'!G9+'SCHOLAR FELLOW 4yr'!G9+'All Other 4yr'!G9)-G9</f>
        <v>0</v>
      </c>
      <c r="AL9" s="74">
        <f>('Instruction-4YR'!H9+'RESEARCH 4yr'!H9+'PUBLIC SERVICE 4yr'!H9+'ASptISptSSv 4yr'!H9+'PLANT OPER MAIN 4yr'!H9+'SCHOLAR FELLOW 4yr'!H9+'All Other 4yr'!H9)-H9</f>
        <v>0</v>
      </c>
      <c r="AM9" s="74">
        <f>('Instruction-4YR'!I9+'RESEARCH 4yr'!I9+'PUBLIC SERVICE 4yr'!I9+'ASptISptSSv 4yr'!I9+'PLANT OPER MAIN 4yr'!I9+'SCHOLAR FELLOW 4yr'!I9+'All Other 4yr'!I9)-I9</f>
        <v>0</v>
      </c>
      <c r="AN9" s="74">
        <f>('Instruction-4YR'!J9+'RESEARCH 4yr'!J9+'PUBLIC SERVICE 4yr'!J9+'ASptISptSSv 4yr'!J9+'PLANT OPER MAIN 4yr'!J9+'SCHOLAR FELLOW 4yr'!J9+'All Other 4yr'!J9)-J9</f>
        <v>0</v>
      </c>
      <c r="AO9" s="74">
        <f>('Instruction-4YR'!K9+'RESEARCH 4yr'!K9+'PUBLIC SERVICE 4yr'!K9+'ASptISptSSv 4yr'!K9+'PLANT OPER MAIN 4yr'!K9+'SCHOLAR FELLOW 4yr'!K9+'All Other 4yr'!K9)-K9</f>
        <v>0</v>
      </c>
      <c r="AP9" s="74">
        <f>('Instruction-4YR'!L9+'RESEARCH 4yr'!L9+'PUBLIC SERVICE 4yr'!L9+'ASptISptSSv 4yr'!L9+'PLANT OPER MAIN 4yr'!L9+'SCHOLAR FELLOW 4yr'!L9+'All Other 4yr'!L9)-L9</f>
        <v>0</v>
      </c>
      <c r="AQ9" s="74">
        <f>('Instruction-4YR'!M9+'RESEARCH 4yr'!M9+'PUBLIC SERVICE 4yr'!M9+'ASptISptSSv 4yr'!M9+'PLANT OPER MAIN 4yr'!M9+'SCHOLAR FELLOW 4yr'!M9+'All Other 4yr'!M9)-M9</f>
        <v>0</v>
      </c>
      <c r="AR9" s="74">
        <f>('Instruction-4YR'!N9+'RESEARCH 4yr'!N9+'PUBLIC SERVICE 4yr'!N9+'ASptISptSSv 4yr'!N9+'PLANT OPER MAIN 4yr'!N9+'SCHOLAR FELLOW 4yr'!N9+'All Other 4yr'!N9)-N9</f>
        <v>0</v>
      </c>
      <c r="AS9" s="74">
        <f>('Instruction-4YR'!O9+'RESEARCH 4yr'!O9+'PUBLIC SERVICE 4yr'!O9+'ASptISptSSv 4yr'!O9+'PLANT OPER MAIN 4yr'!O9+'SCHOLAR FELLOW 4yr'!O9+'All Other 4yr'!O9)-O9</f>
        <v>0</v>
      </c>
      <c r="AT9" s="74">
        <f>('Instruction-4YR'!P9+'RESEARCH 4yr'!P9+'PUBLIC SERVICE 4yr'!P9+'ASptISptSSv 4yr'!P9+'PLANT OPER MAIN 4yr'!P9+'SCHOLAR FELLOW 4yr'!P9+'All Other 4yr'!P9)-P9</f>
        <v>0</v>
      </c>
      <c r="AU9" s="74">
        <f>('Instruction-4YR'!Q9+'RESEARCH 4yr'!Q9+'PUBLIC SERVICE 4yr'!Q9+'ASptISptSSv 4yr'!Q9+'PLANT OPER MAIN 4yr'!Q9+'SCHOLAR FELLOW 4yr'!Q9+'All Other 4yr'!Q9)-Q9</f>
        <v>0</v>
      </c>
      <c r="AV9" s="74">
        <f>('Instruction-4YR'!R9+'RESEARCH 4yr'!R9+'PUBLIC SERVICE 4yr'!R9+'ASptISptSSv 4yr'!R9+'PLANT OPER MAIN 4yr'!R9+'SCHOLAR FELLOW 4yr'!R9+'All Other 4yr'!R9)-R9</f>
        <v>0</v>
      </c>
      <c r="AW9" s="74">
        <f>('Instruction-4YR'!S9+'RESEARCH 4yr'!S9+'PUBLIC SERVICE 4yr'!S9+'ASptISptSSv 4yr'!S9+'PLANT OPER MAIN 4yr'!S9+'SCHOLAR FELLOW 4yr'!S9+'All Other 4yr'!S9)-S9</f>
        <v>0</v>
      </c>
      <c r="AX9" s="74">
        <f>('Instruction-4YR'!T9+'RESEARCH 4yr'!T9+'PUBLIC SERVICE 4yr'!T9+'ASptISptSSv 4yr'!T9+'PLANT OPER MAIN 4yr'!T9+'SCHOLAR FELLOW 4yr'!T9+'All Other 4yr'!T9)-T9</f>
        <v>0</v>
      </c>
      <c r="AY9" s="74">
        <f>('Instruction-4YR'!U9+'RESEARCH 4yr'!U9+'PUBLIC SERVICE 4yr'!U9+'ASptISptSSv 4yr'!U9+'PLANT OPER MAIN 4yr'!U9+'SCHOLAR FELLOW 4yr'!U9+'All Other 4yr'!U9)-U9</f>
        <v>0</v>
      </c>
      <c r="AZ9" s="74">
        <f>('Instruction-4YR'!V9+'RESEARCH 4yr'!V9+'PUBLIC SERVICE 4yr'!V9+'ASptISptSSv 4yr'!V9+'PLANT OPER MAIN 4yr'!V9+'SCHOLAR FELLOW 4yr'!V9+'All Other 4yr'!V9)-V9</f>
        <v>0</v>
      </c>
      <c r="BA9" s="74">
        <f>('Instruction-4YR'!W9+'RESEARCH 4yr'!W9+'PUBLIC SERVICE 4yr'!W9+'ASptISptSSv 4yr'!W9+'PLANT OPER MAIN 4yr'!W9+'SCHOLAR FELLOW 4yr'!W9+'All Other 4yr'!W9)-W9</f>
        <v>0</v>
      </c>
      <c r="BB9" s="74">
        <f>('Instruction-4YR'!X9+'RESEARCH 4yr'!X9+'PUBLIC SERVICE 4yr'!X9+'ASptISptSSv 4yr'!X9+'PLANT OPER MAIN 4yr'!X9+'SCHOLAR FELLOW 4yr'!X9+'All Other 4yr'!X9)-X9</f>
        <v>0</v>
      </c>
      <c r="BC9" s="74">
        <f>('Instruction-4YR'!Y9+'RESEARCH 4yr'!Y9+'PUBLIC SERVICE 4yr'!Y9+'ASptISptSSv 4yr'!Y9+'PLANT OPER MAIN 4yr'!Y9+'SCHOLAR FELLOW 4yr'!Y9+'All Other 4yr'!Y9)-Y9</f>
        <v>0</v>
      </c>
      <c r="BD9" s="74">
        <f>('Instruction-4YR'!Z9+'RESEARCH 4yr'!Z9+'PUBLIC SERVICE 4yr'!Z9+'ASptISptSSv 4yr'!Z9+'PLANT OPER MAIN 4yr'!Z9+'SCHOLAR FELLOW 4yr'!Z9+'All Other 4yr'!Z9)-Z9</f>
        <v>0</v>
      </c>
      <c r="BE9" s="74">
        <f>('Instruction-4YR'!AA9+'RESEARCH 4yr'!AA9+'PUBLIC SERVICE 4yr'!AA9+'ASptISptSSv 4yr'!AA9+'PLANT OPER MAIN 4yr'!AA9+'SCHOLAR FELLOW 4yr'!AA9+'All Other 4yr'!AA9)-AA9</f>
        <v>0</v>
      </c>
      <c r="BF9" s="74">
        <f>('Instruction-4YR'!AB9+'RESEARCH 4yr'!AB9+'PUBLIC SERVICE 4yr'!AB9+'ASptISptSSv 4yr'!AB9+'PLANT OPER MAIN 4yr'!AB9+'SCHOLAR FELLOW 4yr'!AB9+'All Other 4yr'!AB9)-AB9</f>
        <v>0</v>
      </c>
      <c r="BG9" s="74">
        <f>('Instruction-4YR'!AC9+'RESEARCH 4yr'!AC9+'PUBLIC SERVICE 4yr'!AC9+'ASptISptSSv 4yr'!AC9+'PLANT OPER MAIN 4yr'!AC9+'SCHOLAR FELLOW 4yr'!AC9+'All Other 4yr'!AC9)-AC9</f>
        <v>0</v>
      </c>
      <c r="BH9" s="74">
        <f>('Instruction-4YR'!AD9+'RESEARCH 4yr'!AD9+'PUBLIC SERVICE 4yr'!AD9+'ASptISptSSv 4yr'!AD9+'PLANT OPER MAIN 4yr'!AD9+'SCHOLAR FELLOW 4yr'!AD9+'All Other 4yr'!AD9)-AD9</f>
        <v>0</v>
      </c>
      <c r="BI9" s="74">
        <f>('Instruction-4YR'!AE9+'RESEARCH 4yr'!AE9+'PUBLIC SERVICE 4yr'!AE9+'ASptISptSSv 4yr'!AE9+'PLANT OPER MAIN 4yr'!AE9+'SCHOLAR FELLOW 4yr'!AE9+'All Other 4yr'!AE9)-AE9</f>
        <v>0</v>
      </c>
    </row>
    <row r="10" spans="1:61">
      <c r="A10" s="1" t="s">
        <v>27</v>
      </c>
      <c r="B10" s="1">
        <v>317039</v>
      </c>
      <c r="C10" s="1">
        <v>362811</v>
      </c>
      <c r="D10" s="1">
        <v>399788</v>
      </c>
      <c r="E10" s="1">
        <v>636383.96400000004</v>
      </c>
      <c r="F10" s="41">
        <v>591741.74300000002</v>
      </c>
      <c r="G10" s="1">
        <v>661069.99900000007</v>
      </c>
      <c r="H10" s="1">
        <v>683824.799</v>
      </c>
      <c r="I10" s="1">
        <v>726775.77099999995</v>
      </c>
      <c r="J10" s="1">
        <v>776408.96299999999</v>
      </c>
      <c r="K10" s="1">
        <v>837493.23400000005</v>
      </c>
      <c r="L10" s="1">
        <v>1001360.465</v>
      </c>
      <c r="M10" s="1">
        <v>1104514.075</v>
      </c>
      <c r="N10" s="1">
        <v>1296792.3060000001</v>
      </c>
      <c r="O10" s="1">
        <v>1329441.121</v>
      </c>
      <c r="P10" s="1">
        <v>1430792.2290000001</v>
      </c>
      <c r="Q10" s="1">
        <v>1519958.564</v>
      </c>
      <c r="R10" s="1">
        <v>1642227.5430000001</v>
      </c>
      <c r="S10" s="1">
        <v>1657628.287</v>
      </c>
      <c r="T10" s="1">
        <v>1774806.753</v>
      </c>
      <c r="U10" s="1">
        <v>1460993.0120000001</v>
      </c>
      <c r="V10" s="1">
        <v>1928902.253</v>
      </c>
      <c r="W10" s="1">
        <v>2119527.446</v>
      </c>
      <c r="X10" s="1">
        <v>2211134.5690000001</v>
      </c>
      <c r="Y10" s="1">
        <v>2204686.031</v>
      </c>
      <c r="Z10" s="1">
        <v>2243881.2480000001</v>
      </c>
      <c r="AA10" s="1">
        <v>2305310.42</v>
      </c>
      <c r="AB10" s="1">
        <v>2340461.4959999998</v>
      </c>
      <c r="AC10" s="1">
        <v>2399874.1329999999</v>
      </c>
      <c r="AE10" s="1">
        <v>2544991.7050000001</v>
      </c>
      <c r="AF10" s="74">
        <f>('Instruction-4YR'!B10+'RESEARCH 4yr'!B10+'PUBLIC SERVICE 4yr'!B10+'ASptISptSSv 4yr'!B10+'PLANT OPER MAIN 4yr'!B10+'SCHOLAR FELLOW 4yr'!B10+'All Other 4yr'!B10)-B10</f>
        <v>0</v>
      </c>
      <c r="AG10" s="74">
        <f>('Instruction-4YR'!C10+'RESEARCH 4yr'!C10+'PUBLIC SERVICE 4yr'!C10+'ASptISptSSv 4yr'!C10+'PLANT OPER MAIN 4yr'!C10+'SCHOLAR FELLOW 4yr'!C10+'All Other 4yr'!C10)-C10</f>
        <v>0</v>
      </c>
      <c r="AH10" s="74">
        <f>('Instruction-4YR'!D10+'RESEARCH 4yr'!D10+'PUBLIC SERVICE 4yr'!D10+'ASptISptSSv 4yr'!D10+'PLANT OPER MAIN 4yr'!D10+'SCHOLAR FELLOW 4yr'!D10+'All Other 4yr'!D10)-D10</f>
        <v>0</v>
      </c>
      <c r="AI10" s="74">
        <f>('Instruction-4YR'!E10+'RESEARCH 4yr'!E10+'PUBLIC SERVICE 4yr'!E10+'ASptISptSSv 4yr'!E10+'PLANT OPER MAIN 4yr'!E10+'SCHOLAR FELLOW 4yr'!E10+'All Other 4yr'!E10)-E10</f>
        <v>0</v>
      </c>
      <c r="AJ10" s="74">
        <f>('Instruction-4YR'!F10+'RESEARCH 4yr'!F10+'PUBLIC SERVICE 4yr'!F10+'ASptISptSSv 4yr'!F10+'PLANT OPER MAIN 4yr'!F10+'SCHOLAR FELLOW 4yr'!F10+'All Other 4yr'!F10)-F10</f>
        <v>0</v>
      </c>
      <c r="AK10" s="74">
        <f>('Instruction-4YR'!G10+'RESEARCH 4yr'!G10+'PUBLIC SERVICE 4yr'!G10+'ASptISptSSv 4yr'!G10+'PLANT OPER MAIN 4yr'!G10+'SCHOLAR FELLOW 4yr'!G10+'All Other 4yr'!G10)-G10</f>
        <v>0</v>
      </c>
      <c r="AL10" s="74">
        <f>('Instruction-4YR'!H10+'RESEARCH 4yr'!H10+'PUBLIC SERVICE 4yr'!H10+'ASptISptSSv 4yr'!H10+'PLANT OPER MAIN 4yr'!H10+'SCHOLAR FELLOW 4yr'!H10+'All Other 4yr'!H10)-H10</f>
        <v>0</v>
      </c>
      <c r="AM10" s="74">
        <f>('Instruction-4YR'!I10+'RESEARCH 4yr'!I10+'PUBLIC SERVICE 4yr'!I10+'ASptISptSSv 4yr'!I10+'PLANT OPER MAIN 4yr'!I10+'SCHOLAR FELLOW 4yr'!I10+'All Other 4yr'!I10)-I10</f>
        <v>0</v>
      </c>
      <c r="AN10" s="74">
        <f>('Instruction-4YR'!J10+'RESEARCH 4yr'!J10+'PUBLIC SERVICE 4yr'!J10+'ASptISptSSv 4yr'!J10+'PLANT OPER MAIN 4yr'!J10+'SCHOLAR FELLOW 4yr'!J10+'All Other 4yr'!J10)-J10</f>
        <v>0</v>
      </c>
      <c r="AO10" s="74">
        <f>('Instruction-4YR'!K10+'RESEARCH 4yr'!K10+'PUBLIC SERVICE 4yr'!K10+'ASptISptSSv 4yr'!K10+'PLANT OPER MAIN 4yr'!K10+'SCHOLAR FELLOW 4yr'!K10+'All Other 4yr'!K10)-K10</f>
        <v>0</v>
      </c>
      <c r="AP10" s="74">
        <f>('Instruction-4YR'!L10+'RESEARCH 4yr'!L10+'PUBLIC SERVICE 4yr'!L10+'ASptISptSSv 4yr'!L10+'PLANT OPER MAIN 4yr'!L10+'SCHOLAR FELLOW 4yr'!L10+'All Other 4yr'!L10)-L10</f>
        <v>0</v>
      </c>
      <c r="AQ10" s="74">
        <f>('Instruction-4YR'!M10+'RESEARCH 4yr'!M10+'PUBLIC SERVICE 4yr'!M10+'ASptISptSSv 4yr'!M10+'PLANT OPER MAIN 4yr'!M10+'SCHOLAR FELLOW 4yr'!M10+'All Other 4yr'!M10)-M10</f>
        <v>0</v>
      </c>
      <c r="AR10" s="74">
        <f>('Instruction-4YR'!N10+'RESEARCH 4yr'!N10+'PUBLIC SERVICE 4yr'!N10+'ASptISptSSv 4yr'!N10+'PLANT OPER MAIN 4yr'!N10+'SCHOLAR FELLOW 4yr'!N10+'All Other 4yr'!N10)-N10</f>
        <v>0</v>
      </c>
      <c r="AS10" s="74">
        <f>('Instruction-4YR'!O10+'RESEARCH 4yr'!O10+'PUBLIC SERVICE 4yr'!O10+'ASptISptSSv 4yr'!O10+'PLANT OPER MAIN 4yr'!O10+'SCHOLAR FELLOW 4yr'!O10+'All Other 4yr'!O10)-O10</f>
        <v>0</v>
      </c>
      <c r="AT10" s="74">
        <f>('Instruction-4YR'!P10+'RESEARCH 4yr'!P10+'PUBLIC SERVICE 4yr'!P10+'ASptISptSSv 4yr'!P10+'PLANT OPER MAIN 4yr'!P10+'SCHOLAR FELLOW 4yr'!P10+'All Other 4yr'!P10)-P10</f>
        <v>0</v>
      </c>
      <c r="AU10" s="74">
        <f>('Instruction-4YR'!Q10+'RESEARCH 4yr'!Q10+'PUBLIC SERVICE 4yr'!Q10+'ASptISptSSv 4yr'!Q10+'PLANT OPER MAIN 4yr'!Q10+'SCHOLAR FELLOW 4yr'!Q10+'All Other 4yr'!Q10)-Q10</f>
        <v>0</v>
      </c>
      <c r="AV10" s="74">
        <f>('Instruction-4YR'!R10+'RESEARCH 4yr'!R10+'PUBLIC SERVICE 4yr'!R10+'ASptISptSSv 4yr'!R10+'PLANT OPER MAIN 4yr'!R10+'SCHOLAR FELLOW 4yr'!R10+'All Other 4yr'!R10)-R10</f>
        <v>0</v>
      </c>
      <c r="AW10" s="74">
        <f>('Instruction-4YR'!S10+'RESEARCH 4yr'!S10+'PUBLIC SERVICE 4yr'!S10+'ASptISptSSv 4yr'!S10+'PLANT OPER MAIN 4yr'!S10+'SCHOLAR FELLOW 4yr'!S10+'All Other 4yr'!S10)-S10</f>
        <v>0</v>
      </c>
      <c r="AX10" s="74">
        <f>('Instruction-4YR'!T10+'RESEARCH 4yr'!T10+'PUBLIC SERVICE 4yr'!T10+'ASptISptSSv 4yr'!T10+'PLANT OPER MAIN 4yr'!T10+'SCHOLAR FELLOW 4yr'!T10+'All Other 4yr'!T10)-T10</f>
        <v>0</v>
      </c>
      <c r="AY10" s="74">
        <f>('Instruction-4YR'!U10+'RESEARCH 4yr'!U10+'PUBLIC SERVICE 4yr'!U10+'ASptISptSSv 4yr'!U10+'PLANT OPER MAIN 4yr'!U10+'SCHOLAR FELLOW 4yr'!U10+'All Other 4yr'!U10)-U10</f>
        <v>0</v>
      </c>
      <c r="AZ10" s="74">
        <f>('Instruction-4YR'!V10+'RESEARCH 4yr'!V10+'PUBLIC SERVICE 4yr'!V10+'ASptISptSSv 4yr'!V10+'PLANT OPER MAIN 4yr'!V10+'SCHOLAR FELLOW 4yr'!V10+'All Other 4yr'!V10)-V10</f>
        <v>0</v>
      </c>
      <c r="BA10" s="74">
        <f>('Instruction-4YR'!W10+'RESEARCH 4yr'!W10+'PUBLIC SERVICE 4yr'!W10+'ASptISptSSv 4yr'!W10+'PLANT OPER MAIN 4yr'!W10+'SCHOLAR FELLOW 4yr'!W10+'All Other 4yr'!W10)-W10</f>
        <v>0</v>
      </c>
      <c r="BB10" s="74">
        <f>('Instruction-4YR'!X10+'RESEARCH 4yr'!X10+'PUBLIC SERVICE 4yr'!X10+'ASptISptSSv 4yr'!X10+'PLANT OPER MAIN 4yr'!X10+'SCHOLAR FELLOW 4yr'!X10+'All Other 4yr'!X10)-X10</f>
        <v>0</v>
      </c>
      <c r="BC10" s="74">
        <f>('Instruction-4YR'!Y10+'RESEARCH 4yr'!Y10+'PUBLIC SERVICE 4yr'!Y10+'ASptISptSSv 4yr'!Y10+'PLANT OPER MAIN 4yr'!Y10+'SCHOLAR FELLOW 4yr'!Y10+'All Other 4yr'!Y10)-Y10</f>
        <v>0</v>
      </c>
      <c r="BD10" s="74">
        <f>('Instruction-4YR'!Z10+'RESEARCH 4yr'!Z10+'PUBLIC SERVICE 4yr'!Z10+'ASptISptSSv 4yr'!Z10+'PLANT OPER MAIN 4yr'!Z10+'SCHOLAR FELLOW 4yr'!Z10+'All Other 4yr'!Z10)-Z10</f>
        <v>0</v>
      </c>
      <c r="BE10" s="74">
        <f>('Instruction-4YR'!AA10+'RESEARCH 4yr'!AA10+'PUBLIC SERVICE 4yr'!AA10+'ASptISptSSv 4yr'!AA10+'PLANT OPER MAIN 4yr'!AA10+'SCHOLAR FELLOW 4yr'!AA10+'All Other 4yr'!AA10)-AA10</f>
        <v>0</v>
      </c>
      <c r="BF10" s="74">
        <f>('Instruction-4YR'!AB10+'RESEARCH 4yr'!AB10+'PUBLIC SERVICE 4yr'!AB10+'ASptISptSSv 4yr'!AB10+'PLANT OPER MAIN 4yr'!AB10+'SCHOLAR FELLOW 4yr'!AB10+'All Other 4yr'!AB10)-AB10</f>
        <v>0</v>
      </c>
      <c r="BG10" s="74">
        <f>('Instruction-4YR'!AC10+'RESEARCH 4yr'!AC10+'PUBLIC SERVICE 4yr'!AC10+'ASptISptSSv 4yr'!AC10+'PLANT OPER MAIN 4yr'!AC10+'SCHOLAR FELLOW 4yr'!AC10+'All Other 4yr'!AC10)-AC10</f>
        <v>0</v>
      </c>
      <c r="BH10" s="74">
        <f>('Instruction-4YR'!AD10+'RESEARCH 4yr'!AD10+'PUBLIC SERVICE 4yr'!AD10+'ASptISptSSv 4yr'!AD10+'PLANT OPER MAIN 4yr'!AD10+'SCHOLAR FELLOW 4yr'!AD10+'All Other 4yr'!AD10)-AD10</f>
        <v>0</v>
      </c>
      <c r="BI10" s="74">
        <f>('Instruction-4YR'!AE10+'RESEARCH 4yr'!AE10+'PUBLIC SERVICE 4yr'!AE10+'ASptISptSSv 4yr'!AE10+'PLANT OPER MAIN 4yr'!AE10+'SCHOLAR FELLOW 4yr'!AE10+'All Other 4yr'!AE10)-AE10</f>
        <v>0</v>
      </c>
    </row>
    <row r="11" spans="1:61">
      <c r="A11" s="1" t="s">
        <v>28</v>
      </c>
      <c r="B11" s="1">
        <v>0</v>
      </c>
      <c r="C11" s="1">
        <v>0</v>
      </c>
      <c r="D11" s="1">
        <v>182553</v>
      </c>
      <c r="E11" s="1">
        <v>304282.02600000001</v>
      </c>
      <c r="F11" s="41">
        <v>317803.20299999998</v>
      </c>
      <c r="G11" s="1">
        <v>0</v>
      </c>
      <c r="I11" s="1">
        <v>374083.13900000002</v>
      </c>
      <c r="J11" s="1">
        <v>380791.01799999998</v>
      </c>
      <c r="K11" s="1">
        <v>397683.98100000003</v>
      </c>
      <c r="L11" s="1">
        <v>480076.4</v>
      </c>
      <c r="M11" s="1">
        <v>503321.016</v>
      </c>
      <c r="N11" s="1">
        <v>533444.16899999999</v>
      </c>
      <c r="O11" s="1">
        <v>571816.58700000006</v>
      </c>
      <c r="P11" s="1">
        <v>602356.88</v>
      </c>
      <c r="Q11" s="1">
        <v>648260.53200000001</v>
      </c>
      <c r="R11" s="1">
        <v>677539.91099999996</v>
      </c>
      <c r="S11" s="1">
        <v>703185.75300000003</v>
      </c>
      <c r="T11" s="1">
        <v>771316.42099999997</v>
      </c>
      <c r="U11" s="1">
        <v>802243.94200000004</v>
      </c>
      <c r="V11" s="1">
        <v>845074.15599999996</v>
      </c>
      <c r="W11" s="1">
        <v>907613.91700000002</v>
      </c>
      <c r="X11" s="1">
        <v>1003302.505</v>
      </c>
      <c r="Y11" s="1">
        <v>127711.414</v>
      </c>
      <c r="Z11" s="1">
        <v>1030778.606</v>
      </c>
      <c r="AA11" s="1">
        <v>1072243.5859999999</v>
      </c>
      <c r="AB11" s="1">
        <v>1110094.797</v>
      </c>
      <c r="AC11" s="1">
        <v>136399.78200000001</v>
      </c>
      <c r="AE11" s="1">
        <v>1118614.4080000001</v>
      </c>
      <c r="AF11" s="74">
        <f>('Instruction-4YR'!B11+'RESEARCH 4yr'!B11+'PUBLIC SERVICE 4yr'!B11+'ASptISptSSv 4yr'!B11+'PLANT OPER MAIN 4yr'!B11+'SCHOLAR FELLOW 4yr'!B11+'All Other 4yr'!B11)-B11</f>
        <v>0</v>
      </c>
      <c r="AG11" s="74">
        <f>('Instruction-4YR'!C11+'RESEARCH 4yr'!C11+'PUBLIC SERVICE 4yr'!C11+'ASptISptSSv 4yr'!C11+'PLANT OPER MAIN 4yr'!C11+'SCHOLAR FELLOW 4yr'!C11+'All Other 4yr'!C11)-C11</f>
        <v>0</v>
      </c>
      <c r="AH11" s="74">
        <f>('Instruction-4YR'!D11+'RESEARCH 4yr'!D11+'PUBLIC SERVICE 4yr'!D11+'ASptISptSSv 4yr'!D11+'PLANT OPER MAIN 4yr'!D11+'SCHOLAR FELLOW 4yr'!D11+'All Other 4yr'!D11)-D11</f>
        <v>0</v>
      </c>
      <c r="AI11" s="74">
        <f>('Instruction-4YR'!E11+'RESEARCH 4yr'!E11+'PUBLIC SERVICE 4yr'!E11+'ASptISptSSv 4yr'!E11+'PLANT OPER MAIN 4yr'!E11+'SCHOLAR FELLOW 4yr'!E11+'All Other 4yr'!E11)-E11</f>
        <v>0</v>
      </c>
      <c r="AJ11" s="74">
        <f>('Instruction-4YR'!F11+'RESEARCH 4yr'!F11+'PUBLIC SERVICE 4yr'!F11+'ASptISptSSv 4yr'!F11+'PLANT OPER MAIN 4yr'!F11+'SCHOLAR FELLOW 4yr'!F11+'All Other 4yr'!F11)-F11</f>
        <v>0</v>
      </c>
      <c r="AK11" s="74">
        <f>('Instruction-4YR'!G11+'RESEARCH 4yr'!G11+'PUBLIC SERVICE 4yr'!G11+'ASptISptSSv 4yr'!G11+'PLANT OPER MAIN 4yr'!G11+'SCHOLAR FELLOW 4yr'!G11+'All Other 4yr'!G11)-G11</f>
        <v>0</v>
      </c>
      <c r="AL11" s="74">
        <f>('Instruction-4YR'!H11+'RESEARCH 4yr'!H11+'PUBLIC SERVICE 4yr'!H11+'ASptISptSSv 4yr'!H11+'PLANT OPER MAIN 4yr'!H11+'SCHOLAR FELLOW 4yr'!H11+'All Other 4yr'!H11)-H11</f>
        <v>0</v>
      </c>
      <c r="AM11" s="74">
        <f>('Instruction-4YR'!I11+'RESEARCH 4yr'!I11+'PUBLIC SERVICE 4yr'!I11+'ASptISptSSv 4yr'!I11+'PLANT OPER MAIN 4yr'!I11+'SCHOLAR FELLOW 4yr'!I11+'All Other 4yr'!I11)-I11</f>
        <v>0</v>
      </c>
      <c r="AN11" s="74">
        <f>('Instruction-4YR'!J11+'RESEARCH 4yr'!J11+'PUBLIC SERVICE 4yr'!J11+'ASptISptSSv 4yr'!J11+'PLANT OPER MAIN 4yr'!J11+'SCHOLAR FELLOW 4yr'!J11+'All Other 4yr'!J11)-J11</f>
        <v>0</v>
      </c>
      <c r="AO11" s="74">
        <f>('Instruction-4YR'!K11+'RESEARCH 4yr'!K11+'PUBLIC SERVICE 4yr'!K11+'ASptISptSSv 4yr'!K11+'PLANT OPER MAIN 4yr'!K11+'SCHOLAR FELLOW 4yr'!K11+'All Other 4yr'!K11)-K11</f>
        <v>0</v>
      </c>
      <c r="AP11" s="74">
        <f>('Instruction-4YR'!L11+'RESEARCH 4yr'!L11+'PUBLIC SERVICE 4yr'!L11+'ASptISptSSv 4yr'!L11+'PLANT OPER MAIN 4yr'!L11+'SCHOLAR FELLOW 4yr'!L11+'All Other 4yr'!L11)-L11</f>
        <v>0</v>
      </c>
      <c r="AQ11" s="74">
        <f>('Instruction-4YR'!M11+'RESEARCH 4yr'!M11+'PUBLIC SERVICE 4yr'!M11+'ASptISptSSv 4yr'!M11+'PLANT OPER MAIN 4yr'!M11+'SCHOLAR FELLOW 4yr'!M11+'All Other 4yr'!M11)-M11</f>
        <v>0</v>
      </c>
      <c r="AR11" s="74">
        <f>('Instruction-4YR'!N11+'RESEARCH 4yr'!N11+'PUBLIC SERVICE 4yr'!N11+'ASptISptSSv 4yr'!N11+'PLANT OPER MAIN 4yr'!N11+'SCHOLAR FELLOW 4yr'!N11+'All Other 4yr'!N11)-N11</f>
        <v>0</v>
      </c>
      <c r="AS11" s="74">
        <f>('Instruction-4YR'!O11+'RESEARCH 4yr'!O11+'PUBLIC SERVICE 4yr'!O11+'ASptISptSSv 4yr'!O11+'PLANT OPER MAIN 4yr'!O11+'SCHOLAR FELLOW 4yr'!O11+'All Other 4yr'!O11)-O11</f>
        <v>0</v>
      </c>
      <c r="AT11" s="74">
        <f>('Instruction-4YR'!P11+'RESEARCH 4yr'!P11+'PUBLIC SERVICE 4yr'!P11+'ASptISptSSv 4yr'!P11+'PLANT OPER MAIN 4yr'!P11+'SCHOLAR FELLOW 4yr'!P11+'All Other 4yr'!P11)-P11</f>
        <v>0</v>
      </c>
      <c r="AU11" s="74">
        <f>('Instruction-4YR'!Q11+'RESEARCH 4yr'!Q11+'PUBLIC SERVICE 4yr'!Q11+'ASptISptSSv 4yr'!Q11+'PLANT OPER MAIN 4yr'!Q11+'SCHOLAR FELLOW 4yr'!Q11+'All Other 4yr'!Q11)-Q11</f>
        <v>0</v>
      </c>
      <c r="AV11" s="74">
        <f>('Instruction-4YR'!R11+'RESEARCH 4yr'!R11+'PUBLIC SERVICE 4yr'!R11+'ASptISptSSv 4yr'!R11+'PLANT OPER MAIN 4yr'!R11+'SCHOLAR FELLOW 4yr'!R11+'All Other 4yr'!R11)-R11</f>
        <v>0</v>
      </c>
      <c r="AW11" s="74">
        <f>('Instruction-4YR'!S11+'RESEARCH 4yr'!S11+'PUBLIC SERVICE 4yr'!S11+'ASptISptSSv 4yr'!S11+'PLANT OPER MAIN 4yr'!S11+'SCHOLAR FELLOW 4yr'!S11+'All Other 4yr'!S11)-S11</f>
        <v>0</v>
      </c>
      <c r="AX11" s="74">
        <f>('Instruction-4YR'!T11+'RESEARCH 4yr'!T11+'PUBLIC SERVICE 4yr'!T11+'ASptISptSSv 4yr'!T11+'PLANT OPER MAIN 4yr'!T11+'SCHOLAR FELLOW 4yr'!T11+'All Other 4yr'!T11)-T11</f>
        <v>0</v>
      </c>
      <c r="AY11" s="74">
        <f>('Instruction-4YR'!U11+'RESEARCH 4yr'!U11+'PUBLIC SERVICE 4yr'!U11+'ASptISptSSv 4yr'!U11+'PLANT OPER MAIN 4yr'!U11+'SCHOLAR FELLOW 4yr'!U11+'All Other 4yr'!U11)-U11</f>
        <v>0</v>
      </c>
      <c r="AZ11" s="74">
        <f>('Instruction-4YR'!V11+'RESEARCH 4yr'!V11+'PUBLIC SERVICE 4yr'!V11+'ASptISptSSv 4yr'!V11+'PLANT OPER MAIN 4yr'!V11+'SCHOLAR FELLOW 4yr'!V11+'All Other 4yr'!V11)-V11</f>
        <v>0</v>
      </c>
      <c r="BA11" s="74">
        <f>('Instruction-4YR'!W11+'RESEARCH 4yr'!W11+'PUBLIC SERVICE 4yr'!W11+'ASptISptSSv 4yr'!W11+'PLANT OPER MAIN 4yr'!W11+'SCHOLAR FELLOW 4yr'!W11+'All Other 4yr'!W11)-W11</f>
        <v>0</v>
      </c>
      <c r="BB11" s="74">
        <f>('Instruction-4YR'!X11+'RESEARCH 4yr'!X11+'PUBLIC SERVICE 4yr'!X11+'ASptISptSSv 4yr'!X11+'PLANT OPER MAIN 4yr'!X11+'SCHOLAR FELLOW 4yr'!X11+'All Other 4yr'!X11)-X11</f>
        <v>0</v>
      </c>
      <c r="BC11" s="74">
        <f>('Instruction-4YR'!Y11+'RESEARCH 4yr'!Y11+'PUBLIC SERVICE 4yr'!Y11+'ASptISptSSv 4yr'!Y11+'PLANT OPER MAIN 4yr'!Y11+'SCHOLAR FELLOW 4yr'!Y11+'All Other 4yr'!Y11)-Y11</f>
        <v>0</v>
      </c>
      <c r="BD11" s="74">
        <f>('Instruction-4YR'!Z11+'RESEARCH 4yr'!Z11+'PUBLIC SERVICE 4yr'!Z11+'ASptISptSSv 4yr'!Z11+'PLANT OPER MAIN 4yr'!Z11+'SCHOLAR FELLOW 4yr'!Z11+'All Other 4yr'!Z11)-Z11</f>
        <v>0</v>
      </c>
      <c r="BE11" s="74">
        <f>('Instruction-4YR'!AA11+'RESEARCH 4yr'!AA11+'PUBLIC SERVICE 4yr'!AA11+'ASptISptSSv 4yr'!AA11+'PLANT OPER MAIN 4yr'!AA11+'SCHOLAR FELLOW 4yr'!AA11+'All Other 4yr'!AA11)-AA11</f>
        <v>0</v>
      </c>
      <c r="BF11" s="74">
        <f>('Instruction-4YR'!AB11+'RESEARCH 4yr'!AB11+'PUBLIC SERVICE 4yr'!AB11+'ASptISptSSv 4yr'!AB11+'PLANT OPER MAIN 4yr'!AB11+'SCHOLAR FELLOW 4yr'!AB11+'All Other 4yr'!AB11)-AB11</f>
        <v>0</v>
      </c>
      <c r="BG11" s="74">
        <f>('Instruction-4YR'!AC11+'RESEARCH 4yr'!AC11+'PUBLIC SERVICE 4yr'!AC11+'ASptISptSSv 4yr'!AC11+'PLANT OPER MAIN 4yr'!AC11+'SCHOLAR FELLOW 4yr'!AC11+'All Other 4yr'!AC11)-AC11</f>
        <v>0</v>
      </c>
      <c r="BH11" s="74">
        <f>('Instruction-4YR'!AD11+'RESEARCH 4yr'!AD11+'PUBLIC SERVICE 4yr'!AD11+'ASptISptSSv 4yr'!AD11+'PLANT OPER MAIN 4yr'!AD11+'SCHOLAR FELLOW 4yr'!AD11+'All Other 4yr'!AD11)-AD11</f>
        <v>0</v>
      </c>
      <c r="BI11" s="74">
        <f>('Instruction-4YR'!AE11+'RESEARCH 4yr'!AE11+'PUBLIC SERVICE 4yr'!AE11+'ASptISptSSv 4yr'!AE11+'PLANT OPER MAIN 4yr'!AE11+'SCHOLAR FELLOW 4yr'!AE11+'All Other 4yr'!AE11)-AE11</f>
        <v>0</v>
      </c>
    </row>
    <row r="12" spans="1:61">
      <c r="A12" s="1" t="s">
        <v>29</v>
      </c>
      <c r="B12" s="1">
        <v>924985</v>
      </c>
      <c r="C12" s="1">
        <v>1044356</v>
      </c>
      <c r="D12" s="1">
        <v>1145345</v>
      </c>
      <c r="E12" s="1">
        <v>1855634.024</v>
      </c>
      <c r="F12" s="41">
        <v>1881048.3870000001</v>
      </c>
      <c r="G12" s="1">
        <v>2012103.2510000002</v>
      </c>
      <c r="H12" s="1">
        <v>2133489.8330000001</v>
      </c>
      <c r="I12" s="1">
        <v>2247997.98</v>
      </c>
      <c r="J12" s="1">
        <v>2407309.79</v>
      </c>
      <c r="K12" s="1">
        <v>2587336.409</v>
      </c>
      <c r="L12" s="1">
        <v>3226186.4360000002</v>
      </c>
      <c r="M12" s="1">
        <v>3587486.0350000001</v>
      </c>
      <c r="N12" s="1">
        <v>4217290.4680000003</v>
      </c>
      <c r="O12" s="1">
        <v>4991452.1239999998</v>
      </c>
      <c r="P12" s="1">
        <v>5338478.5939999996</v>
      </c>
      <c r="Q12" s="1">
        <v>5775126.7920000004</v>
      </c>
      <c r="R12" s="1">
        <v>6033378.665</v>
      </c>
      <c r="S12" s="1">
        <v>6128318.5719999997</v>
      </c>
      <c r="T12" s="1">
        <v>6438754.1880000001</v>
      </c>
      <c r="U12" s="1">
        <v>6396477.2529999996</v>
      </c>
      <c r="V12" s="1">
        <v>6629193.9289999995</v>
      </c>
      <c r="W12" s="1">
        <v>7173115.8739999998</v>
      </c>
      <c r="X12" s="1">
        <v>7352011.5829999996</v>
      </c>
      <c r="Y12" s="1">
        <v>7525764.6179999998</v>
      </c>
      <c r="Z12" s="1">
        <v>7844083.9919999996</v>
      </c>
      <c r="AA12" s="1">
        <v>8180014.7589999996</v>
      </c>
      <c r="AB12" s="1">
        <v>8346686.9749999996</v>
      </c>
      <c r="AC12" s="1">
        <v>9086861.2290000003</v>
      </c>
      <c r="AE12" s="1">
        <v>10565270.596000001</v>
      </c>
      <c r="AF12" s="74">
        <f>('Instruction-4YR'!B12+'RESEARCH 4yr'!B12+'PUBLIC SERVICE 4yr'!B12+'ASptISptSSv 4yr'!B12+'PLANT OPER MAIN 4yr'!B12+'SCHOLAR FELLOW 4yr'!B12+'All Other 4yr'!B12)-B12</f>
        <v>0</v>
      </c>
      <c r="AG12" s="74">
        <f>('Instruction-4YR'!C12+'RESEARCH 4yr'!C12+'PUBLIC SERVICE 4yr'!C12+'ASptISptSSv 4yr'!C12+'PLANT OPER MAIN 4yr'!C12+'SCHOLAR FELLOW 4yr'!C12+'All Other 4yr'!C12)-C12</f>
        <v>0</v>
      </c>
      <c r="AH12" s="74">
        <f>('Instruction-4YR'!D12+'RESEARCH 4yr'!D12+'PUBLIC SERVICE 4yr'!D12+'ASptISptSSv 4yr'!D12+'PLANT OPER MAIN 4yr'!D12+'SCHOLAR FELLOW 4yr'!D12+'All Other 4yr'!D12)-D12</f>
        <v>0</v>
      </c>
      <c r="AI12" s="74">
        <f>('Instruction-4YR'!E12+'RESEARCH 4yr'!E12+'PUBLIC SERVICE 4yr'!E12+'ASptISptSSv 4yr'!E12+'PLANT OPER MAIN 4yr'!E12+'SCHOLAR FELLOW 4yr'!E12+'All Other 4yr'!E12)-E12</f>
        <v>0</v>
      </c>
      <c r="AJ12" s="74">
        <f>('Instruction-4YR'!F12+'RESEARCH 4yr'!F12+'PUBLIC SERVICE 4yr'!F12+'ASptISptSSv 4yr'!F12+'PLANT OPER MAIN 4yr'!F12+'SCHOLAR FELLOW 4yr'!F12+'All Other 4yr'!F12)-F12</f>
        <v>0</v>
      </c>
      <c r="AK12" s="74">
        <f>('Instruction-4YR'!G12+'RESEARCH 4yr'!G12+'PUBLIC SERVICE 4yr'!G12+'ASptISptSSv 4yr'!G12+'PLANT OPER MAIN 4yr'!G12+'SCHOLAR FELLOW 4yr'!G12+'All Other 4yr'!G12)-G12</f>
        <v>0</v>
      </c>
      <c r="AL12" s="74">
        <f>('Instruction-4YR'!H12+'RESEARCH 4yr'!H12+'PUBLIC SERVICE 4yr'!H12+'ASptISptSSv 4yr'!H12+'PLANT OPER MAIN 4yr'!H12+'SCHOLAR FELLOW 4yr'!H12+'All Other 4yr'!H12)-H12</f>
        <v>0</v>
      </c>
      <c r="AM12" s="74">
        <f>('Instruction-4YR'!I12+'RESEARCH 4yr'!I12+'PUBLIC SERVICE 4yr'!I12+'ASptISptSSv 4yr'!I12+'PLANT OPER MAIN 4yr'!I12+'SCHOLAR FELLOW 4yr'!I12+'All Other 4yr'!I12)-I12</f>
        <v>0</v>
      </c>
      <c r="AN12" s="74">
        <f>('Instruction-4YR'!J12+'RESEARCH 4yr'!J12+'PUBLIC SERVICE 4yr'!J12+'ASptISptSSv 4yr'!J12+'PLANT OPER MAIN 4yr'!J12+'SCHOLAR FELLOW 4yr'!J12+'All Other 4yr'!J12)-J12</f>
        <v>0</v>
      </c>
      <c r="AO12" s="74">
        <f>('Instruction-4YR'!K12+'RESEARCH 4yr'!K12+'PUBLIC SERVICE 4yr'!K12+'ASptISptSSv 4yr'!K12+'PLANT OPER MAIN 4yr'!K12+'SCHOLAR FELLOW 4yr'!K12+'All Other 4yr'!K12)-K12</f>
        <v>0</v>
      </c>
      <c r="AP12" s="74">
        <f>('Instruction-4YR'!L12+'RESEARCH 4yr'!L12+'PUBLIC SERVICE 4yr'!L12+'ASptISptSSv 4yr'!L12+'PLANT OPER MAIN 4yr'!L12+'SCHOLAR FELLOW 4yr'!L12+'All Other 4yr'!L12)-L12</f>
        <v>0</v>
      </c>
      <c r="AQ12" s="74">
        <f>('Instruction-4YR'!M12+'RESEARCH 4yr'!M12+'PUBLIC SERVICE 4yr'!M12+'ASptISptSSv 4yr'!M12+'PLANT OPER MAIN 4yr'!M12+'SCHOLAR FELLOW 4yr'!M12+'All Other 4yr'!M12)-M12</f>
        <v>0</v>
      </c>
      <c r="AR12" s="74">
        <f>('Instruction-4YR'!N12+'RESEARCH 4yr'!N12+'PUBLIC SERVICE 4yr'!N12+'ASptISptSSv 4yr'!N12+'PLANT OPER MAIN 4yr'!N12+'SCHOLAR FELLOW 4yr'!N12+'All Other 4yr'!N12)-N12</f>
        <v>0</v>
      </c>
      <c r="AS12" s="74">
        <f>('Instruction-4YR'!O12+'RESEARCH 4yr'!O12+'PUBLIC SERVICE 4yr'!O12+'ASptISptSSv 4yr'!O12+'PLANT OPER MAIN 4yr'!O12+'SCHOLAR FELLOW 4yr'!O12+'All Other 4yr'!O12)-O12</f>
        <v>0</v>
      </c>
      <c r="AT12" s="74">
        <f>('Instruction-4YR'!P12+'RESEARCH 4yr'!P12+'PUBLIC SERVICE 4yr'!P12+'ASptISptSSv 4yr'!P12+'PLANT OPER MAIN 4yr'!P12+'SCHOLAR FELLOW 4yr'!P12+'All Other 4yr'!P12)-P12</f>
        <v>0</v>
      </c>
      <c r="AU12" s="74">
        <f>('Instruction-4YR'!Q12+'RESEARCH 4yr'!Q12+'PUBLIC SERVICE 4yr'!Q12+'ASptISptSSv 4yr'!Q12+'PLANT OPER MAIN 4yr'!Q12+'SCHOLAR FELLOW 4yr'!Q12+'All Other 4yr'!Q12)-Q12</f>
        <v>0</v>
      </c>
      <c r="AV12" s="74">
        <f>('Instruction-4YR'!R12+'RESEARCH 4yr'!R12+'PUBLIC SERVICE 4yr'!R12+'ASptISptSSv 4yr'!R12+'PLANT OPER MAIN 4yr'!R12+'SCHOLAR FELLOW 4yr'!R12+'All Other 4yr'!R12)-R12</f>
        <v>0</v>
      </c>
      <c r="AW12" s="74">
        <f>('Instruction-4YR'!S12+'RESEARCH 4yr'!S12+'PUBLIC SERVICE 4yr'!S12+'ASptISptSSv 4yr'!S12+'PLANT OPER MAIN 4yr'!S12+'SCHOLAR FELLOW 4yr'!S12+'All Other 4yr'!S12)-S12</f>
        <v>0</v>
      </c>
      <c r="AX12" s="74">
        <f>('Instruction-4YR'!T12+'RESEARCH 4yr'!T12+'PUBLIC SERVICE 4yr'!T12+'ASptISptSSv 4yr'!T12+'PLANT OPER MAIN 4yr'!T12+'SCHOLAR FELLOW 4yr'!T12+'All Other 4yr'!T12)-T12</f>
        <v>0</v>
      </c>
      <c r="AY12" s="74">
        <f>('Instruction-4YR'!U12+'RESEARCH 4yr'!U12+'PUBLIC SERVICE 4yr'!U12+'ASptISptSSv 4yr'!U12+'PLANT OPER MAIN 4yr'!U12+'SCHOLAR FELLOW 4yr'!U12+'All Other 4yr'!U12)-U12</f>
        <v>0</v>
      </c>
      <c r="AZ12" s="74">
        <f>('Instruction-4YR'!V12+'RESEARCH 4yr'!V12+'PUBLIC SERVICE 4yr'!V12+'ASptISptSSv 4yr'!V12+'PLANT OPER MAIN 4yr'!V12+'SCHOLAR FELLOW 4yr'!V12+'All Other 4yr'!V12)-V12</f>
        <v>0</v>
      </c>
      <c r="BA12" s="74">
        <f>('Instruction-4YR'!W12+'RESEARCH 4yr'!W12+'PUBLIC SERVICE 4yr'!W12+'ASptISptSSv 4yr'!W12+'PLANT OPER MAIN 4yr'!W12+'SCHOLAR FELLOW 4yr'!W12+'All Other 4yr'!W12)-W12</f>
        <v>0</v>
      </c>
      <c r="BB12" s="74">
        <f>('Instruction-4YR'!X12+'RESEARCH 4yr'!X12+'PUBLIC SERVICE 4yr'!X12+'ASptISptSSv 4yr'!X12+'PLANT OPER MAIN 4yr'!X12+'SCHOLAR FELLOW 4yr'!X12+'All Other 4yr'!X12)-X12</f>
        <v>0</v>
      </c>
      <c r="BC12" s="74">
        <f>('Instruction-4YR'!Y12+'RESEARCH 4yr'!Y12+'PUBLIC SERVICE 4yr'!Y12+'ASptISptSSv 4yr'!Y12+'PLANT OPER MAIN 4yr'!Y12+'SCHOLAR FELLOW 4yr'!Y12+'All Other 4yr'!Y12)-Y12</f>
        <v>0</v>
      </c>
      <c r="BD12" s="74">
        <f>('Instruction-4YR'!Z12+'RESEARCH 4yr'!Z12+'PUBLIC SERVICE 4yr'!Z12+'ASptISptSSv 4yr'!Z12+'PLANT OPER MAIN 4yr'!Z12+'SCHOLAR FELLOW 4yr'!Z12+'All Other 4yr'!Z12)-Z12</f>
        <v>0</v>
      </c>
      <c r="BE12" s="74">
        <f>('Instruction-4YR'!AA12+'RESEARCH 4yr'!AA12+'PUBLIC SERVICE 4yr'!AA12+'ASptISptSSv 4yr'!AA12+'PLANT OPER MAIN 4yr'!AA12+'SCHOLAR FELLOW 4yr'!AA12+'All Other 4yr'!AA12)-AA12</f>
        <v>0</v>
      </c>
      <c r="BF12" s="74">
        <f>('Instruction-4YR'!AB12+'RESEARCH 4yr'!AB12+'PUBLIC SERVICE 4yr'!AB12+'ASptISptSSv 4yr'!AB12+'PLANT OPER MAIN 4yr'!AB12+'SCHOLAR FELLOW 4yr'!AB12+'All Other 4yr'!AB12)-AB12</f>
        <v>0</v>
      </c>
      <c r="BG12" s="74">
        <f>('Instruction-4YR'!AC12+'RESEARCH 4yr'!AC12+'PUBLIC SERVICE 4yr'!AC12+'ASptISptSSv 4yr'!AC12+'PLANT OPER MAIN 4yr'!AC12+'SCHOLAR FELLOW 4yr'!AC12+'All Other 4yr'!AC12)-AC12</f>
        <v>0</v>
      </c>
      <c r="BH12" s="74">
        <f>('Instruction-4YR'!AD12+'RESEARCH 4yr'!AD12+'PUBLIC SERVICE 4yr'!AD12+'ASptISptSSv 4yr'!AD12+'PLANT OPER MAIN 4yr'!AD12+'SCHOLAR FELLOW 4yr'!AD12+'All Other 4yr'!AD12)-AD12</f>
        <v>0</v>
      </c>
      <c r="BI12" s="74">
        <f>('Instruction-4YR'!AE12+'RESEARCH 4yr'!AE12+'PUBLIC SERVICE 4yr'!AE12+'ASptISptSSv 4yr'!AE12+'PLANT OPER MAIN 4yr'!AE12+'SCHOLAR FELLOW 4yr'!AE12+'All Other 4yr'!AE12)-AE12</f>
        <v>0</v>
      </c>
    </row>
    <row r="13" spans="1:61">
      <c r="A13" s="1" t="s">
        <v>30</v>
      </c>
      <c r="B13" s="1">
        <v>807859</v>
      </c>
      <c r="C13" s="1">
        <v>879052</v>
      </c>
      <c r="D13" s="1">
        <v>970108</v>
      </c>
      <c r="E13" s="1">
        <v>1390066.121</v>
      </c>
      <c r="F13" s="41">
        <v>1419144.747</v>
      </c>
      <c r="G13" s="1">
        <v>1557577.8100000003</v>
      </c>
      <c r="H13" s="1">
        <v>1710861.3940000001</v>
      </c>
      <c r="I13" s="1">
        <v>1893038.5220000001</v>
      </c>
      <c r="J13" s="1">
        <v>2064175.628</v>
      </c>
      <c r="K13" s="1">
        <v>2264600.713</v>
      </c>
      <c r="L13" s="1">
        <v>2763148.3810000001</v>
      </c>
      <c r="M13" s="1">
        <v>3002379.429</v>
      </c>
      <c r="N13" s="1">
        <v>3059796.415</v>
      </c>
      <c r="O13" s="1">
        <v>3315703.0219999999</v>
      </c>
      <c r="P13" s="1">
        <v>3383469.2209999999</v>
      </c>
      <c r="Q13" s="1">
        <v>3441495.574</v>
      </c>
      <c r="R13" s="1">
        <v>3692636.6860000002</v>
      </c>
      <c r="S13" s="1">
        <v>3972563.91</v>
      </c>
      <c r="T13" s="1">
        <v>4311926.0760000004</v>
      </c>
      <c r="U13" s="1">
        <v>4009101.44</v>
      </c>
      <c r="V13" s="1">
        <v>4519042.1009999998</v>
      </c>
      <c r="W13" s="1">
        <v>4970351.585</v>
      </c>
      <c r="X13" s="1">
        <v>5111050.3820000002</v>
      </c>
      <c r="Y13" s="1">
        <v>5441634.5140000004</v>
      </c>
      <c r="Z13" s="1">
        <v>5575900.5240000002</v>
      </c>
      <c r="AA13" s="1">
        <v>5833515.3020000001</v>
      </c>
      <c r="AB13" s="1">
        <v>6084599.0690000001</v>
      </c>
      <c r="AC13" s="1">
        <v>6485526.4110000003</v>
      </c>
      <c r="AE13" s="1">
        <v>7308817.7630000003</v>
      </c>
      <c r="AF13" s="74">
        <f>('Instruction-4YR'!B13+'RESEARCH 4yr'!B13+'PUBLIC SERVICE 4yr'!B13+'ASptISptSSv 4yr'!B13+'PLANT OPER MAIN 4yr'!B13+'SCHOLAR FELLOW 4yr'!B13+'All Other 4yr'!B13)-B13</f>
        <v>0</v>
      </c>
      <c r="AG13" s="74">
        <f>('Instruction-4YR'!C13+'RESEARCH 4yr'!C13+'PUBLIC SERVICE 4yr'!C13+'ASptISptSSv 4yr'!C13+'PLANT OPER MAIN 4yr'!C13+'SCHOLAR FELLOW 4yr'!C13+'All Other 4yr'!C13)-C13</f>
        <v>0</v>
      </c>
      <c r="AH13" s="74">
        <f>('Instruction-4YR'!D13+'RESEARCH 4yr'!D13+'PUBLIC SERVICE 4yr'!D13+'ASptISptSSv 4yr'!D13+'PLANT OPER MAIN 4yr'!D13+'SCHOLAR FELLOW 4yr'!D13+'All Other 4yr'!D13)-D13</f>
        <v>0</v>
      </c>
      <c r="AI13" s="74">
        <f>('Instruction-4YR'!E13+'RESEARCH 4yr'!E13+'PUBLIC SERVICE 4yr'!E13+'ASptISptSSv 4yr'!E13+'PLANT OPER MAIN 4yr'!E13+'SCHOLAR FELLOW 4yr'!E13+'All Other 4yr'!E13)-E13</f>
        <v>0</v>
      </c>
      <c r="AJ13" s="74">
        <f>('Instruction-4YR'!F13+'RESEARCH 4yr'!F13+'PUBLIC SERVICE 4yr'!F13+'ASptISptSSv 4yr'!F13+'PLANT OPER MAIN 4yr'!F13+'SCHOLAR FELLOW 4yr'!F13+'All Other 4yr'!F13)-F13</f>
        <v>0</v>
      </c>
      <c r="AK13" s="74">
        <f>('Instruction-4YR'!G13+'RESEARCH 4yr'!G13+'PUBLIC SERVICE 4yr'!G13+'ASptISptSSv 4yr'!G13+'PLANT OPER MAIN 4yr'!G13+'SCHOLAR FELLOW 4yr'!G13+'All Other 4yr'!G13)-G13</f>
        <v>0</v>
      </c>
      <c r="AL13" s="74">
        <f>('Instruction-4YR'!H13+'RESEARCH 4yr'!H13+'PUBLIC SERVICE 4yr'!H13+'ASptISptSSv 4yr'!H13+'PLANT OPER MAIN 4yr'!H13+'SCHOLAR FELLOW 4yr'!H13+'All Other 4yr'!H13)-H13</f>
        <v>0</v>
      </c>
      <c r="AM13" s="74">
        <f>('Instruction-4YR'!I13+'RESEARCH 4yr'!I13+'PUBLIC SERVICE 4yr'!I13+'ASptISptSSv 4yr'!I13+'PLANT OPER MAIN 4yr'!I13+'SCHOLAR FELLOW 4yr'!I13+'All Other 4yr'!I13)-I13</f>
        <v>0</v>
      </c>
      <c r="AN13" s="74">
        <f>('Instruction-4YR'!J13+'RESEARCH 4yr'!J13+'PUBLIC SERVICE 4yr'!J13+'ASptISptSSv 4yr'!J13+'PLANT OPER MAIN 4yr'!J13+'SCHOLAR FELLOW 4yr'!J13+'All Other 4yr'!J13)-J13</f>
        <v>0</v>
      </c>
      <c r="AO13" s="74">
        <f>('Instruction-4YR'!K13+'RESEARCH 4yr'!K13+'PUBLIC SERVICE 4yr'!K13+'ASptISptSSv 4yr'!K13+'PLANT OPER MAIN 4yr'!K13+'SCHOLAR FELLOW 4yr'!K13+'All Other 4yr'!K13)-K13</f>
        <v>0</v>
      </c>
      <c r="AP13" s="74">
        <f>('Instruction-4YR'!L13+'RESEARCH 4yr'!L13+'PUBLIC SERVICE 4yr'!L13+'ASptISptSSv 4yr'!L13+'PLANT OPER MAIN 4yr'!L13+'SCHOLAR FELLOW 4yr'!L13+'All Other 4yr'!L13)-L13</f>
        <v>0</v>
      </c>
      <c r="AQ13" s="74">
        <f>('Instruction-4YR'!M13+'RESEARCH 4yr'!M13+'PUBLIC SERVICE 4yr'!M13+'ASptISptSSv 4yr'!M13+'PLANT OPER MAIN 4yr'!M13+'SCHOLAR FELLOW 4yr'!M13+'All Other 4yr'!M13)-M13</f>
        <v>0</v>
      </c>
      <c r="AR13" s="74">
        <f>('Instruction-4YR'!N13+'RESEARCH 4yr'!N13+'PUBLIC SERVICE 4yr'!N13+'ASptISptSSv 4yr'!N13+'PLANT OPER MAIN 4yr'!N13+'SCHOLAR FELLOW 4yr'!N13+'All Other 4yr'!N13)-N13</f>
        <v>0</v>
      </c>
      <c r="AS13" s="74">
        <f>('Instruction-4YR'!O13+'RESEARCH 4yr'!O13+'PUBLIC SERVICE 4yr'!O13+'ASptISptSSv 4yr'!O13+'PLANT OPER MAIN 4yr'!O13+'SCHOLAR FELLOW 4yr'!O13+'All Other 4yr'!O13)-O13</f>
        <v>0</v>
      </c>
      <c r="AT13" s="74">
        <f>('Instruction-4YR'!P13+'RESEARCH 4yr'!P13+'PUBLIC SERVICE 4yr'!P13+'ASptISptSSv 4yr'!P13+'PLANT OPER MAIN 4yr'!P13+'SCHOLAR FELLOW 4yr'!P13+'All Other 4yr'!P13)-P13</f>
        <v>0</v>
      </c>
      <c r="AU13" s="74">
        <f>('Instruction-4YR'!Q13+'RESEARCH 4yr'!Q13+'PUBLIC SERVICE 4yr'!Q13+'ASptISptSSv 4yr'!Q13+'PLANT OPER MAIN 4yr'!Q13+'SCHOLAR FELLOW 4yr'!Q13+'All Other 4yr'!Q13)-Q13</f>
        <v>0</v>
      </c>
      <c r="AV13" s="74">
        <f>('Instruction-4YR'!R13+'RESEARCH 4yr'!R13+'PUBLIC SERVICE 4yr'!R13+'ASptISptSSv 4yr'!R13+'PLANT OPER MAIN 4yr'!R13+'SCHOLAR FELLOW 4yr'!R13+'All Other 4yr'!R13)-R13</f>
        <v>0</v>
      </c>
      <c r="AW13" s="74">
        <f>('Instruction-4YR'!S13+'RESEARCH 4yr'!S13+'PUBLIC SERVICE 4yr'!S13+'ASptISptSSv 4yr'!S13+'PLANT OPER MAIN 4yr'!S13+'SCHOLAR FELLOW 4yr'!S13+'All Other 4yr'!S13)-S13</f>
        <v>0</v>
      </c>
      <c r="AX13" s="74">
        <f>('Instruction-4YR'!T13+'RESEARCH 4yr'!T13+'PUBLIC SERVICE 4yr'!T13+'ASptISptSSv 4yr'!T13+'PLANT OPER MAIN 4yr'!T13+'SCHOLAR FELLOW 4yr'!T13+'All Other 4yr'!T13)-T13</f>
        <v>0</v>
      </c>
      <c r="AY13" s="74">
        <f>('Instruction-4YR'!U13+'RESEARCH 4yr'!U13+'PUBLIC SERVICE 4yr'!U13+'ASptISptSSv 4yr'!U13+'PLANT OPER MAIN 4yr'!U13+'SCHOLAR FELLOW 4yr'!U13+'All Other 4yr'!U13)-U13</f>
        <v>0</v>
      </c>
      <c r="AZ13" s="74">
        <f>('Instruction-4YR'!V13+'RESEARCH 4yr'!V13+'PUBLIC SERVICE 4yr'!V13+'ASptISptSSv 4yr'!V13+'PLANT OPER MAIN 4yr'!V13+'SCHOLAR FELLOW 4yr'!V13+'All Other 4yr'!V13)-V13</f>
        <v>0</v>
      </c>
      <c r="BA13" s="74">
        <f>('Instruction-4YR'!W13+'RESEARCH 4yr'!W13+'PUBLIC SERVICE 4yr'!W13+'ASptISptSSv 4yr'!W13+'PLANT OPER MAIN 4yr'!W13+'SCHOLAR FELLOW 4yr'!W13+'All Other 4yr'!W13)-W13</f>
        <v>0</v>
      </c>
      <c r="BB13" s="74">
        <f>('Instruction-4YR'!X13+'RESEARCH 4yr'!X13+'PUBLIC SERVICE 4yr'!X13+'ASptISptSSv 4yr'!X13+'PLANT OPER MAIN 4yr'!X13+'SCHOLAR FELLOW 4yr'!X13+'All Other 4yr'!X13)-X13</f>
        <v>0</v>
      </c>
      <c r="BC13" s="74">
        <f>('Instruction-4YR'!Y13+'RESEARCH 4yr'!Y13+'PUBLIC SERVICE 4yr'!Y13+'ASptISptSSv 4yr'!Y13+'PLANT OPER MAIN 4yr'!Y13+'SCHOLAR FELLOW 4yr'!Y13+'All Other 4yr'!Y13)-Y13</f>
        <v>0</v>
      </c>
      <c r="BD13" s="74">
        <f>('Instruction-4YR'!Z13+'RESEARCH 4yr'!Z13+'PUBLIC SERVICE 4yr'!Z13+'ASptISptSSv 4yr'!Z13+'PLANT OPER MAIN 4yr'!Z13+'SCHOLAR FELLOW 4yr'!Z13+'All Other 4yr'!Z13)-Z13</f>
        <v>0</v>
      </c>
      <c r="BE13" s="74">
        <f>('Instruction-4YR'!AA13+'RESEARCH 4yr'!AA13+'PUBLIC SERVICE 4yr'!AA13+'ASptISptSSv 4yr'!AA13+'PLANT OPER MAIN 4yr'!AA13+'SCHOLAR FELLOW 4yr'!AA13+'All Other 4yr'!AA13)-AA13</f>
        <v>0</v>
      </c>
      <c r="BF13" s="74">
        <f>('Instruction-4YR'!AB13+'RESEARCH 4yr'!AB13+'PUBLIC SERVICE 4yr'!AB13+'ASptISptSSv 4yr'!AB13+'PLANT OPER MAIN 4yr'!AB13+'SCHOLAR FELLOW 4yr'!AB13+'All Other 4yr'!AB13)-AB13</f>
        <v>0</v>
      </c>
      <c r="BG13" s="74">
        <f>('Instruction-4YR'!AC13+'RESEARCH 4yr'!AC13+'PUBLIC SERVICE 4yr'!AC13+'ASptISptSSv 4yr'!AC13+'PLANT OPER MAIN 4yr'!AC13+'SCHOLAR FELLOW 4yr'!AC13+'All Other 4yr'!AC13)-AC13</f>
        <v>0</v>
      </c>
      <c r="BH13" s="74">
        <f>('Instruction-4YR'!AD13+'RESEARCH 4yr'!AD13+'PUBLIC SERVICE 4yr'!AD13+'ASptISptSSv 4yr'!AD13+'PLANT OPER MAIN 4yr'!AD13+'SCHOLAR FELLOW 4yr'!AD13+'All Other 4yr'!AD13)-AD13</f>
        <v>0</v>
      </c>
      <c r="BI13" s="74">
        <f>('Instruction-4YR'!AE13+'RESEARCH 4yr'!AE13+'PUBLIC SERVICE 4yr'!AE13+'ASptISptSSv 4yr'!AE13+'PLANT OPER MAIN 4yr'!AE13+'SCHOLAR FELLOW 4yr'!AE13+'All Other 4yr'!AE13)-AE13</f>
        <v>0</v>
      </c>
    </row>
    <row r="14" spans="1:61">
      <c r="A14" s="1" t="s">
        <v>31</v>
      </c>
      <c r="B14" s="1">
        <v>628815</v>
      </c>
      <c r="C14" s="1">
        <v>665794</v>
      </c>
      <c r="D14" s="1">
        <v>715016</v>
      </c>
      <c r="E14" s="1">
        <v>1072983.574</v>
      </c>
      <c r="F14" s="41">
        <v>1150457.7520000001</v>
      </c>
      <c r="G14" s="1">
        <v>1158150.81</v>
      </c>
      <c r="H14" s="1">
        <v>1192817.753</v>
      </c>
      <c r="I14" s="1">
        <v>1257125.8529999999</v>
      </c>
      <c r="J14" s="1">
        <v>1342184.3489999999</v>
      </c>
      <c r="K14" s="1">
        <v>1479294.3389999999</v>
      </c>
      <c r="L14" s="1">
        <v>1761461.2390000001</v>
      </c>
      <c r="M14" s="1">
        <v>1876517.142</v>
      </c>
      <c r="N14" s="1">
        <v>2042078.3770000001</v>
      </c>
      <c r="O14" s="1">
        <v>2172397.5260000001</v>
      </c>
      <c r="P14" s="1">
        <v>2281209.4700000002</v>
      </c>
      <c r="Q14" s="1">
        <v>2405702.557</v>
      </c>
      <c r="R14" s="1">
        <v>2593105.3280000002</v>
      </c>
      <c r="S14" s="1">
        <v>2814474.1519999998</v>
      </c>
      <c r="T14" s="1">
        <v>2992753.273</v>
      </c>
      <c r="U14" s="1">
        <v>3083955.87</v>
      </c>
      <c r="V14" s="1">
        <v>3282846.841</v>
      </c>
      <c r="W14" s="1">
        <v>3418773.3080000002</v>
      </c>
      <c r="X14" s="1">
        <v>3545538.9109999998</v>
      </c>
      <c r="Y14" s="1">
        <v>3528168.1609999998</v>
      </c>
      <c r="Z14" s="1">
        <v>3549577.0290000001</v>
      </c>
      <c r="AA14" s="1">
        <v>3769150.165</v>
      </c>
      <c r="AB14" s="1">
        <v>3949266.139</v>
      </c>
      <c r="AC14" s="1">
        <v>4221639.9910000004</v>
      </c>
      <c r="AE14" s="1">
        <v>4168272.85</v>
      </c>
      <c r="AF14" s="74">
        <f>('Instruction-4YR'!B14+'RESEARCH 4yr'!B14+'PUBLIC SERVICE 4yr'!B14+'ASptISptSSv 4yr'!B14+'PLANT OPER MAIN 4yr'!B14+'SCHOLAR FELLOW 4yr'!B14+'All Other 4yr'!B14)-B14</f>
        <v>0</v>
      </c>
      <c r="AG14" s="74">
        <f>('Instruction-4YR'!C14+'RESEARCH 4yr'!C14+'PUBLIC SERVICE 4yr'!C14+'ASptISptSSv 4yr'!C14+'PLANT OPER MAIN 4yr'!C14+'SCHOLAR FELLOW 4yr'!C14+'All Other 4yr'!C14)-C14</f>
        <v>0</v>
      </c>
      <c r="AH14" s="74">
        <f>('Instruction-4YR'!D14+'RESEARCH 4yr'!D14+'PUBLIC SERVICE 4yr'!D14+'ASptISptSSv 4yr'!D14+'PLANT OPER MAIN 4yr'!D14+'SCHOLAR FELLOW 4yr'!D14+'All Other 4yr'!D14)-D14</f>
        <v>0</v>
      </c>
      <c r="AI14" s="74">
        <f>('Instruction-4YR'!E14+'RESEARCH 4yr'!E14+'PUBLIC SERVICE 4yr'!E14+'ASptISptSSv 4yr'!E14+'PLANT OPER MAIN 4yr'!E14+'SCHOLAR FELLOW 4yr'!E14+'All Other 4yr'!E14)-E14</f>
        <v>0</v>
      </c>
      <c r="AJ14" s="74">
        <f>('Instruction-4YR'!F14+'RESEARCH 4yr'!F14+'PUBLIC SERVICE 4yr'!F14+'ASptISptSSv 4yr'!F14+'PLANT OPER MAIN 4yr'!F14+'SCHOLAR FELLOW 4yr'!F14+'All Other 4yr'!F14)-F14</f>
        <v>0</v>
      </c>
      <c r="AK14" s="74">
        <f>('Instruction-4YR'!G14+'RESEARCH 4yr'!G14+'PUBLIC SERVICE 4yr'!G14+'ASptISptSSv 4yr'!G14+'PLANT OPER MAIN 4yr'!G14+'SCHOLAR FELLOW 4yr'!G14+'All Other 4yr'!G14)-G14</f>
        <v>0</v>
      </c>
      <c r="AL14" s="74">
        <f>('Instruction-4YR'!H14+'RESEARCH 4yr'!H14+'PUBLIC SERVICE 4yr'!H14+'ASptISptSSv 4yr'!H14+'PLANT OPER MAIN 4yr'!H14+'SCHOLAR FELLOW 4yr'!H14+'All Other 4yr'!H14)-H14</f>
        <v>0</v>
      </c>
      <c r="AM14" s="74">
        <f>('Instruction-4YR'!I14+'RESEARCH 4yr'!I14+'PUBLIC SERVICE 4yr'!I14+'ASptISptSSv 4yr'!I14+'PLANT OPER MAIN 4yr'!I14+'SCHOLAR FELLOW 4yr'!I14+'All Other 4yr'!I14)-I14</f>
        <v>0</v>
      </c>
      <c r="AN14" s="74">
        <f>('Instruction-4YR'!J14+'RESEARCH 4yr'!J14+'PUBLIC SERVICE 4yr'!J14+'ASptISptSSv 4yr'!J14+'PLANT OPER MAIN 4yr'!J14+'SCHOLAR FELLOW 4yr'!J14+'All Other 4yr'!J14)-J14</f>
        <v>0</v>
      </c>
      <c r="AO14" s="74">
        <f>('Instruction-4YR'!K14+'RESEARCH 4yr'!K14+'PUBLIC SERVICE 4yr'!K14+'ASptISptSSv 4yr'!K14+'PLANT OPER MAIN 4yr'!K14+'SCHOLAR FELLOW 4yr'!K14+'All Other 4yr'!K14)-K14</f>
        <v>0</v>
      </c>
      <c r="AP14" s="74">
        <f>('Instruction-4YR'!L14+'RESEARCH 4yr'!L14+'PUBLIC SERVICE 4yr'!L14+'ASptISptSSv 4yr'!L14+'PLANT OPER MAIN 4yr'!L14+'SCHOLAR FELLOW 4yr'!L14+'All Other 4yr'!L14)-L14</f>
        <v>0</v>
      </c>
      <c r="AQ14" s="74">
        <f>('Instruction-4YR'!M14+'RESEARCH 4yr'!M14+'PUBLIC SERVICE 4yr'!M14+'ASptISptSSv 4yr'!M14+'PLANT OPER MAIN 4yr'!M14+'SCHOLAR FELLOW 4yr'!M14+'All Other 4yr'!M14)-M14</f>
        <v>0</v>
      </c>
      <c r="AR14" s="74">
        <f>('Instruction-4YR'!N14+'RESEARCH 4yr'!N14+'PUBLIC SERVICE 4yr'!N14+'ASptISptSSv 4yr'!N14+'PLANT OPER MAIN 4yr'!N14+'SCHOLAR FELLOW 4yr'!N14+'All Other 4yr'!N14)-N14</f>
        <v>0</v>
      </c>
      <c r="AS14" s="74">
        <f>('Instruction-4YR'!O14+'RESEARCH 4yr'!O14+'PUBLIC SERVICE 4yr'!O14+'ASptISptSSv 4yr'!O14+'PLANT OPER MAIN 4yr'!O14+'SCHOLAR FELLOW 4yr'!O14+'All Other 4yr'!O14)-O14</f>
        <v>0</v>
      </c>
      <c r="AT14" s="74">
        <f>('Instruction-4YR'!P14+'RESEARCH 4yr'!P14+'PUBLIC SERVICE 4yr'!P14+'ASptISptSSv 4yr'!P14+'PLANT OPER MAIN 4yr'!P14+'SCHOLAR FELLOW 4yr'!P14+'All Other 4yr'!P14)-P14</f>
        <v>0</v>
      </c>
      <c r="AU14" s="74">
        <f>('Instruction-4YR'!Q14+'RESEARCH 4yr'!Q14+'PUBLIC SERVICE 4yr'!Q14+'ASptISptSSv 4yr'!Q14+'PLANT OPER MAIN 4yr'!Q14+'SCHOLAR FELLOW 4yr'!Q14+'All Other 4yr'!Q14)-Q14</f>
        <v>0</v>
      </c>
      <c r="AV14" s="74">
        <f>('Instruction-4YR'!R14+'RESEARCH 4yr'!R14+'PUBLIC SERVICE 4yr'!R14+'ASptISptSSv 4yr'!R14+'PLANT OPER MAIN 4yr'!R14+'SCHOLAR FELLOW 4yr'!R14+'All Other 4yr'!R14)-R14</f>
        <v>0</v>
      </c>
      <c r="AW14" s="74">
        <f>('Instruction-4YR'!S14+'RESEARCH 4yr'!S14+'PUBLIC SERVICE 4yr'!S14+'ASptISptSSv 4yr'!S14+'PLANT OPER MAIN 4yr'!S14+'SCHOLAR FELLOW 4yr'!S14+'All Other 4yr'!S14)-S14</f>
        <v>0</v>
      </c>
      <c r="AX14" s="74">
        <f>('Instruction-4YR'!T14+'RESEARCH 4yr'!T14+'PUBLIC SERVICE 4yr'!T14+'ASptISptSSv 4yr'!T14+'PLANT OPER MAIN 4yr'!T14+'SCHOLAR FELLOW 4yr'!T14+'All Other 4yr'!T14)-T14</f>
        <v>0</v>
      </c>
      <c r="AY14" s="74">
        <f>('Instruction-4YR'!U14+'RESEARCH 4yr'!U14+'PUBLIC SERVICE 4yr'!U14+'ASptISptSSv 4yr'!U14+'PLANT OPER MAIN 4yr'!U14+'SCHOLAR FELLOW 4yr'!U14+'All Other 4yr'!U14)-U14</f>
        <v>0</v>
      </c>
      <c r="AZ14" s="74">
        <f>('Instruction-4YR'!V14+'RESEARCH 4yr'!V14+'PUBLIC SERVICE 4yr'!V14+'ASptISptSSv 4yr'!V14+'PLANT OPER MAIN 4yr'!V14+'SCHOLAR FELLOW 4yr'!V14+'All Other 4yr'!V14)-V14</f>
        <v>0</v>
      </c>
      <c r="BA14" s="74">
        <f>('Instruction-4YR'!W14+'RESEARCH 4yr'!W14+'PUBLIC SERVICE 4yr'!W14+'ASptISptSSv 4yr'!W14+'PLANT OPER MAIN 4yr'!W14+'SCHOLAR FELLOW 4yr'!W14+'All Other 4yr'!W14)-W14</f>
        <v>0</v>
      </c>
      <c r="BB14" s="74">
        <f>('Instruction-4YR'!X14+'RESEARCH 4yr'!X14+'PUBLIC SERVICE 4yr'!X14+'ASptISptSSv 4yr'!X14+'PLANT OPER MAIN 4yr'!X14+'SCHOLAR FELLOW 4yr'!X14+'All Other 4yr'!X14)-X14</f>
        <v>0</v>
      </c>
      <c r="BC14" s="74">
        <f>('Instruction-4YR'!Y14+'RESEARCH 4yr'!Y14+'PUBLIC SERVICE 4yr'!Y14+'ASptISptSSv 4yr'!Y14+'PLANT OPER MAIN 4yr'!Y14+'SCHOLAR FELLOW 4yr'!Y14+'All Other 4yr'!Y14)-Y14</f>
        <v>0</v>
      </c>
      <c r="BD14" s="74">
        <f>('Instruction-4YR'!Z14+'RESEARCH 4yr'!Z14+'PUBLIC SERVICE 4yr'!Z14+'ASptISptSSv 4yr'!Z14+'PLANT OPER MAIN 4yr'!Z14+'SCHOLAR FELLOW 4yr'!Z14+'All Other 4yr'!Z14)-Z14</f>
        <v>0</v>
      </c>
      <c r="BE14" s="74">
        <f>('Instruction-4YR'!AA14+'RESEARCH 4yr'!AA14+'PUBLIC SERVICE 4yr'!AA14+'ASptISptSSv 4yr'!AA14+'PLANT OPER MAIN 4yr'!AA14+'SCHOLAR FELLOW 4yr'!AA14+'All Other 4yr'!AA14)-AA14</f>
        <v>0</v>
      </c>
      <c r="BF14" s="74">
        <f>('Instruction-4YR'!AB14+'RESEARCH 4yr'!AB14+'PUBLIC SERVICE 4yr'!AB14+'ASptISptSSv 4yr'!AB14+'PLANT OPER MAIN 4yr'!AB14+'SCHOLAR FELLOW 4yr'!AB14+'All Other 4yr'!AB14)-AB14</f>
        <v>0</v>
      </c>
      <c r="BG14" s="74">
        <f>('Instruction-4YR'!AC14+'RESEARCH 4yr'!AC14+'PUBLIC SERVICE 4yr'!AC14+'ASptISptSSv 4yr'!AC14+'PLANT OPER MAIN 4yr'!AC14+'SCHOLAR FELLOW 4yr'!AC14+'All Other 4yr'!AC14)-AC14</f>
        <v>0</v>
      </c>
      <c r="BH14" s="74">
        <f>('Instruction-4YR'!AD14+'RESEARCH 4yr'!AD14+'PUBLIC SERVICE 4yr'!AD14+'ASptISptSSv 4yr'!AD14+'PLANT OPER MAIN 4yr'!AD14+'SCHOLAR FELLOW 4yr'!AD14+'All Other 4yr'!AD14)-AD14</f>
        <v>0</v>
      </c>
      <c r="BI14" s="74">
        <f>('Instruction-4YR'!AE14+'RESEARCH 4yr'!AE14+'PUBLIC SERVICE 4yr'!AE14+'ASptISptSSv 4yr'!AE14+'PLANT OPER MAIN 4yr'!AE14+'SCHOLAR FELLOW 4yr'!AE14+'All Other 4yr'!AE14)-AE14</f>
        <v>0</v>
      </c>
    </row>
    <row r="15" spans="1:61">
      <c r="A15" s="1" t="s">
        <v>32</v>
      </c>
      <c r="B15" s="1">
        <v>717334</v>
      </c>
      <c r="C15" s="1">
        <v>781557</v>
      </c>
      <c r="D15" s="1">
        <v>817246</v>
      </c>
      <c r="E15" s="1">
        <v>1158122.371</v>
      </c>
      <c r="F15" s="41">
        <v>1227587.1040000001</v>
      </c>
      <c r="G15" s="1">
        <v>1306806.69</v>
      </c>
      <c r="H15" s="1">
        <v>1350792.314</v>
      </c>
      <c r="I15" s="1">
        <v>1479879.66</v>
      </c>
      <c r="J15" s="1">
        <v>1526302.976</v>
      </c>
      <c r="K15" s="1">
        <v>1605496.5919999999</v>
      </c>
      <c r="L15" s="1">
        <v>1876075.8189999999</v>
      </c>
      <c r="M15" s="1">
        <v>1961494.2320000001</v>
      </c>
      <c r="N15" s="1">
        <v>2044827.2720000001</v>
      </c>
      <c r="O15" s="1">
        <v>2230786.8169999998</v>
      </c>
      <c r="P15" s="1">
        <v>2467873.781</v>
      </c>
      <c r="Q15" s="1">
        <v>2579727.5789999999</v>
      </c>
      <c r="R15" s="1">
        <v>2549160.1940000001</v>
      </c>
      <c r="S15" s="1">
        <v>2673196.2439999999</v>
      </c>
      <c r="T15" s="1">
        <v>3137734.5959999999</v>
      </c>
      <c r="U15" s="1">
        <v>2509278.3330000001</v>
      </c>
      <c r="V15" s="1">
        <v>3057992.0079999999</v>
      </c>
      <c r="W15" s="1">
        <v>3083894.5380000002</v>
      </c>
      <c r="X15" s="1">
        <v>3088234.162</v>
      </c>
      <c r="Y15" s="1">
        <v>3091437.2790000001</v>
      </c>
      <c r="Z15" s="1">
        <v>3146487.4559999998</v>
      </c>
      <c r="AA15" s="1">
        <v>3145790.6359999999</v>
      </c>
      <c r="AB15" s="1">
        <v>3220721.2540000002</v>
      </c>
      <c r="AC15" s="1">
        <v>3401632.6710000001</v>
      </c>
      <c r="AE15" s="1">
        <v>3701547.1379999998</v>
      </c>
      <c r="AF15" s="74">
        <f>('Instruction-4YR'!B15+'RESEARCH 4yr'!B15+'PUBLIC SERVICE 4yr'!B15+'ASptISptSSv 4yr'!B15+'PLANT OPER MAIN 4yr'!B15+'SCHOLAR FELLOW 4yr'!B15+'All Other 4yr'!B15)-B15</f>
        <v>0</v>
      </c>
      <c r="AG15" s="74">
        <f>('Instruction-4YR'!C15+'RESEARCH 4yr'!C15+'PUBLIC SERVICE 4yr'!C15+'ASptISptSSv 4yr'!C15+'PLANT OPER MAIN 4yr'!C15+'SCHOLAR FELLOW 4yr'!C15+'All Other 4yr'!C15)-C15</f>
        <v>0</v>
      </c>
      <c r="AH15" s="74">
        <f>('Instruction-4YR'!D15+'RESEARCH 4yr'!D15+'PUBLIC SERVICE 4yr'!D15+'ASptISptSSv 4yr'!D15+'PLANT OPER MAIN 4yr'!D15+'SCHOLAR FELLOW 4yr'!D15+'All Other 4yr'!D15)-D15</f>
        <v>0</v>
      </c>
      <c r="AI15" s="74">
        <f>('Instruction-4YR'!E15+'RESEARCH 4yr'!E15+'PUBLIC SERVICE 4yr'!E15+'ASptISptSSv 4yr'!E15+'PLANT OPER MAIN 4yr'!E15+'SCHOLAR FELLOW 4yr'!E15+'All Other 4yr'!E15)-E15</f>
        <v>0</v>
      </c>
      <c r="AJ15" s="74">
        <f>('Instruction-4YR'!F15+'RESEARCH 4yr'!F15+'PUBLIC SERVICE 4yr'!F15+'ASptISptSSv 4yr'!F15+'PLANT OPER MAIN 4yr'!F15+'SCHOLAR FELLOW 4yr'!F15+'All Other 4yr'!F15)-F15</f>
        <v>0</v>
      </c>
      <c r="AK15" s="74">
        <f>('Instruction-4YR'!G15+'RESEARCH 4yr'!G15+'PUBLIC SERVICE 4yr'!G15+'ASptISptSSv 4yr'!G15+'PLANT OPER MAIN 4yr'!G15+'SCHOLAR FELLOW 4yr'!G15+'All Other 4yr'!G15)-G15</f>
        <v>0</v>
      </c>
      <c r="AL15" s="74">
        <f>('Instruction-4YR'!H15+'RESEARCH 4yr'!H15+'PUBLIC SERVICE 4yr'!H15+'ASptISptSSv 4yr'!H15+'PLANT OPER MAIN 4yr'!H15+'SCHOLAR FELLOW 4yr'!H15+'All Other 4yr'!H15)-H15</f>
        <v>0</v>
      </c>
      <c r="AM15" s="74">
        <f>('Instruction-4YR'!I15+'RESEARCH 4yr'!I15+'PUBLIC SERVICE 4yr'!I15+'ASptISptSSv 4yr'!I15+'PLANT OPER MAIN 4yr'!I15+'SCHOLAR FELLOW 4yr'!I15+'All Other 4yr'!I15)-I15</f>
        <v>0</v>
      </c>
      <c r="AN15" s="74">
        <f>('Instruction-4YR'!J15+'RESEARCH 4yr'!J15+'PUBLIC SERVICE 4yr'!J15+'ASptISptSSv 4yr'!J15+'PLANT OPER MAIN 4yr'!J15+'SCHOLAR FELLOW 4yr'!J15+'All Other 4yr'!J15)-J15</f>
        <v>0</v>
      </c>
      <c r="AO15" s="74">
        <f>('Instruction-4YR'!K15+'RESEARCH 4yr'!K15+'PUBLIC SERVICE 4yr'!K15+'ASptISptSSv 4yr'!K15+'PLANT OPER MAIN 4yr'!K15+'SCHOLAR FELLOW 4yr'!K15+'All Other 4yr'!K15)-K15</f>
        <v>0</v>
      </c>
      <c r="AP15" s="74">
        <f>('Instruction-4YR'!L15+'RESEARCH 4yr'!L15+'PUBLIC SERVICE 4yr'!L15+'ASptISptSSv 4yr'!L15+'PLANT OPER MAIN 4yr'!L15+'SCHOLAR FELLOW 4yr'!L15+'All Other 4yr'!L15)-L15</f>
        <v>0</v>
      </c>
      <c r="AQ15" s="74">
        <f>('Instruction-4YR'!M15+'RESEARCH 4yr'!M15+'PUBLIC SERVICE 4yr'!M15+'ASptISptSSv 4yr'!M15+'PLANT OPER MAIN 4yr'!M15+'SCHOLAR FELLOW 4yr'!M15+'All Other 4yr'!M15)-M15</f>
        <v>0</v>
      </c>
      <c r="AR15" s="74">
        <f>('Instruction-4YR'!N15+'RESEARCH 4yr'!N15+'PUBLIC SERVICE 4yr'!N15+'ASptISptSSv 4yr'!N15+'PLANT OPER MAIN 4yr'!N15+'SCHOLAR FELLOW 4yr'!N15+'All Other 4yr'!N15)-N15</f>
        <v>0</v>
      </c>
      <c r="AS15" s="74">
        <f>('Instruction-4YR'!O15+'RESEARCH 4yr'!O15+'PUBLIC SERVICE 4yr'!O15+'ASptISptSSv 4yr'!O15+'PLANT OPER MAIN 4yr'!O15+'SCHOLAR FELLOW 4yr'!O15+'All Other 4yr'!O15)-O15</f>
        <v>0</v>
      </c>
      <c r="AT15" s="74">
        <f>('Instruction-4YR'!P15+'RESEARCH 4yr'!P15+'PUBLIC SERVICE 4yr'!P15+'ASptISptSSv 4yr'!P15+'PLANT OPER MAIN 4yr'!P15+'SCHOLAR FELLOW 4yr'!P15+'All Other 4yr'!P15)-P15</f>
        <v>0</v>
      </c>
      <c r="AU15" s="74">
        <f>('Instruction-4YR'!Q15+'RESEARCH 4yr'!Q15+'PUBLIC SERVICE 4yr'!Q15+'ASptISptSSv 4yr'!Q15+'PLANT OPER MAIN 4yr'!Q15+'SCHOLAR FELLOW 4yr'!Q15+'All Other 4yr'!Q15)-Q15</f>
        <v>0</v>
      </c>
      <c r="AV15" s="74">
        <f>('Instruction-4YR'!R15+'RESEARCH 4yr'!R15+'PUBLIC SERVICE 4yr'!R15+'ASptISptSSv 4yr'!R15+'PLANT OPER MAIN 4yr'!R15+'SCHOLAR FELLOW 4yr'!R15+'All Other 4yr'!R15)-R15</f>
        <v>0</v>
      </c>
      <c r="AW15" s="74">
        <f>('Instruction-4YR'!S15+'RESEARCH 4yr'!S15+'PUBLIC SERVICE 4yr'!S15+'ASptISptSSv 4yr'!S15+'PLANT OPER MAIN 4yr'!S15+'SCHOLAR FELLOW 4yr'!S15+'All Other 4yr'!S15)-S15</f>
        <v>0</v>
      </c>
      <c r="AX15" s="74">
        <f>('Instruction-4YR'!T15+'RESEARCH 4yr'!T15+'PUBLIC SERVICE 4yr'!T15+'ASptISptSSv 4yr'!T15+'PLANT OPER MAIN 4yr'!T15+'SCHOLAR FELLOW 4yr'!T15+'All Other 4yr'!T15)-T15</f>
        <v>0</v>
      </c>
      <c r="AY15" s="74">
        <f>('Instruction-4YR'!U15+'RESEARCH 4yr'!U15+'PUBLIC SERVICE 4yr'!U15+'ASptISptSSv 4yr'!U15+'PLANT OPER MAIN 4yr'!U15+'SCHOLAR FELLOW 4yr'!U15+'All Other 4yr'!U15)-U15</f>
        <v>0</v>
      </c>
      <c r="AZ15" s="74">
        <f>('Instruction-4YR'!V15+'RESEARCH 4yr'!V15+'PUBLIC SERVICE 4yr'!V15+'ASptISptSSv 4yr'!V15+'PLANT OPER MAIN 4yr'!V15+'SCHOLAR FELLOW 4yr'!V15+'All Other 4yr'!V15)-V15</f>
        <v>0</v>
      </c>
      <c r="BA15" s="74">
        <f>('Instruction-4YR'!W15+'RESEARCH 4yr'!W15+'PUBLIC SERVICE 4yr'!W15+'ASptISptSSv 4yr'!W15+'PLANT OPER MAIN 4yr'!W15+'SCHOLAR FELLOW 4yr'!W15+'All Other 4yr'!W15)-W15</f>
        <v>0</v>
      </c>
      <c r="BB15" s="74">
        <f>('Instruction-4YR'!X15+'RESEARCH 4yr'!X15+'PUBLIC SERVICE 4yr'!X15+'ASptISptSSv 4yr'!X15+'PLANT OPER MAIN 4yr'!X15+'SCHOLAR FELLOW 4yr'!X15+'All Other 4yr'!X15)-X15</f>
        <v>0</v>
      </c>
      <c r="BC15" s="74">
        <f>('Instruction-4YR'!Y15+'RESEARCH 4yr'!Y15+'PUBLIC SERVICE 4yr'!Y15+'ASptISptSSv 4yr'!Y15+'PLANT OPER MAIN 4yr'!Y15+'SCHOLAR FELLOW 4yr'!Y15+'All Other 4yr'!Y15)-Y15</f>
        <v>0</v>
      </c>
      <c r="BD15" s="74">
        <f>('Instruction-4YR'!Z15+'RESEARCH 4yr'!Z15+'PUBLIC SERVICE 4yr'!Z15+'ASptISptSSv 4yr'!Z15+'PLANT OPER MAIN 4yr'!Z15+'SCHOLAR FELLOW 4yr'!Z15+'All Other 4yr'!Z15)-Z15</f>
        <v>0</v>
      </c>
      <c r="BE15" s="74">
        <f>('Instruction-4YR'!AA15+'RESEARCH 4yr'!AA15+'PUBLIC SERVICE 4yr'!AA15+'ASptISptSSv 4yr'!AA15+'PLANT OPER MAIN 4yr'!AA15+'SCHOLAR FELLOW 4yr'!AA15+'All Other 4yr'!AA15)-AA15</f>
        <v>0</v>
      </c>
      <c r="BF15" s="74">
        <f>('Instruction-4YR'!AB15+'RESEARCH 4yr'!AB15+'PUBLIC SERVICE 4yr'!AB15+'ASptISptSSv 4yr'!AB15+'PLANT OPER MAIN 4yr'!AB15+'SCHOLAR FELLOW 4yr'!AB15+'All Other 4yr'!AB15)-AB15</f>
        <v>0</v>
      </c>
      <c r="BG15" s="74">
        <f>('Instruction-4YR'!AC15+'RESEARCH 4yr'!AC15+'PUBLIC SERVICE 4yr'!AC15+'ASptISptSSv 4yr'!AC15+'PLANT OPER MAIN 4yr'!AC15+'SCHOLAR FELLOW 4yr'!AC15+'All Other 4yr'!AC15)-AC15</f>
        <v>0</v>
      </c>
      <c r="BH15" s="74">
        <f>('Instruction-4YR'!AD15+'RESEARCH 4yr'!AD15+'PUBLIC SERVICE 4yr'!AD15+'ASptISptSSv 4yr'!AD15+'PLANT OPER MAIN 4yr'!AD15+'SCHOLAR FELLOW 4yr'!AD15+'All Other 4yr'!AD15)-AD15</f>
        <v>0</v>
      </c>
      <c r="BI15" s="74">
        <f>('Instruction-4YR'!AE15+'RESEARCH 4yr'!AE15+'PUBLIC SERVICE 4yr'!AE15+'ASptISptSSv 4yr'!AE15+'PLANT OPER MAIN 4yr'!AE15+'SCHOLAR FELLOW 4yr'!AE15+'All Other 4yr'!AE15)-AE15</f>
        <v>0</v>
      </c>
    </row>
    <row r="16" spans="1:61">
      <c r="A16" s="1" t="s">
        <v>33</v>
      </c>
      <c r="B16" s="1">
        <v>595745</v>
      </c>
      <c r="C16" s="1">
        <v>673736</v>
      </c>
      <c r="D16" s="1">
        <v>683825</v>
      </c>
      <c r="E16" s="1">
        <v>1231712.375</v>
      </c>
      <c r="F16" s="41">
        <v>1131985.602</v>
      </c>
      <c r="G16" s="1">
        <v>1247433.4149999998</v>
      </c>
      <c r="H16" s="1">
        <v>1327932.0819999999</v>
      </c>
      <c r="I16" s="1">
        <v>1369508.14</v>
      </c>
      <c r="J16" s="1">
        <v>1501624.3</v>
      </c>
      <c r="K16" s="1">
        <v>1681478.6124699998</v>
      </c>
      <c r="L16" s="1">
        <v>2115743.92</v>
      </c>
      <c r="M16" s="1">
        <v>2225057.122</v>
      </c>
      <c r="N16" s="1">
        <v>2613655.8569999998</v>
      </c>
      <c r="O16" s="1">
        <v>2647060.5129999998</v>
      </c>
      <c r="P16" s="1">
        <v>2689825.037</v>
      </c>
      <c r="Q16" s="1">
        <v>3226455.3190000001</v>
      </c>
      <c r="R16" s="1">
        <v>3034005.3870000001</v>
      </c>
      <c r="S16" s="1">
        <v>3198597.0079999999</v>
      </c>
      <c r="T16" s="1">
        <v>3389878.014</v>
      </c>
      <c r="U16" s="1">
        <v>2795462.7340000002</v>
      </c>
      <c r="V16" s="1">
        <v>3684104.3119999999</v>
      </c>
      <c r="W16" s="1">
        <v>3864702.1830000002</v>
      </c>
      <c r="X16" s="1">
        <v>3988069.6639999999</v>
      </c>
      <c r="Y16" s="1">
        <v>4088845.6379999998</v>
      </c>
      <c r="Z16" s="1">
        <v>4256710.7130000005</v>
      </c>
      <c r="AA16" s="1">
        <v>4329103.9639999997</v>
      </c>
      <c r="AB16" s="1">
        <v>4478042.085</v>
      </c>
      <c r="AC16" s="1">
        <v>4705082.8619999997</v>
      </c>
      <c r="AE16" s="1">
        <v>5197431.233</v>
      </c>
      <c r="AF16" s="74">
        <f>('Instruction-4YR'!B16+'RESEARCH 4yr'!B16+'PUBLIC SERVICE 4yr'!B16+'ASptISptSSv 4yr'!B16+'PLANT OPER MAIN 4yr'!B16+'SCHOLAR FELLOW 4yr'!B16+'All Other 4yr'!B16)-B16</f>
        <v>0</v>
      </c>
      <c r="AG16" s="74">
        <f>('Instruction-4YR'!C16+'RESEARCH 4yr'!C16+'PUBLIC SERVICE 4yr'!C16+'ASptISptSSv 4yr'!C16+'PLANT OPER MAIN 4yr'!C16+'SCHOLAR FELLOW 4yr'!C16+'All Other 4yr'!C16)-C16</f>
        <v>0</v>
      </c>
      <c r="AH16" s="74">
        <f>('Instruction-4YR'!D16+'RESEARCH 4yr'!D16+'PUBLIC SERVICE 4yr'!D16+'ASptISptSSv 4yr'!D16+'PLANT OPER MAIN 4yr'!D16+'SCHOLAR FELLOW 4yr'!D16+'All Other 4yr'!D16)-D16</f>
        <v>0</v>
      </c>
      <c r="AI16" s="74">
        <f>('Instruction-4YR'!E16+'RESEARCH 4yr'!E16+'PUBLIC SERVICE 4yr'!E16+'ASptISptSSv 4yr'!E16+'PLANT OPER MAIN 4yr'!E16+'SCHOLAR FELLOW 4yr'!E16+'All Other 4yr'!E16)-E16</f>
        <v>0</v>
      </c>
      <c r="AJ16" s="74">
        <f>('Instruction-4YR'!F16+'RESEARCH 4yr'!F16+'PUBLIC SERVICE 4yr'!F16+'ASptISptSSv 4yr'!F16+'PLANT OPER MAIN 4yr'!F16+'SCHOLAR FELLOW 4yr'!F16+'All Other 4yr'!F16)-F16</f>
        <v>0</v>
      </c>
      <c r="AK16" s="74">
        <f>('Instruction-4YR'!G16+'RESEARCH 4yr'!G16+'PUBLIC SERVICE 4yr'!G16+'ASptISptSSv 4yr'!G16+'PLANT OPER MAIN 4yr'!G16+'SCHOLAR FELLOW 4yr'!G16+'All Other 4yr'!G16)-G16</f>
        <v>0</v>
      </c>
      <c r="AL16" s="74">
        <f>('Instruction-4YR'!H16+'RESEARCH 4yr'!H16+'PUBLIC SERVICE 4yr'!H16+'ASptISptSSv 4yr'!H16+'PLANT OPER MAIN 4yr'!H16+'SCHOLAR FELLOW 4yr'!H16+'All Other 4yr'!H16)-H16</f>
        <v>0</v>
      </c>
      <c r="AM16" s="74">
        <f>('Instruction-4YR'!I16+'RESEARCH 4yr'!I16+'PUBLIC SERVICE 4yr'!I16+'ASptISptSSv 4yr'!I16+'PLANT OPER MAIN 4yr'!I16+'SCHOLAR FELLOW 4yr'!I16+'All Other 4yr'!I16)-I16</f>
        <v>0</v>
      </c>
      <c r="AN16" s="74">
        <f>('Instruction-4YR'!J16+'RESEARCH 4yr'!J16+'PUBLIC SERVICE 4yr'!J16+'ASptISptSSv 4yr'!J16+'PLANT OPER MAIN 4yr'!J16+'SCHOLAR FELLOW 4yr'!J16+'All Other 4yr'!J16)-J16</f>
        <v>0</v>
      </c>
      <c r="AO16" s="74">
        <f>('Instruction-4YR'!K16+'RESEARCH 4yr'!K16+'PUBLIC SERVICE 4yr'!K16+'ASptISptSSv 4yr'!K16+'PLANT OPER MAIN 4yr'!K16+'SCHOLAR FELLOW 4yr'!K16+'All Other 4yr'!K16)-K16</f>
        <v>0</v>
      </c>
      <c r="AP16" s="74">
        <f>('Instruction-4YR'!L16+'RESEARCH 4yr'!L16+'PUBLIC SERVICE 4yr'!L16+'ASptISptSSv 4yr'!L16+'PLANT OPER MAIN 4yr'!L16+'SCHOLAR FELLOW 4yr'!L16+'All Other 4yr'!L16)-L16</f>
        <v>0</v>
      </c>
      <c r="AQ16" s="74">
        <f>('Instruction-4YR'!M16+'RESEARCH 4yr'!M16+'PUBLIC SERVICE 4yr'!M16+'ASptISptSSv 4yr'!M16+'PLANT OPER MAIN 4yr'!M16+'SCHOLAR FELLOW 4yr'!M16+'All Other 4yr'!M16)-M16</f>
        <v>0</v>
      </c>
      <c r="AR16" s="74">
        <f>('Instruction-4YR'!N16+'RESEARCH 4yr'!N16+'PUBLIC SERVICE 4yr'!N16+'ASptISptSSv 4yr'!N16+'PLANT OPER MAIN 4yr'!N16+'SCHOLAR FELLOW 4yr'!N16+'All Other 4yr'!N16)-N16</f>
        <v>0</v>
      </c>
      <c r="AS16" s="74">
        <f>('Instruction-4YR'!O16+'RESEARCH 4yr'!O16+'PUBLIC SERVICE 4yr'!O16+'ASptISptSSv 4yr'!O16+'PLANT OPER MAIN 4yr'!O16+'SCHOLAR FELLOW 4yr'!O16+'All Other 4yr'!O16)-O16</f>
        <v>0</v>
      </c>
      <c r="AT16" s="74">
        <f>('Instruction-4YR'!P16+'RESEARCH 4yr'!P16+'PUBLIC SERVICE 4yr'!P16+'ASptISptSSv 4yr'!P16+'PLANT OPER MAIN 4yr'!P16+'SCHOLAR FELLOW 4yr'!P16+'All Other 4yr'!P16)-P16</f>
        <v>0</v>
      </c>
      <c r="AU16" s="74">
        <f>('Instruction-4YR'!Q16+'RESEARCH 4yr'!Q16+'PUBLIC SERVICE 4yr'!Q16+'ASptISptSSv 4yr'!Q16+'PLANT OPER MAIN 4yr'!Q16+'SCHOLAR FELLOW 4yr'!Q16+'All Other 4yr'!Q16)-Q16</f>
        <v>0</v>
      </c>
      <c r="AV16" s="74">
        <f>('Instruction-4YR'!R16+'RESEARCH 4yr'!R16+'PUBLIC SERVICE 4yr'!R16+'ASptISptSSv 4yr'!R16+'PLANT OPER MAIN 4yr'!R16+'SCHOLAR FELLOW 4yr'!R16+'All Other 4yr'!R16)-R16</f>
        <v>0</v>
      </c>
      <c r="AW16" s="74">
        <f>('Instruction-4YR'!S16+'RESEARCH 4yr'!S16+'PUBLIC SERVICE 4yr'!S16+'ASptISptSSv 4yr'!S16+'PLANT OPER MAIN 4yr'!S16+'SCHOLAR FELLOW 4yr'!S16+'All Other 4yr'!S16)-S16</f>
        <v>0</v>
      </c>
      <c r="AX16" s="74">
        <f>('Instruction-4YR'!T16+'RESEARCH 4yr'!T16+'PUBLIC SERVICE 4yr'!T16+'ASptISptSSv 4yr'!T16+'PLANT OPER MAIN 4yr'!T16+'SCHOLAR FELLOW 4yr'!T16+'All Other 4yr'!T16)-T16</f>
        <v>0</v>
      </c>
      <c r="AY16" s="74">
        <f>('Instruction-4YR'!U16+'RESEARCH 4yr'!U16+'PUBLIC SERVICE 4yr'!U16+'ASptISptSSv 4yr'!U16+'PLANT OPER MAIN 4yr'!U16+'SCHOLAR FELLOW 4yr'!U16+'All Other 4yr'!U16)-U16</f>
        <v>0</v>
      </c>
      <c r="AZ16" s="74">
        <f>('Instruction-4YR'!V16+'RESEARCH 4yr'!V16+'PUBLIC SERVICE 4yr'!V16+'ASptISptSSv 4yr'!V16+'PLANT OPER MAIN 4yr'!V16+'SCHOLAR FELLOW 4yr'!V16+'All Other 4yr'!V16)-V16</f>
        <v>0</v>
      </c>
      <c r="BA16" s="74">
        <f>('Instruction-4YR'!W16+'RESEARCH 4yr'!W16+'PUBLIC SERVICE 4yr'!W16+'ASptISptSSv 4yr'!W16+'PLANT OPER MAIN 4yr'!W16+'SCHOLAR FELLOW 4yr'!W16+'All Other 4yr'!W16)-W16</f>
        <v>0</v>
      </c>
      <c r="BB16" s="74">
        <f>('Instruction-4YR'!X16+'RESEARCH 4yr'!X16+'PUBLIC SERVICE 4yr'!X16+'ASptISptSSv 4yr'!X16+'PLANT OPER MAIN 4yr'!X16+'SCHOLAR FELLOW 4yr'!X16+'All Other 4yr'!X16)-X16</f>
        <v>0</v>
      </c>
      <c r="BC16" s="74">
        <f>('Instruction-4YR'!Y16+'RESEARCH 4yr'!Y16+'PUBLIC SERVICE 4yr'!Y16+'ASptISptSSv 4yr'!Y16+'PLANT OPER MAIN 4yr'!Y16+'SCHOLAR FELLOW 4yr'!Y16+'All Other 4yr'!Y16)-Y16</f>
        <v>0</v>
      </c>
      <c r="BD16" s="74">
        <f>('Instruction-4YR'!Z16+'RESEARCH 4yr'!Z16+'PUBLIC SERVICE 4yr'!Z16+'ASptISptSSv 4yr'!Z16+'PLANT OPER MAIN 4yr'!Z16+'SCHOLAR FELLOW 4yr'!Z16+'All Other 4yr'!Z16)-Z16</f>
        <v>0</v>
      </c>
      <c r="BE16" s="74">
        <f>('Instruction-4YR'!AA16+'RESEARCH 4yr'!AA16+'PUBLIC SERVICE 4yr'!AA16+'ASptISptSSv 4yr'!AA16+'PLANT OPER MAIN 4yr'!AA16+'SCHOLAR FELLOW 4yr'!AA16+'All Other 4yr'!AA16)-AA16</f>
        <v>0</v>
      </c>
      <c r="BF16" s="74">
        <f>('Instruction-4YR'!AB16+'RESEARCH 4yr'!AB16+'PUBLIC SERVICE 4yr'!AB16+'ASptISptSSv 4yr'!AB16+'PLANT OPER MAIN 4yr'!AB16+'SCHOLAR FELLOW 4yr'!AB16+'All Other 4yr'!AB16)-AB16</f>
        <v>0</v>
      </c>
      <c r="BG16" s="74">
        <f>('Instruction-4YR'!AC16+'RESEARCH 4yr'!AC16+'PUBLIC SERVICE 4yr'!AC16+'ASptISptSSv 4yr'!AC16+'PLANT OPER MAIN 4yr'!AC16+'SCHOLAR FELLOW 4yr'!AC16+'All Other 4yr'!AC16)-AC16</f>
        <v>0</v>
      </c>
      <c r="BH16" s="74">
        <f>('Instruction-4YR'!AD16+'RESEARCH 4yr'!AD16+'PUBLIC SERVICE 4yr'!AD16+'ASptISptSSv 4yr'!AD16+'PLANT OPER MAIN 4yr'!AD16+'SCHOLAR FELLOW 4yr'!AD16+'All Other 4yr'!AD16)-AD16</f>
        <v>0</v>
      </c>
      <c r="BI16" s="74">
        <f>('Instruction-4YR'!AE16+'RESEARCH 4yr'!AE16+'PUBLIC SERVICE 4yr'!AE16+'ASptISptSSv 4yr'!AE16+'PLANT OPER MAIN 4yr'!AE16+'SCHOLAR FELLOW 4yr'!AE16+'All Other 4yr'!AE16)-AE16</f>
        <v>0</v>
      </c>
    </row>
    <row r="17" spans="1:61">
      <c r="A17" s="1" t="s">
        <v>34</v>
      </c>
      <c r="B17" s="1">
        <v>385761</v>
      </c>
      <c r="C17" s="1">
        <v>404603</v>
      </c>
      <c r="D17" s="1">
        <v>436296</v>
      </c>
      <c r="E17" s="1">
        <v>615461.22100000002</v>
      </c>
      <c r="F17" s="41">
        <v>628395.93299999996</v>
      </c>
      <c r="G17" s="1">
        <v>689741.09500000009</v>
      </c>
      <c r="H17" s="1">
        <v>739825.2</v>
      </c>
      <c r="I17" s="1">
        <v>833636.995</v>
      </c>
      <c r="J17" s="1">
        <v>881037.64300000004</v>
      </c>
      <c r="K17" s="1">
        <v>894298.92099999997</v>
      </c>
      <c r="L17" s="1">
        <v>1190159.7479999999</v>
      </c>
      <c r="M17" s="1">
        <v>1240070.7209999999</v>
      </c>
      <c r="N17" s="1">
        <v>1402368.1140000001</v>
      </c>
      <c r="O17" s="1">
        <v>1488250.371</v>
      </c>
      <c r="P17" s="1">
        <v>1553674.9129999999</v>
      </c>
      <c r="Q17" s="1">
        <v>1631963.942</v>
      </c>
      <c r="R17" s="1">
        <v>1687158.3770000001</v>
      </c>
      <c r="S17" s="1">
        <v>1812640.5989999999</v>
      </c>
      <c r="T17" s="1">
        <v>1906192.402</v>
      </c>
      <c r="U17" s="1">
        <v>1648926.898</v>
      </c>
      <c r="V17" s="1">
        <v>1960469.9680000001</v>
      </c>
      <c r="W17" s="1">
        <v>2006587.4990000001</v>
      </c>
      <c r="X17" s="1">
        <v>2104793.35</v>
      </c>
      <c r="Y17" s="1">
        <v>2063346.746</v>
      </c>
      <c r="Z17" s="1">
        <v>2154649.4330000002</v>
      </c>
      <c r="AA17" s="1">
        <v>2228936.7590000001</v>
      </c>
      <c r="AB17" s="1">
        <v>2380786.2059999998</v>
      </c>
      <c r="AC17" s="1">
        <v>2470710.4730000002</v>
      </c>
      <c r="AE17" s="1">
        <v>2614166.6310000001</v>
      </c>
      <c r="AF17" s="74">
        <f>('Instruction-4YR'!B17+'RESEARCH 4yr'!B17+'PUBLIC SERVICE 4yr'!B17+'ASptISptSSv 4yr'!B17+'PLANT OPER MAIN 4yr'!B17+'SCHOLAR FELLOW 4yr'!B17+'All Other 4yr'!B17)-B17</f>
        <v>0</v>
      </c>
      <c r="AG17" s="74">
        <f>('Instruction-4YR'!C17+'RESEARCH 4yr'!C17+'PUBLIC SERVICE 4yr'!C17+'ASptISptSSv 4yr'!C17+'PLANT OPER MAIN 4yr'!C17+'SCHOLAR FELLOW 4yr'!C17+'All Other 4yr'!C17)-C17</f>
        <v>0</v>
      </c>
      <c r="AH17" s="74">
        <f>('Instruction-4YR'!D17+'RESEARCH 4yr'!D17+'PUBLIC SERVICE 4yr'!D17+'ASptISptSSv 4yr'!D17+'PLANT OPER MAIN 4yr'!D17+'SCHOLAR FELLOW 4yr'!D17+'All Other 4yr'!D17)-D17</f>
        <v>0</v>
      </c>
      <c r="AI17" s="74">
        <f>('Instruction-4YR'!E17+'RESEARCH 4yr'!E17+'PUBLIC SERVICE 4yr'!E17+'ASptISptSSv 4yr'!E17+'PLANT OPER MAIN 4yr'!E17+'SCHOLAR FELLOW 4yr'!E17+'All Other 4yr'!E17)-E17</f>
        <v>0</v>
      </c>
      <c r="AJ17" s="74">
        <f>('Instruction-4YR'!F17+'RESEARCH 4yr'!F17+'PUBLIC SERVICE 4yr'!F17+'ASptISptSSv 4yr'!F17+'PLANT OPER MAIN 4yr'!F17+'SCHOLAR FELLOW 4yr'!F17+'All Other 4yr'!F17)-F17</f>
        <v>0</v>
      </c>
      <c r="AK17" s="74">
        <f>('Instruction-4YR'!G17+'RESEARCH 4yr'!G17+'PUBLIC SERVICE 4yr'!G17+'ASptISptSSv 4yr'!G17+'PLANT OPER MAIN 4yr'!G17+'SCHOLAR FELLOW 4yr'!G17+'All Other 4yr'!G17)-G17</f>
        <v>0</v>
      </c>
      <c r="AL17" s="74">
        <f>('Instruction-4YR'!H17+'RESEARCH 4yr'!H17+'PUBLIC SERVICE 4yr'!H17+'ASptISptSSv 4yr'!H17+'PLANT OPER MAIN 4yr'!H17+'SCHOLAR FELLOW 4yr'!H17+'All Other 4yr'!H17)-H17</f>
        <v>0</v>
      </c>
      <c r="AM17" s="74">
        <f>('Instruction-4YR'!I17+'RESEARCH 4yr'!I17+'PUBLIC SERVICE 4yr'!I17+'ASptISptSSv 4yr'!I17+'PLANT OPER MAIN 4yr'!I17+'SCHOLAR FELLOW 4yr'!I17+'All Other 4yr'!I17)-I17</f>
        <v>0</v>
      </c>
      <c r="AN17" s="74">
        <f>('Instruction-4YR'!J17+'RESEARCH 4yr'!J17+'PUBLIC SERVICE 4yr'!J17+'ASptISptSSv 4yr'!J17+'PLANT OPER MAIN 4yr'!J17+'SCHOLAR FELLOW 4yr'!J17+'All Other 4yr'!J17)-J17</f>
        <v>0</v>
      </c>
      <c r="AO17" s="74">
        <f>('Instruction-4YR'!K17+'RESEARCH 4yr'!K17+'PUBLIC SERVICE 4yr'!K17+'ASptISptSSv 4yr'!K17+'PLANT OPER MAIN 4yr'!K17+'SCHOLAR FELLOW 4yr'!K17+'All Other 4yr'!K17)-K17</f>
        <v>0</v>
      </c>
      <c r="AP17" s="74">
        <f>('Instruction-4YR'!L17+'RESEARCH 4yr'!L17+'PUBLIC SERVICE 4yr'!L17+'ASptISptSSv 4yr'!L17+'PLANT OPER MAIN 4yr'!L17+'SCHOLAR FELLOW 4yr'!L17+'All Other 4yr'!L17)-L17</f>
        <v>0</v>
      </c>
      <c r="AQ17" s="74">
        <f>('Instruction-4YR'!M17+'RESEARCH 4yr'!M17+'PUBLIC SERVICE 4yr'!M17+'ASptISptSSv 4yr'!M17+'PLANT OPER MAIN 4yr'!M17+'SCHOLAR FELLOW 4yr'!M17+'All Other 4yr'!M17)-M17</f>
        <v>0</v>
      </c>
      <c r="AR17" s="74">
        <f>('Instruction-4YR'!N17+'RESEARCH 4yr'!N17+'PUBLIC SERVICE 4yr'!N17+'ASptISptSSv 4yr'!N17+'PLANT OPER MAIN 4yr'!N17+'SCHOLAR FELLOW 4yr'!N17+'All Other 4yr'!N17)-N17</f>
        <v>0</v>
      </c>
      <c r="AS17" s="74">
        <f>('Instruction-4YR'!O17+'RESEARCH 4yr'!O17+'PUBLIC SERVICE 4yr'!O17+'ASptISptSSv 4yr'!O17+'PLANT OPER MAIN 4yr'!O17+'SCHOLAR FELLOW 4yr'!O17+'All Other 4yr'!O17)-O17</f>
        <v>0</v>
      </c>
      <c r="AT17" s="74">
        <f>('Instruction-4YR'!P17+'RESEARCH 4yr'!P17+'PUBLIC SERVICE 4yr'!P17+'ASptISptSSv 4yr'!P17+'PLANT OPER MAIN 4yr'!P17+'SCHOLAR FELLOW 4yr'!P17+'All Other 4yr'!P17)-P17</f>
        <v>0</v>
      </c>
      <c r="AU17" s="74">
        <f>('Instruction-4YR'!Q17+'RESEARCH 4yr'!Q17+'PUBLIC SERVICE 4yr'!Q17+'ASptISptSSv 4yr'!Q17+'PLANT OPER MAIN 4yr'!Q17+'SCHOLAR FELLOW 4yr'!Q17+'All Other 4yr'!Q17)-Q17</f>
        <v>0</v>
      </c>
      <c r="AV17" s="74">
        <f>('Instruction-4YR'!R17+'RESEARCH 4yr'!R17+'PUBLIC SERVICE 4yr'!R17+'ASptISptSSv 4yr'!R17+'PLANT OPER MAIN 4yr'!R17+'SCHOLAR FELLOW 4yr'!R17+'All Other 4yr'!R17)-R17</f>
        <v>0</v>
      </c>
      <c r="AW17" s="74">
        <f>('Instruction-4YR'!S17+'RESEARCH 4yr'!S17+'PUBLIC SERVICE 4yr'!S17+'ASptISptSSv 4yr'!S17+'PLANT OPER MAIN 4yr'!S17+'SCHOLAR FELLOW 4yr'!S17+'All Other 4yr'!S17)-S17</f>
        <v>0</v>
      </c>
      <c r="AX17" s="74">
        <f>('Instruction-4YR'!T17+'RESEARCH 4yr'!T17+'PUBLIC SERVICE 4yr'!T17+'ASptISptSSv 4yr'!T17+'PLANT OPER MAIN 4yr'!T17+'SCHOLAR FELLOW 4yr'!T17+'All Other 4yr'!T17)-T17</f>
        <v>0</v>
      </c>
      <c r="AY17" s="74">
        <f>('Instruction-4YR'!U17+'RESEARCH 4yr'!U17+'PUBLIC SERVICE 4yr'!U17+'ASptISptSSv 4yr'!U17+'PLANT OPER MAIN 4yr'!U17+'SCHOLAR FELLOW 4yr'!U17+'All Other 4yr'!U17)-U17</f>
        <v>0</v>
      </c>
      <c r="AZ17" s="74">
        <f>('Instruction-4YR'!V17+'RESEARCH 4yr'!V17+'PUBLIC SERVICE 4yr'!V17+'ASptISptSSv 4yr'!V17+'PLANT OPER MAIN 4yr'!V17+'SCHOLAR FELLOW 4yr'!V17+'All Other 4yr'!V17)-V17</f>
        <v>0</v>
      </c>
      <c r="BA17" s="74">
        <f>('Instruction-4YR'!W17+'RESEARCH 4yr'!W17+'PUBLIC SERVICE 4yr'!W17+'ASptISptSSv 4yr'!W17+'PLANT OPER MAIN 4yr'!W17+'SCHOLAR FELLOW 4yr'!W17+'All Other 4yr'!W17)-W17</f>
        <v>0</v>
      </c>
      <c r="BB17" s="74">
        <f>('Instruction-4YR'!X17+'RESEARCH 4yr'!X17+'PUBLIC SERVICE 4yr'!X17+'ASptISptSSv 4yr'!X17+'PLANT OPER MAIN 4yr'!X17+'SCHOLAR FELLOW 4yr'!X17+'All Other 4yr'!X17)-X17</f>
        <v>0</v>
      </c>
      <c r="BC17" s="74">
        <f>('Instruction-4YR'!Y17+'RESEARCH 4yr'!Y17+'PUBLIC SERVICE 4yr'!Y17+'ASptISptSSv 4yr'!Y17+'PLANT OPER MAIN 4yr'!Y17+'SCHOLAR FELLOW 4yr'!Y17+'All Other 4yr'!Y17)-Y17</f>
        <v>0</v>
      </c>
      <c r="BD17" s="74">
        <f>('Instruction-4YR'!Z17+'RESEARCH 4yr'!Z17+'PUBLIC SERVICE 4yr'!Z17+'ASptISptSSv 4yr'!Z17+'PLANT OPER MAIN 4yr'!Z17+'SCHOLAR FELLOW 4yr'!Z17+'All Other 4yr'!Z17)-Z17</f>
        <v>0</v>
      </c>
      <c r="BE17" s="74">
        <f>('Instruction-4YR'!AA17+'RESEARCH 4yr'!AA17+'PUBLIC SERVICE 4yr'!AA17+'ASptISptSSv 4yr'!AA17+'PLANT OPER MAIN 4yr'!AA17+'SCHOLAR FELLOW 4yr'!AA17+'All Other 4yr'!AA17)-AA17</f>
        <v>0</v>
      </c>
      <c r="BF17" s="74">
        <f>('Instruction-4YR'!AB17+'RESEARCH 4yr'!AB17+'PUBLIC SERVICE 4yr'!AB17+'ASptISptSSv 4yr'!AB17+'PLANT OPER MAIN 4yr'!AB17+'SCHOLAR FELLOW 4yr'!AB17+'All Other 4yr'!AB17)-AB17</f>
        <v>0</v>
      </c>
      <c r="BG17" s="74">
        <f>('Instruction-4YR'!AC17+'RESEARCH 4yr'!AC17+'PUBLIC SERVICE 4yr'!AC17+'ASptISptSSv 4yr'!AC17+'PLANT OPER MAIN 4yr'!AC17+'SCHOLAR FELLOW 4yr'!AC17+'All Other 4yr'!AC17)-AC17</f>
        <v>0</v>
      </c>
      <c r="BH17" s="74">
        <f>('Instruction-4YR'!AD17+'RESEARCH 4yr'!AD17+'PUBLIC SERVICE 4yr'!AD17+'ASptISptSSv 4yr'!AD17+'PLANT OPER MAIN 4yr'!AD17+'SCHOLAR FELLOW 4yr'!AD17+'All Other 4yr'!AD17)-AD17</f>
        <v>0</v>
      </c>
      <c r="BI17" s="74">
        <f>('Instruction-4YR'!AE17+'RESEARCH 4yr'!AE17+'PUBLIC SERVICE 4yr'!AE17+'ASptISptSSv 4yr'!AE17+'PLANT OPER MAIN 4yr'!AE17+'SCHOLAR FELLOW 4yr'!AE17+'All Other 4yr'!AE17)-AE17</f>
        <v>0</v>
      </c>
    </row>
    <row r="18" spans="1:61">
      <c r="A18" s="1" t="s">
        <v>35</v>
      </c>
      <c r="B18" s="1">
        <v>1003012</v>
      </c>
      <c r="C18" s="1">
        <v>1115030</v>
      </c>
      <c r="D18" s="1">
        <v>1221057</v>
      </c>
      <c r="E18" s="1">
        <v>1778491.4129999999</v>
      </c>
      <c r="F18" s="41">
        <v>1882854.9569999999</v>
      </c>
      <c r="G18" s="1">
        <v>2120929.9769999995</v>
      </c>
      <c r="H18" s="1">
        <v>2141224.8190000001</v>
      </c>
      <c r="I18" s="1">
        <v>2202746.824</v>
      </c>
      <c r="J18" s="1">
        <v>2313927.9530000002</v>
      </c>
      <c r="K18" s="1">
        <v>2482737.2560000001</v>
      </c>
      <c r="L18" s="1">
        <v>2859906.2930000001</v>
      </c>
      <c r="M18" s="1">
        <v>3098880.6940000001</v>
      </c>
      <c r="N18" s="1">
        <v>3498589.0980000002</v>
      </c>
      <c r="O18" s="1">
        <v>3708591.9079999998</v>
      </c>
      <c r="P18" s="1">
        <v>3962555.1940000001</v>
      </c>
      <c r="Q18" s="1">
        <v>4273373.824</v>
      </c>
      <c r="R18" s="1">
        <v>4502645.1069999998</v>
      </c>
      <c r="S18" s="1">
        <v>4944720.4610000001</v>
      </c>
      <c r="T18" s="1">
        <v>5342734.966</v>
      </c>
      <c r="U18" s="1">
        <v>5535885.4890000001</v>
      </c>
      <c r="V18" s="1">
        <v>5440952.9139999999</v>
      </c>
      <c r="W18" s="1">
        <v>5806183.1710000001</v>
      </c>
      <c r="X18" s="1">
        <v>5718097.9369999999</v>
      </c>
      <c r="Y18" s="1">
        <v>6094650.1160000004</v>
      </c>
      <c r="Z18" s="1">
        <v>6189638.9859999996</v>
      </c>
      <c r="AA18" s="1">
        <v>6519305.3020000001</v>
      </c>
      <c r="AB18" s="1">
        <v>6576525.2489999998</v>
      </c>
      <c r="AC18" s="1">
        <v>6986802.6679999996</v>
      </c>
      <c r="AE18" s="1">
        <v>7285629.4939999999</v>
      </c>
      <c r="AF18" s="74">
        <f>('Instruction-4YR'!B18+'RESEARCH 4yr'!B18+'PUBLIC SERVICE 4yr'!B18+'ASptISptSSv 4yr'!B18+'PLANT OPER MAIN 4yr'!B18+'SCHOLAR FELLOW 4yr'!B18+'All Other 4yr'!B18)-B18</f>
        <v>0</v>
      </c>
      <c r="AG18" s="74">
        <f>('Instruction-4YR'!C18+'RESEARCH 4yr'!C18+'PUBLIC SERVICE 4yr'!C18+'ASptISptSSv 4yr'!C18+'PLANT OPER MAIN 4yr'!C18+'SCHOLAR FELLOW 4yr'!C18+'All Other 4yr'!C18)-C18</f>
        <v>0</v>
      </c>
      <c r="AH18" s="74">
        <f>('Instruction-4YR'!D18+'RESEARCH 4yr'!D18+'PUBLIC SERVICE 4yr'!D18+'ASptISptSSv 4yr'!D18+'PLANT OPER MAIN 4yr'!D18+'SCHOLAR FELLOW 4yr'!D18+'All Other 4yr'!D18)-D18</f>
        <v>0</v>
      </c>
      <c r="AI18" s="74">
        <f>('Instruction-4YR'!E18+'RESEARCH 4yr'!E18+'PUBLIC SERVICE 4yr'!E18+'ASptISptSSv 4yr'!E18+'PLANT OPER MAIN 4yr'!E18+'SCHOLAR FELLOW 4yr'!E18+'All Other 4yr'!E18)-E18</f>
        <v>0</v>
      </c>
      <c r="AJ18" s="74">
        <f>('Instruction-4YR'!F18+'RESEARCH 4yr'!F18+'PUBLIC SERVICE 4yr'!F18+'ASptISptSSv 4yr'!F18+'PLANT OPER MAIN 4yr'!F18+'SCHOLAR FELLOW 4yr'!F18+'All Other 4yr'!F18)-F18</f>
        <v>0</v>
      </c>
      <c r="AK18" s="74">
        <f>('Instruction-4YR'!G18+'RESEARCH 4yr'!G18+'PUBLIC SERVICE 4yr'!G18+'ASptISptSSv 4yr'!G18+'PLANT OPER MAIN 4yr'!G18+'SCHOLAR FELLOW 4yr'!G18+'All Other 4yr'!G18)-G18</f>
        <v>0</v>
      </c>
      <c r="AL18" s="74">
        <f>('Instruction-4YR'!H18+'RESEARCH 4yr'!H18+'PUBLIC SERVICE 4yr'!H18+'ASptISptSSv 4yr'!H18+'PLANT OPER MAIN 4yr'!H18+'SCHOLAR FELLOW 4yr'!H18+'All Other 4yr'!H18)-H18</f>
        <v>0</v>
      </c>
      <c r="AM18" s="74">
        <f>('Instruction-4YR'!I18+'RESEARCH 4yr'!I18+'PUBLIC SERVICE 4yr'!I18+'ASptISptSSv 4yr'!I18+'PLANT OPER MAIN 4yr'!I18+'SCHOLAR FELLOW 4yr'!I18+'All Other 4yr'!I18)-I18</f>
        <v>0</v>
      </c>
      <c r="AN18" s="74">
        <f>('Instruction-4YR'!J18+'RESEARCH 4yr'!J18+'PUBLIC SERVICE 4yr'!J18+'ASptISptSSv 4yr'!J18+'PLANT OPER MAIN 4yr'!J18+'SCHOLAR FELLOW 4yr'!J18+'All Other 4yr'!J18)-J18</f>
        <v>0</v>
      </c>
      <c r="AO18" s="74">
        <f>('Instruction-4YR'!K18+'RESEARCH 4yr'!K18+'PUBLIC SERVICE 4yr'!K18+'ASptISptSSv 4yr'!K18+'PLANT OPER MAIN 4yr'!K18+'SCHOLAR FELLOW 4yr'!K18+'All Other 4yr'!K18)-K18</f>
        <v>0</v>
      </c>
      <c r="AP18" s="74">
        <f>('Instruction-4YR'!L18+'RESEARCH 4yr'!L18+'PUBLIC SERVICE 4yr'!L18+'ASptISptSSv 4yr'!L18+'PLANT OPER MAIN 4yr'!L18+'SCHOLAR FELLOW 4yr'!L18+'All Other 4yr'!L18)-L18</f>
        <v>0</v>
      </c>
      <c r="AQ18" s="74">
        <f>('Instruction-4YR'!M18+'RESEARCH 4yr'!M18+'PUBLIC SERVICE 4yr'!M18+'ASptISptSSv 4yr'!M18+'PLANT OPER MAIN 4yr'!M18+'SCHOLAR FELLOW 4yr'!M18+'All Other 4yr'!M18)-M18</f>
        <v>0</v>
      </c>
      <c r="AR18" s="74">
        <f>('Instruction-4YR'!N18+'RESEARCH 4yr'!N18+'PUBLIC SERVICE 4yr'!N18+'ASptISptSSv 4yr'!N18+'PLANT OPER MAIN 4yr'!N18+'SCHOLAR FELLOW 4yr'!N18+'All Other 4yr'!N18)-N18</f>
        <v>0</v>
      </c>
      <c r="AS18" s="74">
        <f>('Instruction-4YR'!O18+'RESEARCH 4yr'!O18+'PUBLIC SERVICE 4yr'!O18+'ASptISptSSv 4yr'!O18+'PLANT OPER MAIN 4yr'!O18+'SCHOLAR FELLOW 4yr'!O18+'All Other 4yr'!O18)-O18</f>
        <v>0</v>
      </c>
      <c r="AT18" s="74">
        <f>('Instruction-4YR'!P18+'RESEARCH 4yr'!P18+'PUBLIC SERVICE 4yr'!P18+'ASptISptSSv 4yr'!P18+'PLANT OPER MAIN 4yr'!P18+'SCHOLAR FELLOW 4yr'!P18+'All Other 4yr'!P18)-P18</f>
        <v>0</v>
      </c>
      <c r="AU18" s="74">
        <f>('Instruction-4YR'!Q18+'RESEARCH 4yr'!Q18+'PUBLIC SERVICE 4yr'!Q18+'ASptISptSSv 4yr'!Q18+'PLANT OPER MAIN 4yr'!Q18+'SCHOLAR FELLOW 4yr'!Q18+'All Other 4yr'!Q18)-Q18</f>
        <v>0</v>
      </c>
      <c r="AV18" s="74">
        <f>('Instruction-4YR'!R18+'RESEARCH 4yr'!R18+'PUBLIC SERVICE 4yr'!R18+'ASptISptSSv 4yr'!R18+'PLANT OPER MAIN 4yr'!R18+'SCHOLAR FELLOW 4yr'!R18+'All Other 4yr'!R18)-R18</f>
        <v>0</v>
      </c>
      <c r="AW18" s="74">
        <f>('Instruction-4YR'!S18+'RESEARCH 4yr'!S18+'PUBLIC SERVICE 4yr'!S18+'ASptISptSSv 4yr'!S18+'PLANT OPER MAIN 4yr'!S18+'SCHOLAR FELLOW 4yr'!S18+'All Other 4yr'!S18)-S18</f>
        <v>0</v>
      </c>
      <c r="AX18" s="74">
        <f>('Instruction-4YR'!T18+'RESEARCH 4yr'!T18+'PUBLIC SERVICE 4yr'!T18+'ASptISptSSv 4yr'!T18+'PLANT OPER MAIN 4yr'!T18+'SCHOLAR FELLOW 4yr'!T18+'All Other 4yr'!T18)-T18</f>
        <v>0</v>
      </c>
      <c r="AY18" s="74">
        <f>('Instruction-4YR'!U18+'RESEARCH 4yr'!U18+'PUBLIC SERVICE 4yr'!U18+'ASptISptSSv 4yr'!U18+'PLANT OPER MAIN 4yr'!U18+'SCHOLAR FELLOW 4yr'!U18+'All Other 4yr'!U18)-U18</f>
        <v>0</v>
      </c>
      <c r="AZ18" s="74">
        <f>('Instruction-4YR'!V18+'RESEARCH 4yr'!V18+'PUBLIC SERVICE 4yr'!V18+'ASptISptSSv 4yr'!V18+'PLANT OPER MAIN 4yr'!V18+'SCHOLAR FELLOW 4yr'!V18+'All Other 4yr'!V18)-V18</f>
        <v>0</v>
      </c>
      <c r="BA18" s="74">
        <f>('Instruction-4YR'!W18+'RESEARCH 4yr'!W18+'PUBLIC SERVICE 4yr'!W18+'ASptISptSSv 4yr'!W18+'PLANT OPER MAIN 4yr'!W18+'SCHOLAR FELLOW 4yr'!W18+'All Other 4yr'!W18)-W18</f>
        <v>0</v>
      </c>
      <c r="BB18" s="74">
        <f>('Instruction-4YR'!X18+'RESEARCH 4yr'!X18+'PUBLIC SERVICE 4yr'!X18+'ASptISptSSv 4yr'!X18+'PLANT OPER MAIN 4yr'!X18+'SCHOLAR FELLOW 4yr'!X18+'All Other 4yr'!X18)-X18</f>
        <v>0</v>
      </c>
      <c r="BC18" s="74">
        <f>('Instruction-4YR'!Y18+'RESEARCH 4yr'!Y18+'PUBLIC SERVICE 4yr'!Y18+'ASptISptSSv 4yr'!Y18+'PLANT OPER MAIN 4yr'!Y18+'SCHOLAR FELLOW 4yr'!Y18+'All Other 4yr'!Y18)-Y18</f>
        <v>0</v>
      </c>
      <c r="BD18" s="74">
        <f>('Instruction-4YR'!Z18+'RESEARCH 4yr'!Z18+'PUBLIC SERVICE 4yr'!Z18+'ASptISptSSv 4yr'!Z18+'PLANT OPER MAIN 4yr'!Z18+'SCHOLAR FELLOW 4yr'!Z18+'All Other 4yr'!Z18)-Z18</f>
        <v>0</v>
      </c>
      <c r="BE18" s="74">
        <f>('Instruction-4YR'!AA18+'RESEARCH 4yr'!AA18+'PUBLIC SERVICE 4yr'!AA18+'ASptISptSSv 4yr'!AA18+'PLANT OPER MAIN 4yr'!AA18+'SCHOLAR FELLOW 4yr'!AA18+'All Other 4yr'!AA18)-AA18</f>
        <v>0</v>
      </c>
      <c r="BF18" s="74">
        <f>('Instruction-4YR'!AB18+'RESEARCH 4yr'!AB18+'PUBLIC SERVICE 4yr'!AB18+'ASptISptSSv 4yr'!AB18+'PLANT OPER MAIN 4yr'!AB18+'SCHOLAR FELLOW 4yr'!AB18+'All Other 4yr'!AB18)-AB18</f>
        <v>0</v>
      </c>
      <c r="BG18" s="74">
        <f>('Instruction-4YR'!AC18+'RESEARCH 4yr'!AC18+'PUBLIC SERVICE 4yr'!AC18+'ASptISptSSv 4yr'!AC18+'PLANT OPER MAIN 4yr'!AC18+'SCHOLAR FELLOW 4yr'!AC18+'All Other 4yr'!AC18)-AC18</f>
        <v>0</v>
      </c>
      <c r="BH18" s="74">
        <f>('Instruction-4YR'!AD18+'RESEARCH 4yr'!AD18+'PUBLIC SERVICE 4yr'!AD18+'ASptISptSSv 4yr'!AD18+'PLANT OPER MAIN 4yr'!AD18+'SCHOLAR FELLOW 4yr'!AD18+'All Other 4yr'!AD18)-AD18</f>
        <v>0</v>
      </c>
      <c r="BI18" s="74">
        <f>('Instruction-4YR'!AE18+'RESEARCH 4yr'!AE18+'PUBLIC SERVICE 4yr'!AE18+'ASptISptSSv 4yr'!AE18+'PLANT OPER MAIN 4yr'!AE18+'SCHOLAR FELLOW 4yr'!AE18+'All Other 4yr'!AE18)-AE18</f>
        <v>0</v>
      </c>
    </row>
    <row r="19" spans="1:61">
      <c r="A19" s="1" t="s">
        <v>36</v>
      </c>
      <c r="B19" s="1">
        <v>433015</v>
      </c>
      <c r="C19" s="1">
        <v>454365</v>
      </c>
      <c r="D19" s="1">
        <v>515858</v>
      </c>
      <c r="E19" s="1">
        <v>726552.72199999995</v>
      </c>
      <c r="F19" s="41">
        <v>794078.32400000002</v>
      </c>
      <c r="G19" s="1">
        <v>870072.3949999999</v>
      </c>
      <c r="H19" s="1">
        <v>819995.06400000001</v>
      </c>
      <c r="I19" s="1">
        <v>865622.34299999999</v>
      </c>
      <c r="J19" s="1">
        <v>898576.01800000004</v>
      </c>
      <c r="K19" s="1">
        <v>967894.9416100001</v>
      </c>
      <c r="L19" s="1">
        <v>1255768.0149999999</v>
      </c>
      <c r="M19" s="1">
        <v>1352605.8670000001</v>
      </c>
      <c r="N19" s="1">
        <v>1467924.328</v>
      </c>
      <c r="O19" s="1">
        <v>1580433.298</v>
      </c>
      <c r="P19" s="1">
        <v>1660652.699</v>
      </c>
      <c r="Q19" s="1">
        <v>1759968.4180000001</v>
      </c>
      <c r="R19" s="1">
        <v>1921367.4210000001</v>
      </c>
      <c r="S19" s="1">
        <v>2089626.3740000001</v>
      </c>
      <c r="T19" s="1">
        <v>2233680.1910000001</v>
      </c>
      <c r="U19" s="1">
        <v>1837194.09</v>
      </c>
      <c r="V19" s="1">
        <v>2348928.5449999999</v>
      </c>
      <c r="W19" s="1">
        <v>2458427.1340000001</v>
      </c>
      <c r="X19" s="1">
        <v>2527367.716</v>
      </c>
      <c r="Y19" s="1">
        <v>2563684.4939999999</v>
      </c>
      <c r="Z19" s="1">
        <v>2647259.96</v>
      </c>
      <c r="AA19" s="1">
        <v>2724150.1719999998</v>
      </c>
      <c r="AB19" s="1">
        <v>2832996.159</v>
      </c>
      <c r="AC19" s="1">
        <v>2889150.1540000001</v>
      </c>
      <c r="AE19" s="1">
        <v>2916572.2910000002</v>
      </c>
      <c r="AF19" s="74">
        <f>('Instruction-4YR'!B19+'RESEARCH 4yr'!B19+'PUBLIC SERVICE 4yr'!B19+'ASptISptSSv 4yr'!B19+'PLANT OPER MAIN 4yr'!B19+'SCHOLAR FELLOW 4yr'!B19+'All Other 4yr'!B19)-B19</f>
        <v>0</v>
      </c>
      <c r="AG19" s="74">
        <f>('Instruction-4YR'!C19+'RESEARCH 4yr'!C19+'PUBLIC SERVICE 4yr'!C19+'ASptISptSSv 4yr'!C19+'PLANT OPER MAIN 4yr'!C19+'SCHOLAR FELLOW 4yr'!C19+'All Other 4yr'!C19)-C19</f>
        <v>0</v>
      </c>
      <c r="AH19" s="74">
        <f>('Instruction-4YR'!D19+'RESEARCH 4yr'!D19+'PUBLIC SERVICE 4yr'!D19+'ASptISptSSv 4yr'!D19+'PLANT OPER MAIN 4yr'!D19+'SCHOLAR FELLOW 4yr'!D19+'All Other 4yr'!D19)-D19</f>
        <v>0</v>
      </c>
      <c r="AI19" s="74">
        <f>('Instruction-4YR'!E19+'RESEARCH 4yr'!E19+'PUBLIC SERVICE 4yr'!E19+'ASptISptSSv 4yr'!E19+'PLANT OPER MAIN 4yr'!E19+'SCHOLAR FELLOW 4yr'!E19+'All Other 4yr'!E19)-E19</f>
        <v>0</v>
      </c>
      <c r="AJ19" s="74">
        <f>('Instruction-4YR'!F19+'RESEARCH 4yr'!F19+'PUBLIC SERVICE 4yr'!F19+'ASptISptSSv 4yr'!F19+'PLANT OPER MAIN 4yr'!F19+'SCHOLAR FELLOW 4yr'!F19+'All Other 4yr'!F19)-F19</f>
        <v>0</v>
      </c>
      <c r="AK19" s="74">
        <f>('Instruction-4YR'!G19+'RESEARCH 4yr'!G19+'PUBLIC SERVICE 4yr'!G19+'ASptISptSSv 4yr'!G19+'PLANT OPER MAIN 4yr'!G19+'SCHOLAR FELLOW 4yr'!G19+'All Other 4yr'!G19)-G19</f>
        <v>0</v>
      </c>
      <c r="AL19" s="74">
        <f>('Instruction-4YR'!H19+'RESEARCH 4yr'!H19+'PUBLIC SERVICE 4yr'!H19+'ASptISptSSv 4yr'!H19+'PLANT OPER MAIN 4yr'!H19+'SCHOLAR FELLOW 4yr'!H19+'All Other 4yr'!H19)-H19</f>
        <v>0</v>
      </c>
      <c r="AM19" s="74">
        <f>('Instruction-4YR'!I19+'RESEARCH 4yr'!I19+'PUBLIC SERVICE 4yr'!I19+'ASptISptSSv 4yr'!I19+'PLANT OPER MAIN 4yr'!I19+'SCHOLAR FELLOW 4yr'!I19+'All Other 4yr'!I19)-I19</f>
        <v>0</v>
      </c>
      <c r="AN19" s="74">
        <f>('Instruction-4YR'!J19+'RESEARCH 4yr'!J19+'PUBLIC SERVICE 4yr'!J19+'ASptISptSSv 4yr'!J19+'PLANT OPER MAIN 4yr'!J19+'SCHOLAR FELLOW 4yr'!J19+'All Other 4yr'!J19)-J19</f>
        <v>0</v>
      </c>
      <c r="AO19" s="74">
        <f>('Instruction-4YR'!K19+'RESEARCH 4yr'!K19+'PUBLIC SERVICE 4yr'!K19+'ASptISptSSv 4yr'!K19+'PLANT OPER MAIN 4yr'!K19+'SCHOLAR FELLOW 4yr'!K19+'All Other 4yr'!K19)-K19</f>
        <v>0</v>
      </c>
      <c r="AP19" s="74">
        <f>('Instruction-4YR'!L19+'RESEARCH 4yr'!L19+'PUBLIC SERVICE 4yr'!L19+'ASptISptSSv 4yr'!L19+'PLANT OPER MAIN 4yr'!L19+'SCHOLAR FELLOW 4yr'!L19+'All Other 4yr'!L19)-L19</f>
        <v>0</v>
      </c>
      <c r="AQ19" s="74">
        <f>('Instruction-4YR'!M19+'RESEARCH 4yr'!M19+'PUBLIC SERVICE 4yr'!M19+'ASptISptSSv 4yr'!M19+'PLANT OPER MAIN 4yr'!M19+'SCHOLAR FELLOW 4yr'!M19+'All Other 4yr'!M19)-M19</f>
        <v>0</v>
      </c>
      <c r="AR19" s="74">
        <f>('Instruction-4YR'!N19+'RESEARCH 4yr'!N19+'PUBLIC SERVICE 4yr'!N19+'ASptISptSSv 4yr'!N19+'PLANT OPER MAIN 4yr'!N19+'SCHOLAR FELLOW 4yr'!N19+'All Other 4yr'!N19)-N19</f>
        <v>0</v>
      </c>
      <c r="AS19" s="74">
        <f>('Instruction-4YR'!O19+'RESEARCH 4yr'!O19+'PUBLIC SERVICE 4yr'!O19+'ASptISptSSv 4yr'!O19+'PLANT OPER MAIN 4yr'!O19+'SCHOLAR FELLOW 4yr'!O19+'All Other 4yr'!O19)-O19</f>
        <v>0</v>
      </c>
      <c r="AT19" s="74">
        <f>('Instruction-4YR'!P19+'RESEARCH 4yr'!P19+'PUBLIC SERVICE 4yr'!P19+'ASptISptSSv 4yr'!P19+'PLANT OPER MAIN 4yr'!P19+'SCHOLAR FELLOW 4yr'!P19+'All Other 4yr'!P19)-P19</f>
        <v>0</v>
      </c>
      <c r="AU19" s="74">
        <f>('Instruction-4YR'!Q19+'RESEARCH 4yr'!Q19+'PUBLIC SERVICE 4yr'!Q19+'ASptISptSSv 4yr'!Q19+'PLANT OPER MAIN 4yr'!Q19+'SCHOLAR FELLOW 4yr'!Q19+'All Other 4yr'!Q19)-Q19</f>
        <v>0</v>
      </c>
      <c r="AV19" s="74">
        <f>('Instruction-4YR'!R19+'RESEARCH 4yr'!R19+'PUBLIC SERVICE 4yr'!R19+'ASptISptSSv 4yr'!R19+'PLANT OPER MAIN 4yr'!R19+'SCHOLAR FELLOW 4yr'!R19+'All Other 4yr'!R19)-R19</f>
        <v>0</v>
      </c>
      <c r="AW19" s="74">
        <f>('Instruction-4YR'!S19+'RESEARCH 4yr'!S19+'PUBLIC SERVICE 4yr'!S19+'ASptISptSSv 4yr'!S19+'PLANT OPER MAIN 4yr'!S19+'SCHOLAR FELLOW 4yr'!S19+'All Other 4yr'!S19)-S19</f>
        <v>0</v>
      </c>
      <c r="AX19" s="74">
        <f>('Instruction-4YR'!T19+'RESEARCH 4yr'!T19+'PUBLIC SERVICE 4yr'!T19+'ASptISptSSv 4yr'!T19+'PLANT OPER MAIN 4yr'!T19+'SCHOLAR FELLOW 4yr'!T19+'All Other 4yr'!T19)-T19</f>
        <v>0</v>
      </c>
      <c r="AY19" s="74">
        <f>('Instruction-4YR'!U19+'RESEARCH 4yr'!U19+'PUBLIC SERVICE 4yr'!U19+'ASptISptSSv 4yr'!U19+'PLANT OPER MAIN 4yr'!U19+'SCHOLAR FELLOW 4yr'!U19+'All Other 4yr'!U19)-U19</f>
        <v>0</v>
      </c>
      <c r="AZ19" s="74">
        <f>('Instruction-4YR'!V19+'RESEARCH 4yr'!V19+'PUBLIC SERVICE 4yr'!V19+'ASptISptSSv 4yr'!V19+'PLANT OPER MAIN 4yr'!V19+'SCHOLAR FELLOW 4yr'!V19+'All Other 4yr'!V19)-V19</f>
        <v>0</v>
      </c>
      <c r="BA19" s="74">
        <f>('Instruction-4YR'!W19+'RESEARCH 4yr'!W19+'PUBLIC SERVICE 4yr'!W19+'ASptISptSSv 4yr'!W19+'PLANT OPER MAIN 4yr'!W19+'SCHOLAR FELLOW 4yr'!W19+'All Other 4yr'!W19)-W19</f>
        <v>0</v>
      </c>
      <c r="BB19" s="74">
        <f>('Instruction-4YR'!X19+'RESEARCH 4yr'!X19+'PUBLIC SERVICE 4yr'!X19+'ASptISptSSv 4yr'!X19+'PLANT OPER MAIN 4yr'!X19+'SCHOLAR FELLOW 4yr'!X19+'All Other 4yr'!X19)-X19</f>
        <v>0</v>
      </c>
      <c r="BC19" s="74">
        <f>('Instruction-4YR'!Y19+'RESEARCH 4yr'!Y19+'PUBLIC SERVICE 4yr'!Y19+'ASptISptSSv 4yr'!Y19+'PLANT OPER MAIN 4yr'!Y19+'SCHOLAR FELLOW 4yr'!Y19+'All Other 4yr'!Y19)-Y19</f>
        <v>0</v>
      </c>
      <c r="BD19" s="74">
        <f>('Instruction-4YR'!Z19+'RESEARCH 4yr'!Z19+'PUBLIC SERVICE 4yr'!Z19+'ASptISptSSv 4yr'!Z19+'PLANT OPER MAIN 4yr'!Z19+'SCHOLAR FELLOW 4yr'!Z19+'All Other 4yr'!Z19)-Z19</f>
        <v>0</v>
      </c>
      <c r="BE19" s="74">
        <f>('Instruction-4YR'!AA19+'RESEARCH 4yr'!AA19+'PUBLIC SERVICE 4yr'!AA19+'ASptISptSSv 4yr'!AA19+'PLANT OPER MAIN 4yr'!AA19+'SCHOLAR FELLOW 4yr'!AA19+'All Other 4yr'!AA19)-AA19</f>
        <v>0</v>
      </c>
      <c r="BF19" s="74">
        <f>('Instruction-4YR'!AB19+'RESEARCH 4yr'!AB19+'PUBLIC SERVICE 4yr'!AB19+'ASptISptSSv 4yr'!AB19+'PLANT OPER MAIN 4yr'!AB19+'SCHOLAR FELLOW 4yr'!AB19+'All Other 4yr'!AB19)-AB19</f>
        <v>0</v>
      </c>
      <c r="BG19" s="74">
        <f>('Instruction-4YR'!AC19+'RESEARCH 4yr'!AC19+'PUBLIC SERVICE 4yr'!AC19+'ASptISptSSv 4yr'!AC19+'PLANT OPER MAIN 4yr'!AC19+'SCHOLAR FELLOW 4yr'!AC19+'All Other 4yr'!AC19)-AC19</f>
        <v>0</v>
      </c>
      <c r="BH19" s="74">
        <f>('Instruction-4YR'!AD19+'RESEARCH 4yr'!AD19+'PUBLIC SERVICE 4yr'!AD19+'ASptISptSSv 4yr'!AD19+'PLANT OPER MAIN 4yr'!AD19+'SCHOLAR FELLOW 4yr'!AD19+'All Other 4yr'!AD19)-AD19</f>
        <v>0</v>
      </c>
      <c r="BI19" s="74">
        <f>('Instruction-4YR'!AE19+'RESEARCH 4yr'!AE19+'PUBLIC SERVICE 4yr'!AE19+'ASptISptSSv 4yr'!AE19+'PLANT OPER MAIN 4yr'!AE19+'SCHOLAR FELLOW 4yr'!AE19+'All Other 4yr'!AE19)-AE19</f>
        <v>0</v>
      </c>
    </row>
    <row r="20" spans="1:61">
      <c r="A20" s="1" t="s">
        <v>37</v>
      </c>
      <c r="B20" s="1">
        <v>484110</v>
      </c>
      <c r="C20" s="1">
        <v>561897</v>
      </c>
      <c r="D20" s="1">
        <v>624399</v>
      </c>
      <c r="E20" s="1">
        <v>890891.07799999998</v>
      </c>
      <c r="F20" s="41">
        <v>920187.95600000001</v>
      </c>
      <c r="G20" s="1">
        <v>982759.09699999983</v>
      </c>
      <c r="H20" s="1">
        <v>1042580.4570000001</v>
      </c>
      <c r="I20" s="1">
        <v>1106193.8489999999</v>
      </c>
      <c r="J20" s="1">
        <v>1140334.294</v>
      </c>
      <c r="K20" s="1">
        <v>1226495.797</v>
      </c>
      <c r="L20" s="1">
        <v>1573713.625</v>
      </c>
      <c r="M20" s="1">
        <v>1622099.72</v>
      </c>
      <c r="N20" s="1">
        <v>1738759.5759999999</v>
      </c>
      <c r="O20" s="1">
        <v>1918692.8430000001</v>
      </c>
      <c r="P20" s="1">
        <v>1996628.186</v>
      </c>
      <c r="Q20" s="1">
        <v>2164162.165</v>
      </c>
      <c r="R20" s="1">
        <v>2326513.7680000002</v>
      </c>
      <c r="S20" s="1">
        <v>2496248.9550000001</v>
      </c>
      <c r="T20" s="1">
        <v>2728488.5789999999</v>
      </c>
      <c r="U20" s="1">
        <v>2238939.6439999999</v>
      </c>
      <c r="V20" s="1">
        <v>2827576.713</v>
      </c>
      <c r="W20" s="1">
        <v>2968147.8459999999</v>
      </c>
      <c r="X20" s="1">
        <v>3049651.4360000002</v>
      </c>
      <c r="Y20" s="1">
        <v>3244993.682</v>
      </c>
      <c r="Z20" s="1">
        <v>3381560.0920000002</v>
      </c>
      <c r="AA20" s="1">
        <v>3574005.7969999998</v>
      </c>
      <c r="AB20" s="1">
        <v>3686335.7050000001</v>
      </c>
      <c r="AC20" s="1">
        <v>3888150.727</v>
      </c>
      <c r="AE20" s="1">
        <v>4356208.0070000002</v>
      </c>
      <c r="AF20" s="74">
        <f>('Instruction-4YR'!B20+'RESEARCH 4yr'!B20+'PUBLIC SERVICE 4yr'!B20+'ASptISptSSv 4yr'!B20+'PLANT OPER MAIN 4yr'!B20+'SCHOLAR FELLOW 4yr'!B20+'All Other 4yr'!B20)-B20</f>
        <v>0</v>
      </c>
      <c r="AG20" s="74">
        <f>('Instruction-4YR'!C20+'RESEARCH 4yr'!C20+'PUBLIC SERVICE 4yr'!C20+'ASptISptSSv 4yr'!C20+'PLANT OPER MAIN 4yr'!C20+'SCHOLAR FELLOW 4yr'!C20+'All Other 4yr'!C20)-C20</f>
        <v>0</v>
      </c>
      <c r="AH20" s="74">
        <f>('Instruction-4YR'!D20+'RESEARCH 4yr'!D20+'PUBLIC SERVICE 4yr'!D20+'ASptISptSSv 4yr'!D20+'PLANT OPER MAIN 4yr'!D20+'SCHOLAR FELLOW 4yr'!D20+'All Other 4yr'!D20)-D20</f>
        <v>0</v>
      </c>
      <c r="AI20" s="74">
        <f>('Instruction-4YR'!E20+'RESEARCH 4yr'!E20+'PUBLIC SERVICE 4yr'!E20+'ASptISptSSv 4yr'!E20+'PLANT OPER MAIN 4yr'!E20+'SCHOLAR FELLOW 4yr'!E20+'All Other 4yr'!E20)-E20</f>
        <v>0</v>
      </c>
      <c r="AJ20" s="74">
        <f>('Instruction-4YR'!F20+'RESEARCH 4yr'!F20+'PUBLIC SERVICE 4yr'!F20+'ASptISptSSv 4yr'!F20+'PLANT OPER MAIN 4yr'!F20+'SCHOLAR FELLOW 4yr'!F20+'All Other 4yr'!F20)-F20</f>
        <v>0</v>
      </c>
      <c r="AK20" s="74">
        <f>('Instruction-4YR'!G20+'RESEARCH 4yr'!G20+'PUBLIC SERVICE 4yr'!G20+'ASptISptSSv 4yr'!G20+'PLANT OPER MAIN 4yr'!G20+'SCHOLAR FELLOW 4yr'!G20+'All Other 4yr'!G20)-G20</f>
        <v>0</v>
      </c>
      <c r="AL20" s="74">
        <f>('Instruction-4YR'!H20+'RESEARCH 4yr'!H20+'PUBLIC SERVICE 4yr'!H20+'ASptISptSSv 4yr'!H20+'PLANT OPER MAIN 4yr'!H20+'SCHOLAR FELLOW 4yr'!H20+'All Other 4yr'!H20)-H20</f>
        <v>0</v>
      </c>
      <c r="AM20" s="74">
        <f>('Instruction-4YR'!I20+'RESEARCH 4yr'!I20+'PUBLIC SERVICE 4yr'!I20+'ASptISptSSv 4yr'!I20+'PLANT OPER MAIN 4yr'!I20+'SCHOLAR FELLOW 4yr'!I20+'All Other 4yr'!I20)-I20</f>
        <v>0</v>
      </c>
      <c r="AN20" s="74">
        <f>('Instruction-4YR'!J20+'RESEARCH 4yr'!J20+'PUBLIC SERVICE 4yr'!J20+'ASptISptSSv 4yr'!J20+'PLANT OPER MAIN 4yr'!J20+'SCHOLAR FELLOW 4yr'!J20+'All Other 4yr'!J20)-J20</f>
        <v>0</v>
      </c>
      <c r="AO20" s="74">
        <f>('Instruction-4YR'!K20+'RESEARCH 4yr'!K20+'PUBLIC SERVICE 4yr'!K20+'ASptISptSSv 4yr'!K20+'PLANT OPER MAIN 4yr'!K20+'SCHOLAR FELLOW 4yr'!K20+'All Other 4yr'!K20)-K20</f>
        <v>0</v>
      </c>
      <c r="AP20" s="74">
        <f>('Instruction-4YR'!L20+'RESEARCH 4yr'!L20+'PUBLIC SERVICE 4yr'!L20+'ASptISptSSv 4yr'!L20+'PLANT OPER MAIN 4yr'!L20+'SCHOLAR FELLOW 4yr'!L20+'All Other 4yr'!L20)-L20</f>
        <v>0</v>
      </c>
      <c r="AQ20" s="74">
        <f>('Instruction-4YR'!M20+'RESEARCH 4yr'!M20+'PUBLIC SERVICE 4yr'!M20+'ASptISptSSv 4yr'!M20+'PLANT OPER MAIN 4yr'!M20+'SCHOLAR FELLOW 4yr'!M20+'All Other 4yr'!M20)-M20</f>
        <v>0</v>
      </c>
      <c r="AR20" s="74">
        <f>('Instruction-4YR'!N20+'RESEARCH 4yr'!N20+'PUBLIC SERVICE 4yr'!N20+'ASptISptSSv 4yr'!N20+'PLANT OPER MAIN 4yr'!N20+'SCHOLAR FELLOW 4yr'!N20+'All Other 4yr'!N20)-N20</f>
        <v>0</v>
      </c>
      <c r="AS20" s="74">
        <f>('Instruction-4YR'!O20+'RESEARCH 4yr'!O20+'PUBLIC SERVICE 4yr'!O20+'ASptISptSSv 4yr'!O20+'PLANT OPER MAIN 4yr'!O20+'SCHOLAR FELLOW 4yr'!O20+'All Other 4yr'!O20)-O20</f>
        <v>0</v>
      </c>
      <c r="AT20" s="74">
        <f>('Instruction-4YR'!P20+'RESEARCH 4yr'!P20+'PUBLIC SERVICE 4yr'!P20+'ASptISptSSv 4yr'!P20+'PLANT OPER MAIN 4yr'!P20+'SCHOLAR FELLOW 4yr'!P20+'All Other 4yr'!P20)-P20</f>
        <v>0</v>
      </c>
      <c r="AU20" s="74">
        <f>('Instruction-4YR'!Q20+'RESEARCH 4yr'!Q20+'PUBLIC SERVICE 4yr'!Q20+'ASptISptSSv 4yr'!Q20+'PLANT OPER MAIN 4yr'!Q20+'SCHOLAR FELLOW 4yr'!Q20+'All Other 4yr'!Q20)-Q20</f>
        <v>0</v>
      </c>
      <c r="AV20" s="74">
        <f>('Instruction-4YR'!R20+'RESEARCH 4yr'!R20+'PUBLIC SERVICE 4yr'!R20+'ASptISptSSv 4yr'!R20+'PLANT OPER MAIN 4yr'!R20+'SCHOLAR FELLOW 4yr'!R20+'All Other 4yr'!R20)-R20</f>
        <v>0</v>
      </c>
      <c r="AW20" s="74">
        <f>('Instruction-4YR'!S20+'RESEARCH 4yr'!S20+'PUBLIC SERVICE 4yr'!S20+'ASptISptSSv 4yr'!S20+'PLANT OPER MAIN 4yr'!S20+'SCHOLAR FELLOW 4yr'!S20+'All Other 4yr'!S20)-S20</f>
        <v>0</v>
      </c>
      <c r="AX20" s="74">
        <f>('Instruction-4YR'!T20+'RESEARCH 4yr'!T20+'PUBLIC SERVICE 4yr'!T20+'ASptISptSSv 4yr'!T20+'PLANT OPER MAIN 4yr'!T20+'SCHOLAR FELLOW 4yr'!T20+'All Other 4yr'!T20)-T20</f>
        <v>0</v>
      </c>
      <c r="AY20" s="74">
        <f>('Instruction-4YR'!U20+'RESEARCH 4yr'!U20+'PUBLIC SERVICE 4yr'!U20+'ASptISptSSv 4yr'!U20+'PLANT OPER MAIN 4yr'!U20+'SCHOLAR FELLOW 4yr'!U20+'All Other 4yr'!U20)-U20</f>
        <v>0</v>
      </c>
      <c r="AZ20" s="74">
        <f>('Instruction-4YR'!V20+'RESEARCH 4yr'!V20+'PUBLIC SERVICE 4yr'!V20+'ASptISptSSv 4yr'!V20+'PLANT OPER MAIN 4yr'!V20+'SCHOLAR FELLOW 4yr'!V20+'All Other 4yr'!V20)-V20</f>
        <v>0</v>
      </c>
      <c r="BA20" s="74">
        <f>('Instruction-4YR'!W20+'RESEARCH 4yr'!W20+'PUBLIC SERVICE 4yr'!W20+'ASptISptSSv 4yr'!W20+'PLANT OPER MAIN 4yr'!W20+'SCHOLAR FELLOW 4yr'!W20+'All Other 4yr'!W20)-W20</f>
        <v>0</v>
      </c>
      <c r="BB20" s="74">
        <f>('Instruction-4YR'!X20+'RESEARCH 4yr'!X20+'PUBLIC SERVICE 4yr'!X20+'ASptISptSSv 4yr'!X20+'PLANT OPER MAIN 4yr'!X20+'SCHOLAR FELLOW 4yr'!X20+'All Other 4yr'!X20)-X20</f>
        <v>0</v>
      </c>
      <c r="BC20" s="74">
        <f>('Instruction-4YR'!Y20+'RESEARCH 4yr'!Y20+'PUBLIC SERVICE 4yr'!Y20+'ASptISptSSv 4yr'!Y20+'PLANT OPER MAIN 4yr'!Y20+'SCHOLAR FELLOW 4yr'!Y20+'All Other 4yr'!Y20)-Y20</f>
        <v>0</v>
      </c>
      <c r="BD20" s="74">
        <f>('Instruction-4YR'!Z20+'RESEARCH 4yr'!Z20+'PUBLIC SERVICE 4yr'!Z20+'ASptISptSSv 4yr'!Z20+'PLANT OPER MAIN 4yr'!Z20+'SCHOLAR FELLOW 4yr'!Z20+'All Other 4yr'!Z20)-Z20</f>
        <v>0</v>
      </c>
      <c r="BE20" s="74">
        <f>('Instruction-4YR'!AA20+'RESEARCH 4yr'!AA20+'PUBLIC SERVICE 4yr'!AA20+'ASptISptSSv 4yr'!AA20+'PLANT OPER MAIN 4yr'!AA20+'SCHOLAR FELLOW 4yr'!AA20+'All Other 4yr'!AA20)-AA20</f>
        <v>0</v>
      </c>
      <c r="BF20" s="74">
        <f>('Instruction-4YR'!AB20+'RESEARCH 4yr'!AB20+'PUBLIC SERVICE 4yr'!AB20+'ASptISptSSv 4yr'!AB20+'PLANT OPER MAIN 4yr'!AB20+'SCHOLAR FELLOW 4yr'!AB20+'All Other 4yr'!AB20)-AB20</f>
        <v>0</v>
      </c>
      <c r="BG20" s="74">
        <f>('Instruction-4YR'!AC20+'RESEARCH 4yr'!AC20+'PUBLIC SERVICE 4yr'!AC20+'ASptISptSSv 4yr'!AC20+'PLANT OPER MAIN 4yr'!AC20+'SCHOLAR FELLOW 4yr'!AC20+'All Other 4yr'!AC20)-AC20</f>
        <v>0</v>
      </c>
      <c r="BH20" s="74">
        <f>('Instruction-4YR'!AD20+'RESEARCH 4yr'!AD20+'PUBLIC SERVICE 4yr'!AD20+'ASptISptSSv 4yr'!AD20+'PLANT OPER MAIN 4yr'!AD20+'SCHOLAR FELLOW 4yr'!AD20+'All Other 4yr'!AD20)-AD20</f>
        <v>0</v>
      </c>
      <c r="BI20" s="74">
        <f>('Instruction-4YR'!AE20+'RESEARCH 4yr'!AE20+'PUBLIC SERVICE 4yr'!AE20+'ASptISptSSv 4yr'!AE20+'PLANT OPER MAIN 4yr'!AE20+'SCHOLAR FELLOW 4yr'!AE20+'All Other 4yr'!AE20)-AE20</f>
        <v>0</v>
      </c>
    </row>
    <row r="21" spans="1:61">
      <c r="A21" s="1" t="s">
        <v>38</v>
      </c>
      <c r="B21" s="1">
        <v>558830</v>
      </c>
      <c r="C21" s="1">
        <v>640982</v>
      </c>
      <c r="D21" s="1">
        <v>743324</v>
      </c>
      <c r="E21" s="1">
        <v>1068740.041</v>
      </c>
      <c r="F21" s="41">
        <v>1060233.3319999999</v>
      </c>
      <c r="G21" s="1">
        <v>1178551.2820000001</v>
      </c>
      <c r="H21" s="1">
        <v>1280435.5530000001</v>
      </c>
      <c r="I21" s="1">
        <v>1325479.7309999999</v>
      </c>
      <c r="J21" s="1">
        <v>1399783.97</v>
      </c>
      <c r="K21" s="1">
        <v>1448146.6161200001</v>
      </c>
      <c r="L21" s="1">
        <v>1671221.4240000001</v>
      </c>
      <c r="M21" s="1">
        <v>1810085.9069999999</v>
      </c>
      <c r="N21" s="1">
        <v>2047434.2520000001</v>
      </c>
      <c r="O21" s="1">
        <v>2142281.2149999999</v>
      </c>
      <c r="P21" s="1">
        <v>2267547.6510000001</v>
      </c>
      <c r="Q21" s="1">
        <v>2472529.341</v>
      </c>
      <c r="R21" s="1">
        <v>2585231.6680000001</v>
      </c>
      <c r="S21" s="1">
        <v>2741478.085</v>
      </c>
      <c r="T21" s="1">
        <v>2962711.6490000002</v>
      </c>
      <c r="U21" s="1">
        <v>3052560.1189999999</v>
      </c>
      <c r="V21" s="1">
        <v>3137308.6069999998</v>
      </c>
      <c r="W21" s="1">
        <v>3331778.9479999999</v>
      </c>
      <c r="X21" s="1">
        <v>3508516.9109999998</v>
      </c>
      <c r="Y21" s="1">
        <v>3521604.45</v>
      </c>
      <c r="Z21" s="1">
        <v>3678648.2140000002</v>
      </c>
      <c r="AA21" s="1">
        <v>3653427.9369999999</v>
      </c>
      <c r="AB21" s="1">
        <v>3746634.62</v>
      </c>
      <c r="AC21" s="1">
        <v>3914691.4169999999</v>
      </c>
      <c r="AE21" s="1">
        <v>4189103.5610000002</v>
      </c>
      <c r="AF21" s="74">
        <f>('Instruction-4YR'!B21+'RESEARCH 4yr'!B21+'PUBLIC SERVICE 4yr'!B21+'ASptISptSSv 4yr'!B21+'PLANT OPER MAIN 4yr'!B21+'SCHOLAR FELLOW 4yr'!B21+'All Other 4yr'!B21)-B21</f>
        <v>0</v>
      </c>
      <c r="AG21" s="74">
        <f>('Instruction-4YR'!C21+'RESEARCH 4yr'!C21+'PUBLIC SERVICE 4yr'!C21+'ASptISptSSv 4yr'!C21+'PLANT OPER MAIN 4yr'!C21+'SCHOLAR FELLOW 4yr'!C21+'All Other 4yr'!C21)-C21</f>
        <v>0</v>
      </c>
      <c r="AH21" s="74">
        <f>('Instruction-4YR'!D21+'RESEARCH 4yr'!D21+'PUBLIC SERVICE 4yr'!D21+'ASptISptSSv 4yr'!D21+'PLANT OPER MAIN 4yr'!D21+'SCHOLAR FELLOW 4yr'!D21+'All Other 4yr'!D21)-D21</f>
        <v>0</v>
      </c>
      <c r="AI21" s="74">
        <f>('Instruction-4YR'!E21+'RESEARCH 4yr'!E21+'PUBLIC SERVICE 4yr'!E21+'ASptISptSSv 4yr'!E21+'PLANT OPER MAIN 4yr'!E21+'SCHOLAR FELLOW 4yr'!E21+'All Other 4yr'!E21)-E21</f>
        <v>0</v>
      </c>
      <c r="AJ21" s="74">
        <f>('Instruction-4YR'!F21+'RESEARCH 4yr'!F21+'PUBLIC SERVICE 4yr'!F21+'ASptISptSSv 4yr'!F21+'PLANT OPER MAIN 4yr'!F21+'SCHOLAR FELLOW 4yr'!F21+'All Other 4yr'!F21)-F21</f>
        <v>0</v>
      </c>
      <c r="AK21" s="74">
        <f>('Instruction-4YR'!G21+'RESEARCH 4yr'!G21+'PUBLIC SERVICE 4yr'!G21+'ASptISptSSv 4yr'!G21+'PLANT OPER MAIN 4yr'!G21+'SCHOLAR FELLOW 4yr'!G21+'All Other 4yr'!G21)-G21</f>
        <v>0</v>
      </c>
      <c r="AL21" s="74">
        <f>('Instruction-4YR'!H21+'RESEARCH 4yr'!H21+'PUBLIC SERVICE 4yr'!H21+'ASptISptSSv 4yr'!H21+'PLANT OPER MAIN 4yr'!H21+'SCHOLAR FELLOW 4yr'!H21+'All Other 4yr'!H21)-H21</f>
        <v>0</v>
      </c>
      <c r="AM21" s="74">
        <f>('Instruction-4YR'!I21+'RESEARCH 4yr'!I21+'PUBLIC SERVICE 4yr'!I21+'ASptISptSSv 4yr'!I21+'PLANT OPER MAIN 4yr'!I21+'SCHOLAR FELLOW 4yr'!I21+'All Other 4yr'!I21)-I21</f>
        <v>0</v>
      </c>
      <c r="AN21" s="74">
        <f>('Instruction-4YR'!J21+'RESEARCH 4yr'!J21+'PUBLIC SERVICE 4yr'!J21+'ASptISptSSv 4yr'!J21+'PLANT OPER MAIN 4yr'!J21+'SCHOLAR FELLOW 4yr'!J21+'All Other 4yr'!J21)-J21</f>
        <v>0</v>
      </c>
      <c r="AO21" s="74">
        <f>('Instruction-4YR'!K21+'RESEARCH 4yr'!K21+'PUBLIC SERVICE 4yr'!K21+'ASptISptSSv 4yr'!K21+'PLANT OPER MAIN 4yr'!K21+'SCHOLAR FELLOW 4yr'!K21+'All Other 4yr'!K21)-K21</f>
        <v>0</v>
      </c>
      <c r="AP21" s="74">
        <f>('Instruction-4YR'!L21+'RESEARCH 4yr'!L21+'PUBLIC SERVICE 4yr'!L21+'ASptISptSSv 4yr'!L21+'PLANT OPER MAIN 4yr'!L21+'SCHOLAR FELLOW 4yr'!L21+'All Other 4yr'!L21)-L21</f>
        <v>0</v>
      </c>
      <c r="AQ21" s="74">
        <f>('Instruction-4YR'!M21+'RESEARCH 4yr'!M21+'PUBLIC SERVICE 4yr'!M21+'ASptISptSSv 4yr'!M21+'PLANT OPER MAIN 4yr'!M21+'SCHOLAR FELLOW 4yr'!M21+'All Other 4yr'!M21)-M21</f>
        <v>0</v>
      </c>
      <c r="AR21" s="74">
        <f>('Instruction-4YR'!N21+'RESEARCH 4yr'!N21+'PUBLIC SERVICE 4yr'!N21+'ASptISptSSv 4yr'!N21+'PLANT OPER MAIN 4yr'!N21+'SCHOLAR FELLOW 4yr'!N21+'All Other 4yr'!N21)-N21</f>
        <v>0</v>
      </c>
      <c r="AS21" s="74">
        <f>('Instruction-4YR'!O21+'RESEARCH 4yr'!O21+'PUBLIC SERVICE 4yr'!O21+'ASptISptSSv 4yr'!O21+'PLANT OPER MAIN 4yr'!O21+'SCHOLAR FELLOW 4yr'!O21+'All Other 4yr'!O21)-O21</f>
        <v>0</v>
      </c>
      <c r="AT21" s="74">
        <f>('Instruction-4YR'!P21+'RESEARCH 4yr'!P21+'PUBLIC SERVICE 4yr'!P21+'ASptISptSSv 4yr'!P21+'PLANT OPER MAIN 4yr'!P21+'SCHOLAR FELLOW 4yr'!P21+'All Other 4yr'!P21)-P21</f>
        <v>0</v>
      </c>
      <c r="AU21" s="74">
        <f>('Instruction-4YR'!Q21+'RESEARCH 4yr'!Q21+'PUBLIC SERVICE 4yr'!Q21+'ASptISptSSv 4yr'!Q21+'PLANT OPER MAIN 4yr'!Q21+'SCHOLAR FELLOW 4yr'!Q21+'All Other 4yr'!Q21)-Q21</f>
        <v>0</v>
      </c>
      <c r="AV21" s="74">
        <f>('Instruction-4YR'!R21+'RESEARCH 4yr'!R21+'PUBLIC SERVICE 4yr'!R21+'ASptISptSSv 4yr'!R21+'PLANT OPER MAIN 4yr'!R21+'SCHOLAR FELLOW 4yr'!R21+'All Other 4yr'!R21)-R21</f>
        <v>0</v>
      </c>
      <c r="AW21" s="74">
        <f>('Instruction-4YR'!S21+'RESEARCH 4yr'!S21+'PUBLIC SERVICE 4yr'!S21+'ASptISptSSv 4yr'!S21+'PLANT OPER MAIN 4yr'!S21+'SCHOLAR FELLOW 4yr'!S21+'All Other 4yr'!S21)-S21</f>
        <v>0</v>
      </c>
      <c r="AX21" s="74">
        <f>('Instruction-4YR'!T21+'RESEARCH 4yr'!T21+'PUBLIC SERVICE 4yr'!T21+'ASptISptSSv 4yr'!T21+'PLANT OPER MAIN 4yr'!T21+'SCHOLAR FELLOW 4yr'!T21+'All Other 4yr'!T21)-T21</f>
        <v>0</v>
      </c>
      <c r="AY21" s="74">
        <f>('Instruction-4YR'!U21+'RESEARCH 4yr'!U21+'PUBLIC SERVICE 4yr'!U21+'ASptISptSSv 4yr'!U21+'PLANT OPER MAIN 4yr'!U21+'SCHOLAR FELLOW 4yr'!U21+'All Other 4yr'!U21)-U21</f>
        <v>0</v>
      </c>
      <c r="AZ21" s="74">
        <f>('Instruction-4YR'!V21+'RESEARCH 4yr'!V21+'PUBLIC SERVICE 4yr'!V21+'ASptISptSSv 4yr'!V21+'PLANT OPER MAIN 4yr'!V21+'SCHOLAR FELLOW 4yr'!V21+'All Other 4yr'!V21)-V21</f>
        <v>0</v>
      </c>
      <c r="BA21" s="74">
        <f>('Instruction-4YR'!W21+'RESEARCH 4yr'!W21+'PUBLIC SERVICE 4yr'!W21+'ASptISptSSv 4yr'!W21+'PLANT OPER MAIN 4yr'!W21+'SCHOLAR FELLOW 4yr'!W21+'All Other 4yr'!W21)-W21</f>
        <v>0</v>
      </c>
      <c r="BB21" s="74">
        <f>('Instruction-4YR'!X21+'RESEARCH 4yr'!X21+'PUBLIC SERVICE 4yr'!X21+'ASptISptSSv 4yr'!X21+'PLANT OPER MAIN 4yr'!X21+'SCHOLAR FELLOW 4yr'!X21+'All Other 4yr'!X21)-X21</f>
        <v>0</v>
      </c>
      <c r="BC21" s="74">
        <f>('Instruction-4YR'!Y21+'RESEARCH 4yr'!Y21+'PUBLIC SERVICE 4yr'!Y21+'ASptISptSSv 4yr'!Y21+'PLANT OPER MAIN 4yr'!Y21+'SCHOLAR FELLOW 4yr'!Y21+'All Other 4yr'!Y21)-Y21</f>
        <v>0</v>
      </c>
      <c r="BD21" s="74">
        <f>('Instruction-4YR'!Z21+'RESEARCH 4yr'!Z21+'PUBLIC SERVICE 4yr'!Z21+'ASptISptSSv 4yr'!Z21+'PLANT OPER MAIN 4yr'!Z21+'SCHOLAR FELLOW 4yr'!Z21+'All Other 4yr'!Z21)-Z21</f>
        <v>0</v>
      </c>
      <c r="BE21" s="74">
        <f>('Instruction-4YR'!AA21+'RESEARCH 4yr'!AA21+'PUBLIC SERVICE 4yr'!AA21+'ASptISptSSv 4yr'!AA21+'PLANT OPER MAIN 4yr'!AA21+'SCHOLAR FELLOW 4yr'!AA21+'All Other 4yr'!AA21)-AA21</f>
        <v>0</v>
      </c>
      <c r="BF21" s="74">
        <f>('Instruction-4YR'!AB21+'RESEARCH 4yr'!AB21+'PUBLIC SERVICE 4yr'!AB21+'ASptISptSSv 4yr'!AB21+'PLANT OPER MAIN 4yr'!AB21+'SCHOLAR FELLOW 4yr'!AB21+'All Other 4yr'!AB21)-AB21</f>
        <v>0</v>
      </c>
      <c r="BG21" s="74">
        <f>('Instruction-4YR'!AC21+'RESEARCH 4yr'!AC21+'PUBLIC SERVICE 4yr'!AC21+'ASptISptSSv 4yr'!AC21+'PLANT OPER MAIN 4yr'!AC21+'SCHOLAR FELLOW 4yr'!AC21+'All Other 4yr'!AC21)-AC21</f>
        <v>0</v>
      </c>
      <c r="BH21" s="74">
        <f>('Instruction-4YR'!AD21+'RESEARCH 4yr'!AD21+'PUBLIC SERVICE 4yr'!AD21+'ASptISptSSv 4yr'!AD21+'PLANT OPER MAIN 4yr'!AD21+'SCHOLAR FELLOW 4yr'!AD21+'All Other 4yr'!AD21)-AD21</f>
        <v>0</v>
      </c>
      <c r="BI21" s="74">
        <f>('Instruction-4YR'!AE21+'RESEARCH 4yr'!AE21+'PUBLIC SERVICE 4yr'!AE21+'ASptISptSSv 4yr'!AE21+'PLANT OPER MAIN 4yr'!AE21+'SCHOLAR FELLOW 4yr'!AE21+'All Other 4yr'!AE21)-AE21</f>
        <v>0</v>
      </c>
    </row>
    <row r="22" spans="1:61">
      <c r="A22" s="1" t="s">
        <v>39</v>
      </c>
      <c r="B22" s="1">
        <v>2547449</v>
      </c>
      <c r="C22" s="1">
        <v>2688477</v>
      </c>
      <c r="D22" s="1">
        <v>2936282</v>
      </c>
      <c r="E22" s="1">
        <v>4204855.67</v>
      </c>
      <c r="F22" s="41">
        <v>4523647.5889999997</v>
      </c>
      <c r="G22" s="1">
        <v>4944869.1469999989</v>
      </c>
      <c r="H22" s="1">
        <v>5212441.84</v>
      </c>
      <c r="I22" s="1">
        <v>5394870.6220000004</v>
      </c>
      <c r="J22" s="1">
        <v>6022033.7189999996</v>
      </c>
      <c r="K22" s="1">
        <v>6360767.0250000004</v>
      </c>
      <c r="L22" s="1">
        <v>7452823.6579999998</v>
      </c>
      <c r="M22" s="1">
        <v>8355822.2019999996</v>
      </c>
      <c r="N22" s="1">
        <v>9989120.8310000002</v>
      </c>
      <c r="O22" s="1">
        <v>10319686.097999999</v>
      </c>
      <c r="P22" s="1">
        <v>11122615.182</v>
      </c>
      <c r="Q22" s="1">
        <v>12065286.507999999</v>
      </c>
      <c r="R22" s="1">
        <v>11820517.748</v>
      </c>
      <c r="S22" s="1">
        <v>12627990.726</v>
      </c>
      <c r="T22" s="1">
        <v>13831947.595000001</v>
      </c>
      <c r="U22" s="1">
        <v>10465698.163000001</v>
      </c>
      <c r="V22" s="1">
        <v>15201780.804</v>
      </c>
      <c r="W22" s="1">
        <v>16187257.799000001</v>
      </c>
      <c r="X22" s="1">
        <v>16053918.252</v>
      </c>
      <c r="Y22" s="1">
        <v>12682297.187999999</v>
      </c>
      <c r="Z22" s="1">
        <v>13324918.356000001</v>
      </c>
      <c r="AA22" s="1">
        <v>14154507.751</v>
      </c>
      <c r="AB22" s="1">
        <v>20191791.131000001</v>
      </c>
      <c r="AC22" s="1">
        <v>21253652.738000002</v>
      </c>
      <c r="AE22" s="1">
        <v>23455136.146000002</v>
      </c>
      <c r="AF22" s="74">
        <f>('Instruction-4YR'!B22+'RESEARCH 4yr'!B22+'PUBLIC SERVICE 4yr'!B22+'ASptISptSSv 4yr'!B22+'PLANT OPER MAIN 4yr'!B22+'SCHOLAR FELLOW 4yr'!B22+'All Other 4yr'!B22)-B22</f>
        <v>0</v>
      </c>
      <c r="AG22" s="74">
        <f>('Instruction-4YR'!C22+'RESEARCH 4yr'!C22+'PUBLIC SERVICE 4yr'!C22+'ASptISptSSv 4yr'!C22+'PLANT OPER MAIN 4yr'!C22+'SCHOLAR FELLOW 4yr'!C22+'All Other 4yr'!C22)-C22</f>
        <v>0</v>
      </c>
      <c r="AH22" s="74">
        <f>('Instruction-4YR'!D22+'RESEARCH 4yr'!D22+'PUBLIC SERVICE 4yr'!D22+'ASptISptSSv 4yr'!D22+'PLANT OPER MAIN 4yr'!D22+'SCHOLAR FELLOW 4yr'!D22+'All Other 4yr'!D22)-D22</f>
        <v>0</v>
      </c>
      <c r="AI22" s="74">
        <f>('Instruction-4YR'!E22+'RESEARCH 4yr'!E22+'PUBLIC SERVICE 4yr'!E22+'ASptISptSSv 4yr'!E22+'PLANT OPER MAIN 4yr'!E22+'SCHOLAR FELLOW 4yr'!E22+'All Other 4yr'!E22)-E22</f>
        <v>0</v>
      </c>
      <c r="AJ22" s="74">
        <f>('Instruction-4YR'!F22+'RESEARCH 4yr'!F22+'PUBLIC SERVICE 4yr'!F22+'ASptISptSSv 4yr'!F22+'PLANT OPER MAIN 4yr'!F22+'SCHOLAR FELLOW 4yr'!F22+'All Other 4yr'!F22)-F22</f>
        <v>0</v>
      </c>
      <c r="AK22" s="74">
        <f>('Instruction-4YR'!G22+'RESEARCH 4yr'!G22+'PUBLIC SERVICE 4yr'!G22+'ASptISptSSv 4yr'!G22+'PLANT OPER MAIN 4yr'!G22+'SCHOLAR FELLOW 4yr'!G22+'All Other 4yr'!G22)-G22</f>
        <v>0</v>
      </c>
      <c r="AL22" s="74">
        <f>('Instruction-4YR'!H22+'RESEARCH 4yr'!H22+'PUBLIC SERVICE 4yr'!H22+'ASptISptSSv 4yr'!H22+'PLANT OPER MAIN 4yr'!H22+'SCHOLAR FELLOW 4yr'!H22+'All Other 4yr'!H22)-H22</f>
        <v>0</v>
      </c>
      <c r="AM22" s="74">
        <f>('Instruction-4YR'!I22+'RESEARCH 4yr'!I22+'PUBLIC SERVICE 4yr'!I22+'ASptISptSSv 4yr'!I22+'PLANT OPER MAIN 4yr'!I22+'SCHOLAR FELLOW 4yr'!I22+'All Other 4yr'!I22)-I22</f>
        <v>0</v>
      </c>
      <c r="AN22" s="74">
        <f>('Instruction-4YR'!J22+'RESEARCH 4yr'!J22+'PUBLIC SERVICE 4yr'!J22+'ASptISptSSv 4yr'!J22+'PLANT OPER MAIN 4yr'!J22+'SCHOLAR FELLOW 4yr'!J22+'All Other 4yr'!J22)-J22</f>
        <v>0</v>
      </c>
      <c r="AO22" s="74">
        <f>('Instruction-4YR'!K22+'RESEARCH 4yr'!K22+'PUBLIC SERVICE 4yr'!K22+'ASptISptSSv 4yr'!K22+'PLANT OPER MAIN 4yr'!K22+'SCHOLAR FELLOW 4yr'!K22+'All Other 4yr'!K22)-K22</f>
        <v>0</v>
      </c>
      <c r="AP22" s="74">
        <f>('Instruction-4YR'!L22+'RESEARCH 4yr'!L22+'PUBLIC SERVICE 4yr'!L22+'ASptISptSSv 4yr'!L22+'PLANT OPER MAIN 4yr'!L22+'SCHOLAR FELLOW 4yr'!L22+'All Other 4yr'!L22)-L22</f>
        <v>0</v>
      </c>
      <c r="AQ22" s="74">
        <f>('Instruction-4YR'!M22+'RESEARCH 4yr'!M22+'PUBLIC SERVICE 4yr'!M22+'ASptISptSSv 4yr'!M22+'PLANT OPER MAIN 4yr'!M22+'SCHOLAR FELLOW 4yr'!M22+'All Other 4yr'!M22)-M22</f>
        <v>0</v>
      </c>
      <c r="AR22" s="74">
        <f>('Instruction-4YR'!N22+'RESEARCH 4yr'!N22+'PUBLIC SERVICE 4yr'!N22+'ASptISptSSv 4yr'!N22+'PLANT OPER MAIN 4yr'!N22+'SCHOLAR FELLOW 4yr'!N22+'All Other 4yr'!N22)-N22</f>
        <v>0</v>
      </c>
      <c r="AS22" s="74">
        <f>('Instruction-4YR'!O22+'RESEARCH 4yr'!O22+'PUBLIC SERVICE 4yr'!O22+'ASptISptSSv 4yr'!O22+'PLANT OPER MAIN 4yr'!O22+'SCHOLAR FELLOW 4yr'!O22+'All Other 4yr'!O22)-O22</f>
        <v>0</v>
      </c>
      <c r="AT22" s="74">
        <f>('Instruction-4YR'!P22+'RESEARCH 4yr'!P22+'PUBLIC SERVICE 4yr'!P22+'ASptISptSSv 4yr'!P22+'PLANT OPER MAIN 4yr'!P22+'SCHOLAR FELLOW 4yr'!P22+'All Other 4yr'!P22)-P22</f>
        <v>0</v>
      </c>
      <c r="AU22" s="74">
        <f>('Instruction-4YR'!Q22+'RESEARCH 4yr'!Q22+'PUBLIC SERVICE 4yr'!Q22+'ASptISptSSv 4yr'!Q22+'PLANT OPER MAIN 4yr'!Q22+'SCHOLAR FELLOW 4yr'!Q22+'All Other 4yr'!Q22)-Q22</f>
        <v>0</v>
      </c>
      <c r="AV22" s="74">
        <f>('Instruction-4YR'!R22+'RESEARCH 4yr'!R22+'PUBLIC SERVICE 4yr'!R22+'ASptISptSSv 4yr'!R22+'PLANT OPER MAIN 4yr'!R22+'SCHOLAR FELLOW 4yr'!R22+'All Other 4yr'!R22)-R22</f>
        <v>0</v>
      </c>
      <c r="AW22" s="74">
        <f>('Instruction-4YR'!S22+'RESEARCH 4yr'!S22+'PUBLIC SERVICE 4yr'!S22+'ASptISptSSv 4yr'!S22+'PLANT OPER MAIN 4yr'!S22+'SCHOLAR FELLOW 4yr'!S22+'All Other 4yr'!S22)-S22</f>
        <v>0</v>
      </c>
      <c r="AX22" s="74">
        <f>('Instruction-4YR'!T22+'RESEARCH 4yr'!T22+'PUBLIC SERVICE 4yr'!T22+'ASptISptSSv 4yr'!T22+'PLANT OPER MAIN 4yr'!T22+'SCHOLAR FELLOW 4yr'!T22+'All Other 4yr'!T22)-T22</f>
        <v>0</v>
      </c>
      <c r="AY22" s="74">
        <f>('Instruction-4YR'!U22+'RESEARCH 4yr'!U22+'PUBLIC SERVICE 4yr'!U22+'ASptISptSSv 4yr'!U22+'PLANT OPER MAIN 4yr'!U22+'SCHOLAR FELLOW 4yr'!U22+'All Other 4yr'!U22)-U22</f>
        <v>0</v>
      </c>
      <c r="AZ22" s="74">
        <f>('Instruction-4YR'!V22+'RESEARCH 4yr'!V22+'PUBLIC SERVICE 4yr'!V22+'ASptISptSSv 4yr'!V22+'PLANT OPER MAIN 4yr'!V22+'SCHOLAR FELLOW 4yr'!V22+'All Other 4yr'!V22)-V22</f>
        <v>0</v>
      </c>
      <c r="BA22" s="74">
        <f>('Instruction-4YR'!W22+'RESEARCH 4yr'!W22+'PUBLIC SERVICE 4yr'!W22+'ASptISptSSv 4yr'!W22+'PLANT OPER MAIN 4yr'!W22+'SCHOLAR FELLOW 4yr'!W22+'All Other 4yr'!W22)-W22</f>
        <v>0</v>
      </c>
      <c r="BB22" s="74">
        <f>('Instruction-4YR'!X22+'RESEARCH 4yr'!X22+'PUBLIC SERVICE 4yr'!X22+'ASptISptSSv 4yr'!X22+'PLANT OPER MAIN 4yr'!X22+'SCHOLAR FELLOW 4yr'!X22+'All Other 4yr'!X22)-X22</f>
        <v>0</v>
      </c>
      <c r="BC22" s="74">
        <f>('Instruction-4YR'!Y22+'RESEARCH 4yr'!Y22+'PUBLIC SERVICE 4yr'!Y22+'ASptISptSSv 4yr'!Y22+'PLANT OPER MAIN 4yr'!Y22+'SCHOLAR FELLOW 4yr'!Y22+'All Other 4yr'!Y22)-Y22</f>
        <v>0</v>
      </c>
      <c r="BD22" s="74">
        <f>('Instruction-4YR'!Z22+'RESEARCH 4yr'!Z22+'PUBLIC SERVICE 4yr'!Z22+'ASptISptSSv 4yr'!Z22+'PLANT OPER MAIN 4yr'!Z22+'SCHOLAR FELLOW 4yr'!Z22+'All Other 4yr'!Z22)-Z22</f>
        <v>0</v>
      </c>
      <c r="BE22" s="74">
        <f>('Instruction-4YR'!AA22+'RESEARCH 4yr'!AA22+'PUBLIC SERVICE 4yr'!AA22+'ASptISptSSv 4yr'!AA22+'PLANT OPER MAIN 4yr'!AA22+'SCHOLAR FELLOW 4yr'!AA22+'All Other 4yr'!AA22)-AA22</f>
        <v>0</v>
      </c>
      <c r="BF22" s="74">
        <f>('Instruction-4YR'!AB22+'RESEARCH 4yr'!AB22+'PUBLIC SERVICE 4yr'!AB22+'ASptISptSSv 4yr'!AB22+'PLANT OPER MAIN 4yr'!AB22+'SCHOLAR FELLOW 4yr'!AB22+'All Other 4yr'!AB22)-AB22</f>
        <v>0</v>
      </c>
      <c r="BG22" s="74">
        <f>('Instruction-4YR'!AC22+'RESEARCH 4yr'!AC22+'PUBLIC SERVICE 4yr'!AC22+'ASptISptSSv 4yr'!AC22+'PLANT OPER MAIN 4yr'!AC22+'SCHOLAR FELLOW 4yr'!AC22+'All Other 4yr'!AC22)-AC22</f>
        <v>0</v>
      </c>
      <c r="BH22" s="74">
        <f>('Instruction-4YR'!AD22+'RESEARCH 4yr'!AD22+'PUBLIC SERVICE 4yr'!AD22+'ASptISptSSv 4yr'!AD22+'PLANT OPER MAIN 4yr'!AD22+'SCHOLAR FELLOW 4yr'!AD22+'All Other 4yr'!AD22)-AD22</f>
        <v>0</v>
      </c>
      <c r="BI22" s="74">
        <f>('Instruction-4YR'!AE22+'RESEARCH 4yr'!AE22+'PUBLIC SERVICE 4yr'!AE22+'ASptISptSSv 4yr'!AE22+'PLANT OPER MAIN 4yr'!AE22+'SCHOLAR FELLOW 4yr'!AE22+'All Other 4yr'!AE22)-AE22</f>
        <v>0</v>
      </c>
    </row>
    <row r="23" spans="1:61">
      <c r="A23" s="1" t="s">
        <v>40</v>
      </c>
      <c r="B23" s="1">
        <v>836699</v>
      </c>
      <c r="C23" s="1">
        <v>968032</v>
      </c>
      <c r="D23" s="1">
        <v>1062500</v>
      </c>
      <c r="E23" s="1">
        <v>1632493.2009999999</v>
      </c>
      <c r="F23" s="41">
        <v>1644968.798</v>
      </c>
      <c r="G23" s="1">
        <v>1737164.1160000002</v>
      </c>
      <c r="H23" s="1">
        <v>1829738.5530000001</v>
      </c>
      <c r="I23" s="1">
        <v>1960739.2849999999</v>
      </c>
      <c r="J23" s="1">
        <v>1987380.2590000001</v>
      </c>
      <c r="K23" s="1">
        <v>2171465.6880000001</v>
      </c>
      <c r="L23" s="1">
        <v>2596929.8309999998</v>
      </c>
      <c r="M23" s="1">
        <v>2786642.946</v>
      </c>
      <c r="N23" s="1">
        <v>3173724.3</v>
      </c>
      <c r="O23" s="1">
        <v>3210967.48</v>
      </c>
      <c r="P23" s="1">
        <v>3355308.6669999999</v>
      </c>
      <c r="Q23" s="1">
        <v>3660073.1349999998</v>
      </c>
      <c r="R23" s="1">
        <v>3912325.0060000001</v>
      </c>
      <c r="S23" s="1">
        <v>4239462.1260000002</v>
      </c>
      <c r="T23" s="1">
        <v>4656856.22</v>
      </c>
      <c r="U23" s="1">
        <v>4851634.68</v>
      </c>
      <c r="V23" s="1">
        <v>4747404.3550000004</v>
      </c>
      <c r="W23" s="1">
        <v>4964750.17</v>
      </c>
      <c r="X23" s="1">
        <v>5190823.9740000004</v>
      </c>
      <c r="Y23" s="1">
        <v>5444671.9890000001</v>
      </c>
      <c r="Z23" s="1">
        <v>5660193.4050000003</v>
      </c>
      <c r="AA23" s="1">
        <v>5903318.6059999997</v>
      </c>
      <c r="AB23" s="1">
        <v>6224322.165</v>
      </c>
      <c r="AC23" s="1">
        <v>6604684.909</v>
      </c>
      <c r="AE23" s="1">
        <v>7274736.9239999996</v>
      </c>
      <c r="AF23" s="74">
        <f>('Instruction-4YR'!B23+'RESEARCH 4yr'!B23+'PUBLIC SERVICE 4yr'!B23+'ASptISptSSv 4yr'!B23+'PLANT OPER MAIN 4yr'!B23+'SCHOLAR FELLOW 4yr'!B23+'All Other 4yr'!B23)-B23</f>
        <v>0</v>
      </c>
      <c r="AG23" s="74">
        <f>('Instruction-4YR'!C23+'RESEARCH 4yr'!C23+'PUBLIC SERVICE 4yr'!C23+'ASptISptSSv 4yr'!C23+'PLANT OPER MAIN 4yr'!C23+'SCHOLAR FELLOW 4yr'!C23+'All Other 4yr'!C23)-C23</f>
        <v>0</v>
      </c>
      <c r="AH23" s="74">
        <f>('Instruction-4YR'!D23+'RESEARCH 4yr'!D23+'PUBLIC SERVICE 4yr'!D23+'ASptISptSSv 4yr'!D23+'PLANT OPER MAIN 4yr'!D23+'SCHOLAR FELLOW 4yr'!D23+'All Other 4yr'!D23)-D23</f>
        <v>0</v>
      </c>
      <c r="AI23" s="74">
        <f>('Instruction-4YR'!E23+'RESEARCH 4yr'!E23+'PUBLIC SERVICE 4yr'!E23+'ASptISptSSv 4yr'!E23+'PLANT OPER MAIN 4yr'!E23+'SCHOLAR FELLOW 4yr'!E23+'All Other 4yr'!E23)-E23</f>
        <v>0</v>
      </c>
      <c r="AJ23" s="74">
        <f>('Instruction-4YR'!F23+'RESEARCH 4yr'!F23+'PUBLIC SERVICE 4yr'!F23+'ASptISptSSv 4yr'!F23+'PLANT OPER MAIN 4yr'!F23+'SCHOLAR FELLOW 4yr'!F23+'All Other 4yr'!F23)-F23</f>
        <v>0</v>
      </c>
      <c r="AK23" s="74">
        <f>('Instruction-4YR'!G23+'RESEARCH 4yr'!G23+'PUBLIC SERVICE 4yr'!G23+'ASptISptSSv 4yr'!G23+'PLANT OPER MAIN 4yr'!G23+'SCHOLAR FELLOW 4yr'!G23+'All Other 4yr'!G23)-G23</f>
        <v>0</v>
      </c>
      <c r="AL23" s="74">
        <f>('Instruction-4YR'!H23+'RESEARCH 4yr'!H23+'PUBLIC SERVICE 4yr'!H23+'ASptISptSSv 4yr'!H23+'PLANT OPER MAIN 4yr'!H23+'SCHOLAR FELLOW 4yr'!H23+'All Other 4yr'!H23)-H23</f>
        <v>0</v>
      </c>
      <c r="AM23" s="74">
        <f>('Instruction-4YR'!I23+'RESEARCH 4yr'!I23+'PUBLIC SERVICE 4yr'!I23+'ASptISptSSv 4yr'!I23+'PLANT OPER MAIN 4yr'!I23+'SCHOLAR FELLOW 4yr'!I23+'All Other 4yr'!I23)-I23</f>
        <v>0</v>
      </c>
      <c r="AN23" s="74">
        <f>('Instruction-4YR'!J23+'RESEARCH 4yr'!J23+'PUBLIC SERVICE 4yr'!J23+'ASptISptSSv 4yr'!J23+'PLANT OPER MAIN 4yr'!J23+'SCHOLAR FELLOW 4yr'!J23+'All Other 4yr'!J23)-J23</f>
        <v>0</v>
      </c>
      <c r="AO23" s="74">
        <f>('Instruction-4YR'!K23+'RESEARCH 4yr'!K23+'PUBLIC SERVICE 4yr'!K23+'ASptISptSSv 4yr'!K23+'PLANT OPER MAIN 4yr'!K23+'SCHOLAR FELLOW 4yr'!K23+'All Other 4yr'!K23)-K23</f>
        <v>0</v>
      </c>
      <c r="AP23" s="74">
        <f>('Instruction-4YR'!L23+'RESEARCH 4yr'!L23+'PUBLIC SERVICE 4yr'!L23+'ASptISptSSv 4yr'!L23+'PLANT OPER MAIN 4yr'!L23+'SCHOLAR FELLOW 4yr'!L23+'All Other 4yr'!L23)-L23</f>
        <v>0</v>
      </c>
      <c r="AQ23" s="74">
        <f>('Instruction-4YR'!M23+'RESEARCH 4yr'!M23+'PUBLIC SERVICE 4yr'!M23+'ASptISptSSv 4yr'!M23+'PLANT OPER MAIN 4yr'!M23+'SCHOLAR FELLOW 4yr'!M23+'All Other 4yr'!M23)-M23</f>
        <v>0</v>
      </c>
      <c r="AR23" s="74">
        <f>('Instruction-4YR'!N23+'RESEARCH 4yr'!N23+'PUBLIC SERVICE 4yr'!N23+'ASptISptSSv 4yr'!N23+'PLANT OPER MAIN 4yr'!N23+'SCHOLAR FELLOW 4yr'!N23+'All Other 4yr'!N23)-N23</f>
        <v>0</v>
      </c>
      <c r="AS23" s="74">
        <f>('Instruction-4YR'!O23+'RESEARCH 4yr'!O23+'PUBLIC SERVICE 4yr'!O23+'ASptISptSSv 4yr'!O23+'PLANT OPER MAIN 4yr'!O23+'SCHOLAR FELLOW 4yr'!O23+'All Other 4yr'!O23)-O23</f>
        <v>0</v>
      </c>
      <c r="AT23" s="74">
        <f>('Instruction-4YR'!P23+'RESEARCH 4yr'!P23+'PUBLIC SERVICE 4yr'!P23+'ASptISptSSv 4yr'!P23+'PLANT OPER MAIN 4yr'!P23+'SCHOLAR FELLOW 4yr'!P23+'All Other 4yr'!P23)-P23</f>
        <v>0</v>
      </c>
      <c r="AU23" s="74">
        <f>('Instruction-4YR'!Q23+'RESEARCH 4yr'!Q23+'PUBLIC SERVICE 4yr'!Q23+'ASptISptSSv 4yr'!Q23+'PLANT OPER MAIN 4yr'!Q23+'SCHOLAR FELLOW 4yr'!Q23+'All Other 4yr'!Q23)-Q23</f>
        <v>0</v>
      </c>
      <c r="AV23" s="74">
        <f>('Instruction-4YR'!R23+'RESEARCH 4yr'!R23+'PUBLIC SERVICE 4yr'!R23+'ASptISptSSv 4yr'!R23+'PLANT OPER MAIN 4yr'!R23+'SCHOLAR FELLOW 4yr'!R23+'All Other 4yr'!R23)-R23</f>
        <v>0</v>
      </c>
      <c r="AW23" s="74">
        <f>('Instruction-4YR'!S23+'RESEARCH 4yr'!S23+'PUBLIC SERVICE 4yr'!S23+'ASptISptSSv 4yr'!S23+'PLANT OPER MAIN 4yr'!S23+'SCHOLAR FELLOW 4yr'!S23+'All Other 4yr'!S23)-S23</f>
        <v>0</v>
      </c>
      <c r="AX23" s="74">
        <f>('Instruction-4YR'!T23+'RESEARCH 4yr'!T23+'PUBLIC SERVICE 4yr'!T23+'ASptISptSSv 4yr'!T23+'PLANT OPER MAIN 4yr'!T23+'SCHOLAR FELLOW 4yr'!T23+'All Other 4yr'!T23)-T23</f>
        <v>0</v>
      </c>
      <c r="AY23" s="74">
        <f>('Instruction-4YR'!U23+'RESEARCH 4yr'!U23+'PUBLIC SERVICE 4yr'!U23+'ASptISptSSv 4yr'!U23+'PLANT OPER MAIN 4yr'!U23+'SCHOLAR FELLOW 4yr'!U23+'All Other 4yr'!U23)-U23</f>
        <v>0</v>
      </c>
      <c r="AZ23" s="74">
        <f>('Instruction-4YR'!V23+'RESEARCH 4yr'!V23+'PUBLIC SERVICE 4yr'!V23+'ASptISptSSv 4yr'!V23+'PLANT OPER MAIN 4yr'!V23+'SCHOLAR FELLOW 4yr'!V23+'All Other 4yr'!V23)-V23</f>
        <v>0</v>
      </c>
      <c r="BA23" s="74">
        <f>('Instruction-4YR'!W23+'RESEARCH 4yr'!W23+'PUBLIC SERVICE 4yr'!W23+'ASptISptSSv 4yr'!W23+'PLANT OPER MAIN 4yr'!W23+'SCHOLAR FELLOW 4yr'!W23+'All Other 4yr'!W23)-W23</f>
        <v>0</v>
      </c>
      <c r="BB23" s="74">
        <f>('Instruction-4YR'!X23+'RESEARCH 4yr'!X23+'PUBLIC SERVICE 4yr'!X23+'ASptISptSSv 4yr'!X23+'PLANT OPER MAIN 4yr'!X23+'SCHOLAR FELLOW 4yr'!X23+'All Other 4yr'!X23)-X23</f>
        <v>0</v>
      </c>
      <c r="BC23" s="74">
        <f>('Instruction-4YR'!Y23+'RESEARCH 4yr'!Y23+'PUBLIC SERVICE 4yr'!Y23+'ASptISptSSv 4yr'!Y23+'PLANT OPER MAIN 4yr'!Y23+'SCHOLAR FELLOW 4yr'!Y23+'All Other 4yr'!Y23)-Y23</f>
        <v>0</v>
      </c>
      <c r="BD23" s="74">
        <f>('Instruction-4YR'!Z23+'RESEARCH 4yr'!Z23+'PUBLIC SERVICE 4yr'!Z23+'ASptISptSSv 4yr'!Z23+'PLANT OPER MAIN 4yr'!Z23+'SCHOLAR FELLOW 4yr'!Z23+'All Other 4yr'!Z23)-Z23</f>
        <v>0</v>
      </c>
      <c r="BE23" s="74">
        <f>('Instruction-4YR'!AA23+'RESEARCH 4yr'!AA23+'PUBLIC SERVICE 4yr'!AA23+'ASptISptSSv 4yr'!AA23+'PLANT OPER MAIN 4yr'!AA23+'SCHOLAR FELLOW 4yr'!AA23+'All Other 4yr'!AA23)-AA23</f>
        <v>0</v>
      </c>
      <c r="BF23" s="74">
        <f>('Instruction-4YR'!AB23+'RESEARCH 4yr'!AB23+'PUBLIC SERVICE 4yr'!AB23+'ASptISptSSv 4yr'!AB23+'PLANT OPER MAIN 4yr'!AB23+'SCHOLAR FELLOW 4yr'!AB23+'All Other 4yr'!AB23)-AB23</f>
        <v>0</v>
      </c>
      <c r="BG23" s="74">
        <f>('Instruction-4YR'!AC23+'RESEARCH 4yr'!AC23+'PUBLIC SERVICE 4yr'!AC23+'ASptISptSSv 4yr'!AC23+'PLANT OPER MAIN 4yr'!AC23+'SCHOLAR FELLOW 4yr'!AC23+'All Other 4yr'!AC23)-AC23</f>
        <v>0</v>
      </c>
      <c r="BH23" s="74">
        <f>('Instruction-4YR'!AD23+'RESEARCH 4yr'!AD23+'PUBLIC SERVICE 4yr'!AD23+'ASptISptSSv 4yr'!AD23+'PLANT OPER MAIN 4yr'!AD23+'SCHOLAR FELLOW 4yr'!AD23+'All Other 4yr'!AD23)-AD23</f>
        <v>0</v>
      </c>
      <c r="BI23" s="74">
        <f>('Instruction-4YR'!AE23+'RESEARCH 4yr'!AE23+'PUBLIC SERVICE 4yr'!AE23+'ASptISptSSv 4yr'!AE23+'PLANT OPER MAIN 4yr'!AE23+'SCHOLAR FELLOW 4yr'!AE23+'All Other 4yr'!AE23)-AE23</f>
        <v>0</v>
      </c>
    </row>
    <row r="24" spans="1:61">
      <c r="A24" s="23" t="s">
        <v>41</v>
      </c>
      <c r="B24" s="23">
        <v>282574</v>
      </c>
      <c r="C24" s="23">
        <v>286676</v>
      </c>
      <c r="D24" s="23">
        <v>306805</v>
      </c>
      <c r="E24" s="23">
        <v>464342.45400000003</v>
      </c>
      <c r="F24" s="44">
        <v>520017.59</v>
      </c>
      <c r="G24" s="23">
        <v>543887.47</v>
      </c>
      <c r="H24" s="23">
        <v>585218.299</v>
      </c>
      <c r="I24" s="23">
        <v>597389.37199999997</v>
      </c>
      <c r="J24" s="23">
        <v>633822.29700000002</v>
      </c>
      <c r="K24" s="23">
        <v>667232.34472000005</v>
      </c>
      <c r="L24" s="23">
        <v>761099.22199999995</v>
      </c>
      <c r="M24" s="23">
        <v>813345.80099999998</v>
      </c>
      <c r="N24" s="23">
        <v>919606.29399999999</v>
      </c>
      <c r="O24" s="23">
        <v>970150.38100000005</v>
      </c>
      <c r="P24" s="23">
        <v>993910.23199999996</v>
      </c>
      <c r="Q24" s="23">
        <v>1015114.411</v>
      </c>
      <c r="R24" s="23">
        <v>1119518.9990000001</v>
      </c>
      <c r="S24" s="23">
        <v>1162693.3740000001</v>
      </c>
      <c r="T24" s="23">
        <v>1250350.4990000001</v>
      </c>
      <c r="U24" s="23">
        <v>1301503.007</v>
      </c>
      <c r="V24" s="23">
        <v>1374908.371</v>
      </c>
      <c r="W24" s="23">
        <v>1464722.7609999999</v>
      </c>
      <c r="X24" s="23">
        <v>1531630.0730000001</v>
      </c>
      <c r="Y24" s="23">
        <v>1495459.0349999999</v>
      </c>
      <c r="Z24" s="23">
        <v>1506466.264</v>
      </c>
      <c r="AA24" s="23">
        <v>1566588.8929999999</v>
      </c>
      <c r="AB24" s="23">
        <v>1656262.541</v>
      </c>
      <c r="AC24" s="23">
        <v>1696935.763</v>
      </c>
      <c r="AD24" s="23"/>
      <c r="AE24" s="23">
        <v>1750435.746</v>
      </c>
      <c r="AF24" s="74">
        <f>('Instruction-4YR'!B24+'RESEARCH 4yr'!B24+'PUBLIC SERVICE 4yr'!B24+'ASptISptSSv 4yr'!B24+'PLANT OPER MAIN 4yr'!B24+'SCHOLAR FELLOW 4yr'!B24+'All Other 4yr'!B24)-B24</f>
        <v>0</v>
      </c>
      <c r="AG24" s="74">
        <f>('Instruction-4YR'!C24+'RESEARCH 4yr'!C24+'PUBLIC SERVICE 4yr'!C24+'ASptISptSSv 4yr'!C24+'PLANT OPER MAIN 4yr'!C24+'SCHOLAR FELLOW 4yr'!C24+'All Other 4yr'!C24)-C24</f>
        <v>0</v>
      </c>
      <c r="AH24" s="74">
        <f>('Instruction-4YR'!D24+'RESEARCH 4yr'!D24+'PUBLIC SERVICE 4yr'!D24+'ASptISptSSv 4yr'!D24+'PLANT OPER MAIN 4yr'!D24+'SCHOLAR FELLOW 4yr'!D24+'All Other 4yr'!D24)-D24</f>
        <v>0</v>
      </c>
      <c r="AI24" s="74">
        <f>('Instruction-4YR'!E24+'RESEARCH 4yr'!E24+'PUBLIC SERVICE 4yr'!E24+'ASptISptSSv 4yr'!E24+'PLANT OPER MAIN 4yr'!E24+'SCHOLAR FELLOW 4yr'!E24+'All Other 4yr'!E24)-E24</f>
        <v>0</v>
      </c>
      <c r="AJ24" s="74">
        <f>('Instruction-4YR'!F24+'RESEARCH 4yr'!F24+'PUBLIC SERVICE 4yr'!F24+'ASptISptSSv 4yr'!F24+'PLANT OPER MAIN 4yr'!F24+'SCHOLAR FELLOW 4yr'!F24+'All Other 4yr'!F24)-F24</f>
        <v>0</v>
      </c>
      <c r="AK24" s="74">
        <f>('Instruction-4YR'!G24+'RESEARCH 4yr'!G24+'PUBLIC SERVICE 4yr'!G24+'ASptISptSSv 4yr'!G24+'PLANT OPER MAIN 4yr'!G24+'SCHOLAR FELLOW 4yr'!G24+'All Other 4yr'!G24)-G24</f>
        <v>0</v>
      </c>
      <c r="AL24" s="74">
        <f>('Instruction-4YR'!H24+'RESEARCH 4yr'!H24+'PUBLIC SERVICE 4yr'!H24+'ASptISptSSv 4yr'!H24+'PLANT OPER MAIN 4yr'!H24+'SCHOLAR FELLOW 4yr'!H24+'All Other 4yr'!H24)-H24</f>
        <v>0</v>
      </c>
      <c r="AM24" s="74">
        <f>('Instruction-4YR'!I24+'RESEARCH 4yr'!I24+'PUBLIC SERVICE 4yr'!I24+'ASptISptSSv 4yr'!I24+'PLANT OPER MAIN 4yr'!I24+'SCHOLAR FELLOW 4yr'!I24+'All Other 4yr'!I24)-I24</f>
        <v>0</v>
      </c>
      <c r="AN24" s="74">
        <f>('Instruction-4YR'!J24+'RESEARCH 4yr'!J24+'PUBLIC SERVICE 4yr'!J24+'ASptISptSSv 4yr'!J24+'PLANT OPER MAIN 4yr'!J24+'SCHOLAR FELLOW 4yr'!J24+'All Other 4yr'!J24)-J24</f>
        <v>0</v>
      </c>
      <c r="AO24" s="74">
        <f>('Instruction-4YR'!K24+'RESEARCH 4yr'!K24+'PUBLIC SERVICE 4yr'!K24+'ASptISptSSv 4yr'!K24+'PLANT OPER MAIN 4yr'!K24+'SCHOLAR FELLOW 4yr'!K24+'All Other 4yr'!K24)-K24</f>
        <v>0</v>
      </c>
      <c r="AP24" s="74">
        <f>('Instruction-4YR'!L24+'RESEARCH 4yr'!L24+'PUBLIC SERVICE 4yr'!L24+'ASptISptSSv 4yr'!L24+'PLANT OPER MAIN 4yr'!L24+'SCHOLAR FELLOW 4yr'!L24+'All Other 4yr'!L24)-L24</f>
        <v>0</v>
      </c>
      <c r="AQ24" s="74">
        <f>('Instruction-4YR'!M24+'RESEARCH 4yr'!M24+'PUBLIC SERVICE 4yr'!M24+'ASptISptSSv 4yr'!M24+'PLANT OPER MAIN 4yr'!M24+'SCHOLAR FELLOW 4yr'!M24+'All Other 4yr'!M24)-M24</f>
        <v>0</v>
      </c>
      <c r="AR24" s="74">
        <f>('Instruction-4YR'!N24+'RESEARCH 4yr'!N24+'PUBLIC SERVICE 4yr'!N24+'ASptISptSSv 4yr'!N24+'PLANT OPER MAIN 4yr'!N24+'SCHOLAR FELLOW 4yr'!N24+'All Other 4yr'!N24)-N24</f>
        <v>0</v>
      </c>
      <c r="AS24" s="74">
        <f>('Instruction-4YR'!O24+'RESEARCH 4yr'!O24+'PUBLIC SERVICE 4yr'!O24+'ASptISptSSv 4yr'!O24+'PLANT OPER MAIN 4yr'!O24+'SCHOLAR FELLOW 4yr'!O24+'All Other 4yr'!O24)-O24</f>
        <v>0</v>
      </c>
      <c r="AT24" s="74">
        <f>('Instruction-4YR'!P24+'RESEARCH 4yr'!P24+'PUBLIC SERVICE 4yr'!P24+'ASptISptSSv 4yr'!P24+'PLANT OPER MAIN 4yr'!P24+'SCHOLAR FELLOW 4yr'!P24+'All Other 4yr'!P24)-P24</f>
        <v>0</v>
      </c>
      <c r="AU24" s="74">
        <f>('Instruction-4YR'!Q24+'RESEARCH 4yr'!Q24+'PUBLIC SERVICE 4yr'!Q24+'ASptISptSSv 4yr'!Q24+'PLANT OPER MAIN 4yr'!Q24+'SCHOLAR FELLOW 4yr'!Q24+'All Other 4yr'!Q24)-Q24</f>
        <v>0</v>
      </c>
      <c r="AV24" s="74">
        <f>('Instruction-4YR'!R24+'RESEARCH 4yr'!R24+'PUBLIC SERVICE 4yr'!R24+'ASptISptSSv 4yr'!R24+'PLANT OPER MAIN 4yr'!R24+'SCHOLAR FELLOW 4yr'!R24+'All Other 4yr'!R24)-R24</f>
        <v>0</v>
      </c>
      <c r="AW24" s="74">
        <f>('Instruction-4YR'!S24+'RESEARCH 4yr'!S24+'PUBLIC SERVICE 4yr'!S24+'ASptISptSSv 4yr'!S24+'PLANT OPER MAIN 4yr'!S24+'SCHOLAR FELLOW 4yr'!S24+'All Other 4yr'!S24)-S24</f>
        <v>0</v>
      </c>
      <c r="AX24" s="74">
        <f>('Instruction-4YR'!T24+'RESEARCH 4yr'!T24+'PUBLIC SERVICE 4yr'!T24+'ASptISptSSv 4yr'!T24+'PLANT OPER MAIN 4yr'!T24+'SCHOLAR FELLOW 4yr'!T24+'All Other 4yr'!T24)-T24</f>
        <v>0</v>
      </c>
      <c r="AY24" s="74">
        <f>('Instruction-4YR'!U24+'RESEARCH 4yr'!U24+'PUBLIC SERVICE 4yr'!U24+'ASptISptSSv 4yr'!U24+'PLANT OPER MAIN 4yr'!U24+'SCHOLAR FELLOW 4yr'!U24+'All Other 4yr'!U24)-U24</f>
        <v>0</v>
      </c>
      <c r="AZ24" s="74">
        <f>('Instruction-4YR'!V24+'RESEARCH 4yr'!V24+'PUBLIC SERVICE 4yr'!V24+'ASptISptSSv 4yr'!V24+'PLANT OPER MAIN 4yr'!V24+'SCHOLAR FELLOW 4yr'!V24+'All Other 4yr'!V24)-V24</f>
        <v>0</v>
      </c>
      <c r="BA24" s="74">
        <f>('Instruction-4YR'!W24+'RESEARCH 4yr'!W24+'PUBLIC SERVICE 4yr'!W24+'ASptISptSSv 4yr'!W24+'PLANT OPER MAIN 4yr'!W24+'SCHOLAR FELLOW 4yr'!W24+'All Other 4yr'!W24)-W24</f>
        <v>0</v>
      </c>
      <c r="BB24" s="74">
        <f>('Instruction-4YR'!X24+'RESEARCH 4yr'!X24+'PUBLIC SERVICE 4yr'!X24+'ASptISptSSv 4yr'!X24+'PLANT OPER MAIN 4yr'!X24+'SCHOLAR FELLOW 4yr'!X24+'All Other 4yr'!X24)-X24</f>
        <v>0</v>
      </c>
      <c r="BC24" s="74">
        <f>('Instruction-4YR'!Y24+'RESEARCH 4yr'!Y24+'PUBLIC SERVICE 4yr'!Y24+'ASptISptSSv 4yr'!Y24+'PLANT OPER MAIN 4yr'!Y24+'SCHOLAR FELLOW 4yr'!Y24+'All Other 4yr'!Y24)-Y24</f>
        <v>0</v>
      </c>
      <c r="BD24" s="74">
        <f>('Instruction-4YR'!Z24+'RESEARCH 4yr'!Z24+'PUBLIC SERVICE 4yr'!Z24+'ASptISptSSv 4yr'!Z24+'PLANT OPER MAIN 4yr'!Z24+'SCHOLAR FELLOW 4yr'!Z24+'All Other 4yr'!Z24)-Z24</f>
        <v>0</v>
      </c>
      <c r="BE24" s="74">
        <f>('Instruction-4YR'!AA24+'RESEARCH 4yr'!AA24+'PUBLIC SERVICE 4yr'!AA24+'ASptISptSSv 4yr'!AA24+'PLANT OPER MAIN 4yr'!AA24+'SCHOLAR FELLOW 4yr'!AA24+'All Other 4yr'!AA24)-AA24</f>
        <v>0</v>
      </c>
      <c r="BF24" s="74">
        <f>('Instruction-4YR'!AB24+'RESEARCH 4yr'!AB24+'PUBLIC SERVICE 4yr'!AB24+'ASptISptSSv 4yr'!AB24+'PLANT OPER MAIN 4yr'!AB24+'SCHOLAR FELLOW 4yr'!AB24+'All Other 4yr'!AB24)-AB24</f>
        <v>0</v>
      </c>
      <c r="BG24" s="74">
        <f>('Instruction-4YR'!AC24+'RESEARCH 4yr'!AC24+'PUBLIC SERVICE 4yr'!AC24+'ASptISptSSv 4yr'!AC24+'PLANT OPER MAIN 4yr'!AC24+'SCHOLAR FELLOW 4yr'!AC24+'All Other 4yr'!AC24)-AC24</f>
        <v>0</v>
      </c>
      <c r="BH24" s="74">
        <f>('Instruction-4YR'!AD24+'RESEARCH 4yr'!AD24+'PUBLIC SERVICE 4yr'!AD24+'ASptISptSSv 4yr'!AD24+'PLANT OPER MAIN 4yr'!AD24+'SCHOLAR FELLOW 4yr'!AD24+'All Other 4yr'!AD24)-AD24</f>
        <v>0</v>
      </c>
      <c r="BI24" s="74">
        <f>('Instruction-4YR'!AE24+'RESEARCH 4yr'!AE24+'PUBLIC SERVICE 4yr'!AE24+'ASptISptSSv 4yr'!AE24+'PLANT OPER MAIN 4yr'!AE24+'SCHOLAR FELLOW 4yr'!AE24+'All Other 4yr'!AE24)-AE24</f>
        <v>0</v>
      </c>
    </row>
    <row r="25" spans="1:61">
      <c r="A25" s="7" t="s">
        <v>42</v>
      </c>
      <c r="B25" s="47">
        <f>SUM(B27:B39)</f>
        <v>0</v>
      </c>
      <c r="C25" s="47">
        <f t="shared" ref="C25:Z25" si="13">SUM(C27:C39)</f>
        <v>0</v>
      </c>
      <c r="D25" s="47">
        <f t="shared" si="13"/>
        <v>0</v>
      </c>
      <c r="E25" s="47">
        <f t="shared" si="13"/>
        <v>0</v>
      </c>
      <c r="F25" s="47">
        <f t="shared" si="13"/>
        <v>14717272.106000002</v>
      </c>
      <c r="G25" s="47">
        <f t="shared" si="13"/>
        <v>0</v>
      </c>
      <c r="H25" s="47">
        <f t="shared" si="13"/>
        <v>0</v>
      </c>
      <c r="I25" s="47">
        <f t="shared" si="13"/>
        <v>16894434.700000003</v>
      </c>
      <c r="J25" s="47">
        <f t="shared" si="13"/>
        <v>0</v>
      </c>
      <c r="K25" s="47">
        <f t="shared" si="13"/>
        <v>19256476.607140005</v>
      </c>
      <c r="L25" s="47">
        <f t="shared" si="13"/>
        <v>23388456.199000005</v>
      </c>
      <c r="M25" s="47">
        <f t="shared" si="13"/>
        <v>25456269.580000002</v>
      </c>
      <c r="N25" s="47">
        <f t="shared" si="13"/>
        <v>27589098.608000007</v>
      </c>
      <c r="O25" s="47">
        <f t="shared" si="13"/>
        <v>29107116.313000001</v>
      </c>
      <c r="P25" s="47">
        <f t="shared" si="13"/>
        <v>30262961.221999999</v>
      </c>
      <c r="Q25" s="47">
        <f t="shared" si="13"/>
        <v>32528864.206999999</v>
      </c>
      <c r="R25" s="47">
        <f t="shared" si="13"/>
        <v>34288258.023999996</v>
      </c>
      <c r="S25" s="47">
        <f t="shared" si="13"/>
        <v>37197671.822999999</v>
      </c>
      <c r="T25" s="47">
        <f t="shared" si="13"/>
        <v>39448933.096000001</v>
      </c>
      <c r="U25" s="47">
        <f t="shared" si="13"/>
        <v>38370651.974999994</v>
      </c>
      <c r="V25" s="47">
        <f t="shared" si="13"/>
        <v>40871291.208000004</v>
      </c>
      <c r="W25" s="47">
        <f t="shared" si="13"/>
        <v>44140144.253999986</v>
      </c>
      <c r="X25" s="47">
        <f t="shared" si="13"/>
        <v>46618615.942000002</v>
      </c>
      <c r="Y25" s="47">
        <f t="shared" si="13"/>
        <v>48335723.839999996</v>
      </c>
      <c r="Z25" s="47">
        <f t="shared" si="13"/>
        <v>50874124.66799999</v>
      </c>
      <c r="AA25" s="47">
        <f>SUM(AA27:AA39)</f>
        <v>53311750.158</v>
      </c>
      <c r="AB25" s="47">
        <f>SUM(AB27:AB39)</f>
        <v>57844591.017000005</v>
      </c>
      <c r="AC25" s="47">
        <f>SUM(AC27:AC39)</f>
        <v>61364921.420999996</v>
      </c>
      <c r="AD25" s="47">
        <f t="shared" ref="AD25:AE25" si="14">SUM(AD27:AD39)</f>
        <v>0</v>
      </c>
      <c r="AE25" s="47">
        <f t="shared" si="14"/>
        <v>69176904.278999999</v>
      </c>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row>
    <row r="26" spans="1:61">
      <c r="A26" s="7" t="s">
        <v>97</v>
      </c>
      <c r="Y26" s="1">
        <v>0</v>
      </c>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row>
    <row r="27" spans="1:61">
      <c r="A27" s="1" t="s">
        <v>43</v>
      </c>
      <c r="F27" s="41">
        <v>266775.435</v>
      </c>
      <c r="I27" s="1">
        <v>303178.78399999999</v>
      </c>
      <c r="K27" s="1">
        <v>327986.967</v>
      </c>
      <c r="L27" s="1">
        <v>327213.01400000002</v>
      </c>
      <c r="M27" s="1">
        <v>364248.72600000002</v>
      </c>
      <c r="N27" s="1">
        <v>399747.79100000003</v>
      </c>
      <c r="O27" s="1">
        <v>476684.39600000001</v>
      </c>
      <c r="P27" s="1">
        <v>500492.413</v>
      </c>
      <c r="Q27" s="1">
        <v>547938.79700000002</v>
      </c>
      <c r="R27" s="1">
        <v>573270.44099999999</v>
      </c>
      <c r="S27" s="1">
        <v>605071.826</v>
      </c>
      <c r="T27" s="1">
        <v>640950.88899999997</v>
      </c>
      <c r="U27" s="1">
        <v>644093.36499999999</v>
      </c>
      <c r="V27" s="1">
        <v>674701.89500000002</v>
      </c>
      <c r="W27" s="1">
        <v>701274.40399999998</v>
      </c>
      <c r="X27" s="1">
        <v>723218.68599999999</v>
      </c>
      <c r="Y27" s="1">
        <v>731414.56499999994</v>
      </c>
      <c r="Z27" s="1">
        <v>746289.48899999994</v>
      </c>
      <c r="AA27" s="1">
        <v>744106.34</v>
      </c>
      <c r="AB27" s="1">
        <v>765251.98699999996</v>
      </c>
      <c r="AC27" s="1">
        <v>753104.63300000003</v>
      </c>
      <c r="AE27" s="1">
        <v>724582.679</v>
      </c>
      <c r="AF27" s="74">
        <f>('Instruction-4YR'!B27+'RESEARCH 4yr'!B27+'PUBLIC SERVICE 4yr'!B27+'ASptISptSSv 4yr'!B27+'PLANT OPER MAIN 4yr'!B27+'SCHOLAR FELLOW 4yr'!B27+'All Other 4yr'!B27)-B27</f>
        <v>0</v>
      </c>
      <c r="AG27" s="74">
        <f>('Instruction-4YR'!C27+'RESEARCH 4yr'!C27+'PUBLIC SERVICE 4yr'!C27+'ASptISptSSv 4yr'!C27+'PLANT OPER MAIN 4yr'!C27+'SCHOLAR FELLOW 4yr'!C27+'All Other 4yr'!C27)-C27</f>
        <v>0</v>
      </c>
      <c r="AH27" s="74">
        <f>('Instruction-4YR'!D27+'RESEARCH 4yr'!D27+'PUBLIC SERVICE 4yr'!D27+'ASptISptSSv 4yr'!D27+'PLANT OPER MAIN 4yr'!D27+'SCHOLAR FELLOW 4yr'!D27+'All Other 4yr'!D27)-D27</f>
        <v>0</v>
      </c>
      <c r="AI27" s="74">
        <f>('Instruction-4YR'!E27+'RESEARCH 4yr'!E27+'PUBLIC SERVICE 4yr'!E27+'ASptISptSSv 4yr'!E27+'PLANT OPER MAIN 4yr'!E27+'SCHOLAR FELLOW 4yr'!E27+'All Other 4yr'!E27)-E27</f>
        <v>0</v>
      </c>
      <c r="AJ27" s="74">
        <f>('Instruction-4YR'!F27+'RESEARCH 4yr'!F27+'PUBLIC SERVICE 4yr'!F27+'ASptISptSSv 4yr'!F27+'PLANT OPER MAIN 4yr'!F27+'SCHOLAR FELLOW 4yr'!F27+'All Other 4yr'!F27)-F27</f>
        <v>0</v>
      </c>
      <c r="AK27" s="74">
        <f>('Instruction-4YR'!G27+'RESEARCH 4yr'!G27+'PUBLIC SERVICE 4yr'!G27+'ASptISptSSv 4yr'!G27+'PLANT OPER MAIN 4yr'!G27+'SCHOLAR FELLOW 4yr'!G27+'All Other 4yr'!G27)-G27</f>
        <v>0</v>
      </c>
      <c r="AL27" s="74">
        <f>('Instruction-4YR'!H27+'RESEARCH 4yr'!H27+'PUBLIC SERVICE 4yr'!H27+'ASptISptSSv 4yr'!H27+'PLANT OPER MAIN 4yr'!H27+'SCHOLAR FELLOW 4yr'!H27+'All Other 4yr'!H27)-H27</f>
        <v>0</v>
      </c>
      <c r="AM27" s="74">
        <f>('Instruction-4YR'!I27+'RESEARCH 4yr'!I27+'PUBLIC SERVICE 4yr'!I27+'ASptISptSSv 4yr'!I27+'PLANT OPER MAIN 4yr'!I27+'SCHOLAR FELLOW 4yr'!I27+'All Other 4yr'!I27)-I27</f>
        <v>0</v>
      </c>
      <c r="AN27" s="74">
        <f>('Instruction-4YR'!J27+'RESEARCH 4yr'!J27+'PUBLIC SERVICE 4yr'!J27+'ASptISptSSv 4yr'!J27+'PLANT OPER MAIN 4yr'!J27+'SCHOLAR FELLOW 4yr'!J27+'All Other 4yr'!J27)-J27</f>
        <v>0</v>
      </c>
      <c r="AO27" s="74">
        <f>('Instruction-4YR'!K27+'RESEARCH 4yr'!K27+'PUBLIC SERVICE 4yr'!K27+'ASptISptSSv 4yr'!K27+'PLANT OPER MAIN 4yr'!K27+'SCHOLAR FELLOW 4yr'!K27+'All Other 4yr'!K27)-K27</f>
        <v>0</v>
      </c>
      <c r="AP27" s="74">
        <f>('Instruction-4YR'!L27+'RESEARCH 4yr'!L27+'PUBLIC SERVICE 4yr'!L27+'ASptISptSSv 4yr'!L27+'PLANT OPER MAIN 4yr'!L27+'SCHOLAR FELLOW 4yr'!L27+'All Other 4yr'!L27)-L27</f>
        <v>0</v>
      </c>
      <c r="AQ27" s="74">
        <f>('Instruction-4YR'!M27+'RESEARCH 4yr'!M27+'PUBLIC SERVICE 4yr'!M27+'ASptISptSSv 4yr'!M27+'PLANT OPER MAIN 4yr'!M27+'SCHOLAR FELLOW 4yr'!M27+'All Other 4yr'!M27)-M27</f>
        <v>0</v>
      </c>
      <c r="AR27" s="74">
        <f>('Instruction-4YR'!N27+'RESEARCH 4yr'!N27+'PUBLIC SERVICE 4yr'!N27+'ASptISptSSv 4yr'!N27+'PLANT OPER MAIN 4yr'!N27+'SCHOLAR FELLOW 4yr'!N27+'All Other 4yr'!N27)-N27</f>
        <v>0</v>
      </c>
      <c r="AS27" s="74">
        <f>('Instruction-4YR'!O27+'RESEARCH 4yr'!O27+'PUBLIC SERVICE 4yr'!O27+'ASptISptSSv 4yr'!O27+'PLANT OPER MAIN 4yr'!O27+'SCHOLAR FELLOW 4yr'!O27+'All Other 4yr'!O27)-O27</f>
        <v>0</v>
      </c>
      <c r="AT27" s="74">
        <f>('Instruction-4YR'!P27+'RESEARCH 4yr'!P27+'PUBLIC SERVICE 4yr'!P27+'ASptISptSSv 4yr'!P27+'PLANT OPER MAIN 4yr'!P27+'SCHOLAR FELLOW 4yr'!P27+'All Other 4yr'!P27)-P27</f>
        <v>0</v>
      </c>
      <c r="AU27" s="74">
        <f>('Instruction-4YR'!Q27+'RESEARCH 4yr'!Q27+'PUBLIC SERVICE 4yr'!Q27+'ASptISptSSv 4yr'!Q27+'PLANT OPER MAIN 4yr'!Q27+'SCHOLAR FELLOW 4yr'!Q27+'All Other 4yr'!Q27)-Q27</f>
        <v>0</v>
      </c>
      <c r="AV27" s="74">
        <f>('Instruction-4YR'!R27+'RESEARCH 4yr'!R27+'PUBLIC SERVICE 4yr'!R27+'ASptISptSSv 4yr'!R27+'PLANT OPER MAIN 4yr'!R27+'SCHOLAR FELLOW 4yr'!R27+'All Other 4yr'!R27)-R27</f>
        <v>0</v>
      </c>
      <c r="AW27" s="74">
        <f>('Instruction-4YR'!S27+'RESEARCH 4yr'!S27+'PUBLIC SERVICE 4yr'!S27+'ASptISptSSv 4yr'!S27+'PLANT OPER MAIN 4yr'!S27+'SCHOLAR FELLOW 4yr'!S27+'All Other 4yr'!S27)-S27</f>
        <v>0</v>
      </c>
      <c r="AX27" s="74">
        <f>('Instruction-4YR'!T27+'RESEARCH 4yr'!T27+'PUBLIC SERVICE 4yr'!T27+'ASptISptSSv 4yr'!T27+'PLANT OPER MAIN 4yr'!T27+'SCHOLAR FELLOW 4yr'!T27+'All Other 4yr'!T27)-T27</f>
        <v>0</v>
      </c>
      <c r="AY27" s="74">
        <f>('Instruction-4YR'!U27+'RESEARCH 4yr'!U27+'PUBLIC SERVICE 4yr'!U27+'ASptISptSSv 4yr'!U27+'PLANT OPER MAIN 4yr'!U27+'SCHOLAR FELLOW 4yr'!U27+'All Other 4yr'!U27)-U27</f>
        <v>0</v>
      </c>
      <c r="AZ27" s="74">
        <f>('Instruction-4YR'!V27+'RESEARCH 4yr'!V27+'PUBLIC SERVICE 4yr'!V27+'ASptISptSSv 4yr'!V27+'PLANT OPER MAIN 4yr'!V27+'SCHOLAR FELLOW 4yr'!V27+'All Other 4yr'!V27)-V27</f>
        <v>0</v>
      </c>
      <c r="BA27" s="74">
        <f>('Instruction-4YR'!W27+'RESEARCH 4yr'!W27+'PUBLIC SERVICE 4yr'!W27+'ASptISptSSv 4yr'!W27+'PLANT OPER MAIN 4yr'!W27+'SCHOLAR FELLOW 4yr'!W27+'All Other 4yr'!W27)-W27</f>
        <v>0</v>
      </c>
      <c r="BB27" s="74">
        <f>('Instruction-4YR'!X27+'RESEARCH 4yr'!X27+'PUBLIC SERVICE 4yr'!X27+'ASptISptSSv 4yr'!X27+'PLANT OPER MAIN 4yr'!X27+'SCHOLAR FELLOW 4yr'!X27+'All Other 4yr'!X27)-X27</f>
        <v>0</v>
      </c>
      <c r="BC27" s="74">
        <f>('Instruction-4YR'!Y27+'RESEARCH 4yr'!Y27+'PUBLIC SERVICE 4yr'!Y27+'ASptISptSSv 4yr'!Y27+'PLANT OPER MAIN 4yr'!Y27+'SCHOLAR FELLOW 4yr'!Y27+'All Other 4yr'!Y27)-Y27</f>
        <v>0</v>
      </c>
      <c r="BD27" s="74">
        <f>('Instruction-4YR'!Z27+'RESEARCH 4yr'!Z27+'PUBLIC SERVICE 4yr'!Z27+'ASptISptSSv 4yr'!Z27+'PLANT OPER MAIN 4yr'!Z27+'SCHOLAR FELLOW 4yr'!Z27+'All Other 4yr'!Z27)-Z27</f>
        <v>0</v>
      </c>
      <c r="BE27" s="74">
        <f>('Instruction-4YR'!AA27+'RESEARCH 4yr'!AA27+'PUBLIC SERVICE 4yr'!AA27+'ASptISptSSv 4yr'!AA27+'PLANT OPER MAIN 4yr'!AA27+'SCHOLAR FELLOW 4yr'!AA27+'All Other 4yr'!AA27)-AA27</f>
        <v>0</v>
      </c>
      <c r="BF27" s="74">
        <f>('Instruction-4YR'!AB27+'RESEARCH 4yr'!AB27+'PUBLIC SERVICE 4yr'!AB27+'ASptISptSSv 4yr'!AB27+'PLANT OPER MAIN 4yr'!AB27+'SCHOLAR FELLOW 4yr'!AB27+'All Other 4yr'!AB27)-AB27</f>
        <v>0</v>
      </c>
      <c r="BG27" s="74">
        <f>('Instruction-4YR'!AC27+'RESEARCH 4yr'!AC27+'PUBLIC SERVICE 4yr'!AC27+'ASptISptSSv 4yr'!AC27+'PLANT OPER MAIN 4yr'!AC27+'SCHOLAR FELLOW 4yr'!AC27+'All Other 4yr'!AC27)-AC27</f>
        <v>0</v>
      </c>
      <c r="BH27" s="74">
        <f>('Instruction-4YR'!AD27+'RESEARCH 4yr'!AD27+'PUBLIC SERVICE 4yr'!AD27+'ASptISptSSv 4yr'!AD27+'PLANT OPER MAIN 4yr'!AD27+'SCHOLAR FELLOW 4yr'!AD27+'All Other 4yr'!AD27)-AD27</f>
        <v>0</v>
      </c>
      <c r="BI27" s="74">
        <f>('Instruction-4YR'!AE27+'RESEARCH 4yr'!AE27+'PUBLIC SERVICE 4yr'!AE27+'ASptISptSSv 4yr'!AE27+'PLANT OPER MAIN 4yr'!AE27+'SCHOLAR FELLOW 4yr'!AE27+'All Other 4yr'!AE27)-AE27</f>
        <v>0</v>
      </c>
    </row>
    <row r="28" spans="1:61">
      <c r="A28" s="1" t="s">
        <v>44</v>
      </c>
      <c r="F28" s="41">
        <v>1108802.2590000001</v>
      </c>
      <c r="I28" s="1">
        <v>1313292.8959999999</v>
      </c>
      <c r="K28" s="1">
        <v>1430500.65</v>
      </c>
      <c r="L28" s="1">
        <v>1713549.078</v>
      </c>
      <c r="M28" s="1">
        <v>1819211.8970000001</v>
      </c>
      <c r="N28" s="1">
        <v>1948858.1459999999</v>
      </c>
      <c r="O28" s="1">
        <v>2055839.9609999999</v>
      </c>
      <c r="P28" s="1">
        <v>2269211.4700000002</v>
      </c>
      <c r="Q28" s="1">
        <v>2460884.628</v>
      </c>
      <c r="R28" s="1">
        <v>2678298.855</v>
      </c>
      <c r="S28" s="1">
        <v>2898704.5290000001</v>
      </c>
      <c r="T28" s="1">
        <v>3183594.3169999998</v>
      </c>
      <c r="U28" s="1">
        <v>3248979.9029999999</v>
      </c>
      <c r="V28" s="1">
        <v>3292129.1839999999</v>
      </c>
      <c r="W28" s="1">
        <v>3521661.8450000002</v>
      </c>
      <c r="X28" s="1">
        <v>3697010.4010000001</v>
      </c>
      <c r="Y28" s="1">
        <v>3842086.1329999999</v>
      </c>
      <c r="Z28" s="1">
        <v>4092474.2250000001</v>
      </c>
      <c r="AA28" s="1">
        <v>4413044.2649999997</v>
      </c>
      <c r="AB28" s="1">
        <v>4814528.608</v>
      </c>
      <c r="AC28" s="1">
        <v>5067009.7779999999</v>
      </c>
      <c r="AE28" s="1">
        <v>5691265.3499999996</v>
      </c>
      <c r="AF28" s="74">
        <f>('Instruction-4YR'!B28+'RESEARCH 4yr'!B28+'PUBLIC SERVICE 4yr'!B28+'ASptISptSSv 4yr'!B28+'PLANT OPER MAIN 4yr'!B28+'SCHOLAR FELLOW 4yr'!B28+'All Other 4yr'!B28)-B28</f>
        <v>0</v>
      </c>
      <c r="AG28" s="74">
        <f>('Instruction-4YR'!C28+'RESEARCH 4yr'!C28+'PUBLIC SERVICE 4yr'!C28+'ASptISptSSv 4yr'!C28+'PLANT OPER MAIN 4yr'!C28+'SCHOLAR FELLOW 4yr'!C28+'All Other 4yr'!C28)-C28</f>
        <v>0</v>
      </c>
      <c r="AH28" s="74">
        <f>('Instruction-4YR'!D28+'RESEARCH 4yr'!D28+'PUBLIC SERVICE 4yr'!D28+'ASptISptSSv 4yr'!D28+'PLANT OPER MAIN 4yr'!D28+'SCHOLAR FELLOW 4yr'!D28+'All Other 4yr'!D28)-D28</f>
        <v>0</v>
      </c>
      <c r="AI28" s="74">
        <f>('Instruction-4YR'!E28+'RESEARCH 4yr'!E28+'PUBLIC SERVICE 4yr'!E28+'ASptISptSSv 4yr'!E28+'PLANT OPER MAIN 4yr'!E28+'SCHOLAR FELLOW 4yr'!E28+'All Other 4yr'!E28)-E28</f>
        <v>0</v>
      </c>
      <c r="AJ28" s="74">
        <f>('Instruction-4YR'!F28+'RESEARCH 4yr'!F28+'PUBLIC SERVICE 4yr'!F28+'ASptISptSSv 4yr'!F28+'PLANT OPER MAIN 4yr'!F28+'SCHOLAR FELLOW 4yr'!F28+'All Other 4yr'!F28)-F28</f>
        <v>0</v>
      </c>
      <c r="AK28" s="74">
        <f>('Instruction-4YR'!G28+'RESEARCH 4yr'!G28+'PUBLIC SERVICE 4yr'!G28+'ASptISptSSv 4yr'!G28+'PLANT OPER MAIN 4yr'!G28+'SCHOLAR FELLOW 4yr'!G28+'All Other 4yr'!G28)-G28</f>
        <v>0</v>
      </c>
      <c r="AL28" s="74">
        <f>('Instruction-4YR'!H28+'RESEARCH 4yr'!H28+'PUBLIC SERVICE 4yr'!H28+'ASptISptSSv 4yr'!H28+'PLANT OPER MAIN 4yr'!H28+'SCHOLAR FELLOW 4yr'!H28+'All Other 4yr'!H28)-H28</f>
        <v>0</v>
      </c>
      <c r="AM28" s="74">
        <f>('Instruction-4YR'!I28+'RESEARCH 4yr'!I28+'PUBLIC SERVICE 4yr'!I28+'ASptISptSSv 4yr'!I28+'PLANT OPER MAIN 4yr'!I28+'SCHOLAR FELLOW 4yr'!I28+'All Other 4yr'!I28)-I28</f>
        <v>0</v>
      </c>
      <c r="AN28" s="74">
        <f>('Instruction-4YR'!J28+'RESEARCH 4yr'!J28+'PUBLIC SERVICE 4yr'!J28+'ASptISptSSv 4yr'!J28+'PLANT OPER MAIN 4yr'!J28+'SCHOLAR FELLOW 4yr'!J28+'All Other 4yr'!J28)-J28</f>
        <v>0</v>
      </c>
      <c r="AO28" s="74">
        <f>('Instruction-4YR'!K28+'RESEARCH 4yr'!K28+'PUBLIC SERVICE 4yr'!K28+'ASptISptSSv 4yr'!K28+'PLANT OPER MAIN 4yr'!K28+'SCHOLAR FELLOW 4yr'!K28+'All Other 4yr'!K28)-K28</f>
        <v>0</v>
      </c>
      <c r="AP28" s="74">
        <f>('Instruction-4YR'!L28+'RESEARCH 4yr'!L28+'PUBLIC SERVICE 4yr'!L28+'ASptISptSSv 4yr'!L28+'PLANT OPER MAIN 4yr'!L28+'SCHOLAR FELLOW 4yr'!L28+'All Other 4yr'!L28)-L28</f>
        <v>0</v>
      </c>
      <c r="AQ28" s="74">
        <f>('Instruction-4YR'!M28+'RESEARCH 4yr'!M28+'PUBLIC SERVICE 4yr'!M28+'ASptISptSSv 4yr'!M28+'PLANT OPER MAIN 4yr'!M28+'SCHOLAR FELLOW 4yr'!M28+'All Other 4yr'!M28)-M28</f>
        <v>0</v>
      </c>
      <c r="AR28" s="74">
        <f>('Instruction-4YR'!N28+'RESEARCH 4yr'!N28+'PUBLIC SERVICE 4yr'!N28+'ASptISptSSv 4yr'!N28+'PLANT OPER MAIN 4yr'!N28+'SCHOLAR FELLOW 4yr'!N28+'All Other 4yr'!N28)-N28</f>
        <v>0</v>
      </c>
      <c r="AS28" s="74">
        <f>('Instruction-4YR'!O28+'RESEARCH 4yr'!O28+'PUBLIC SERVICE 4yr'!O28+'ASptISptSSv 4yr'!O28+'PLANT OPER MAIN 4yr'!O28+'SCHOLAR FELLOW 4yr'!O28+'All Other 4yr'!O28)-O28</f>
        <v>0</v>
      </c>
      <c r="AT28" s="74">
        <f>('Instruction-4YR'!P28+'RESEARCH 4yr'!P28+'PUBLIC SERVICE 4yr'!P28+'ASptISptSSv 4yr'!P28+'PLANT OPER MAIN 4yr'!P28+'SCHOLAR FELLOW 4yr'!P28+'All Other 4yr'!P28)-P28</f>
        <v>0</v>
      </c>
      <c r="AU28" s="74">
        <f>('Instruction-4YR'!Q28+'RESEARCH 4yr'!Q28+'PUBLIC SERVICE 4yr'!Q28+'ASptISptSSv 4yr'!Q28+'PLANT OPER MAIN 4yr'!Q28+'SCHOLAR FELLOW 4yr'!Q28+'All Other 4yr'!Q28)-Q28</f>
        <v>0</v>
      </c>
      <c r="AV28" s="74">
        <f>('Instruction-4YR'!R28+'RESEARCH 4yr'!R28+'PUBLIC SERVICE 4yr'!R28+'ASptISptSSv 4yr'!R28+'PLANT OPER MAIN 4yr'!R28+'SCHOLAR FELLOW 4yr'!R28+'All Other 4yr'!R28)-R28</f>
        <v>0</v>
      </c>
      <c r="AW28" s="74">
        <f>('Instruction-4YR'!S28+'RESEARCH 4yr'!S28+'PUBLIC SERVICE 4yr'!S28+'ASptISptSSv 4yr'!S28+'PLANT OPER MAIN 4yr'!S28+'SCHOLAR FELLOW 4yr'!S28+'All Other 4yr'!S28)-S28</f>
        <v>0</v>
      </c>
      <c r="AX28" s="74">
        <f>('Instruction-4YR'!T28+'RESEARCH 4yr'!T28+'PUBLIC SERVICE 4yr'!T28+'ASptISptSSv 4yr'!T28+'PLANT OPER MAIN 4yr'!T28+'SCHOLAR FELLOW 4yr'!T28+'All Other 4yr'!T28)-T28</f>
        <v>0</v>
      </c>
      <c r="AY28" s="74">
        <f>('Instruction-4YR'!U28+'RESEARCH 4yr'!U28+'PUBLIC SERVICE 4yr'!U28+'ASptISptSSv 4yr'!U28+'PLANT OPER MAIN 4yr'!U28+'SCHOLAR FELLOW 4yr'!U28+'All Other 4yr'!U28)-U28</f>
        <v>0</v>
      </c>
      <c r="AZ28" s="74">
        <f>('Instruction-4YR'!V28+'RESEARCH 4yr'!V28+'PUBLIC SERVICE 4yr'!V28+'ASptISptSSv 4yr'!V28+'PLANT OPER MAIN 4yr'!V28+'SCHOLAR FELLOW 4yr'!V28+'All Other 4yr'!V28)-V28</f>
        <v>0</v>
      </c>
      <c r="BA28" s="74">
        <f>('Instruction-4YR'!W28+'RESEARCH 4yr'!W28+'PUBLIC SERVICE 4yr'!W28+'ASptISptSSv 4yr'!W28+'PLANT OPER MAIN 4yr'!W28+'SCHOLAR FELLOW 4yr'!W28+'All Other 4yr'!W28)-W28</f>
        <v>0</v>
      </c>
      <c r="BB28" s="74">
        <f>('Instruction-4YR'!X28+'RESEARCH 4yr'!X28+'PUBLIC SERVICE 4yr'!X28+'ASptISptSSv 4yr'!X28+'PLANT OPER MAIN 4yr'!X28+'SCHOLAR FELLOW 4yr'!X28+'All Other 4yr'!X28)-X28</f>
        <v>0</v>
      </c>
      <c r="BC28" s="74">
        <f>('Instruction-4YR'!Y28+'RESEARCH 4yr'!Y28+'PUBLIC SERVICE 4yr'!Y28+'ASptISptSSv 4yr'!Y28+'PLANT OPER MAIN 4yr'!Y28+'SCHOLAR FELLOW 4yr'!Y28+'All Other 4yr'!Y28)-Y28</f>
        <v>0</v>
      </c>
      <c r="BD28" s="74">
        <f>('Instruction-4YR'!Z28+'RESEARCH 4yr'!Z28+'PUBLIC SERVICE 4yr'!Z28+'ASptISptSSv 4yr'!Z28+'PLANT OPER MAIN 4yr'!Z28+'SCHOLAR FELLOW 4yr'!Z28+'All Other 4yr'!Z28)-Z28</f>
        <v>0</v>
      </c>
      <c r="BE28" s="74">
        <f>('Instruction-4YR'!AA28+'RESEARCH 4yr'!AA28+'PUBLIC SERVICE 4yr'!AA28+'ASptISptSSv 4yr'!AA28+'PLANT OPER MAIN 4yr'!AA28+'SCHOLAR FELLOW 4yr'!AA28+'All Other 4yr'!AA28)-AA28</f>
        <v>0</v>
      </c>
      <c r="BF28" s="74">
        <f>('Instruction-4YR'!AB28+'RESEARCH 4yr'!AB28+'PUBLIC SERVICE 4yr'!AB28+'ASptISptSSv 4yr'!AB28+'PLANT OPER MAIN 4yr'!AB28+'SCHOLAR FELLOW 4yr'!AB28+'All Other 4yr'!AB28)-AB28</f>
        <v>0</v>
      </c>
      <c r="BG28" s="74">
        <f>('Instruction-4YR'!AC28+'RESEARCH 4yr'!AC28+'PUBLIC SERVICE 4yr'!AC28+'ASptISptSSv 4yr'!AC28+'PLANT OPER MAIN 4yr'!AC28+'SCHOLAR FELLOW 4yr'!AC28+'All Other 4yr'!AC28)-AC28</f>
        <v>0</v>
      </c>
      <c r="BH28" s="74">
        <f>('Instruction-4YR'!AD28+'RESEARCH 4yr'!AD28+'PUBLIC SERVICE 4yr'!AD28+'ASptISptSSv 4yr'!AD28+'PLANT OPER MAIN 4yr'!AD28+'SCHOLAR FELLOW 4yr'!AD28+'All Other 4yr'!AD28)-AD28</f>
        <v>0</v>
      </c>
      <c r="BI28" s="74">
        <f>('Instruction-4YR'!AE28+'RESEARCH 4yr'!AE28+'PUBLIC SERVICE 4yr'!AE28+'ASptISptSSv 4yr'!AE28+'PLANT OPER MAIN 4yr'!AE28+'SCHOLAR FELLOW 4yr'!AE28+'All Other 4yr'!AE28)-AE28</f>
        <v>0</v>
      </c>
    </row>
    <row r="29" spans="1:61">
      <c r="A29" s="1" t="s">
        <v>45</v>
      </c>
      <c r="F29" s="41">
        <v>7063759.034</v>
      </c>
      <c r="I29" s="1">
        <v>7987212.7350000003</v>
      </c>
      <c r="K29" s="1">
        <v>9323512.807</v>
      </c>
      <c r="L29" s="1">
        <v>11595878.028999999</v>
      </c>
      <c r="M29" s="1">
        <v>12778434.366</v>
      </c>
      <c r="N29" s="1">
        <v>12984138.591</v>
      </c>
      <c r="O29" s="1">
        <v>13801257.778999999</v>
      </c>
      <c r="P29" s="1">
        <v>14590448.314999999</v>
      </c>
      <c r="Q29" s="1">
        <v>14974056.075999999</v>
      </c>
      <c r="R29" s="1">
        <v>15947716.208000001</v>
      </c>
      <c r="S29" s="1">
        <v>17505759.096999999</v>
      </c>
      <c r="T29" s="1">
        <v>18465479.567000002</v>
      </c>
      <c r="U29" s="1">
        <v>17590895.473999999</v>
      </c>
      <c r="V29" s="1">
        <v>19071145.603999998</v>
      </c>
      <c r="W29" s="1">
        <v>20865726.515999999</v>
      </c>
      <c r="X29" s="1">
        <v>22517740.782000002</v>
      </c>
      <c r="Y29" s="1">
        <v>23400619.138</v>
      </c>
      <c r="Z29" s="1">
        <v>24766717.804000001</v>
      </c>
      <c r="AA29" s="1">
        <v>26142586.717999998</v>
      </c>
      <c r="AB29" s="1">
        <v>28301098.782000002</v>
      </c>
      <c r="AC29" s="1">
        <v>30413696.157000002</v>
      </c>
      <c r="AE29" s="1">
        <v>35806454.075999998</v>
      </c>
      <c r="AF29" s="74">
        <f>('Instruction-4YR'!B29+'RESEARCH 4yr'!B29+'PUBLIC SERVICE 4yr'!B29+'ASptISptSSv 4yr'!B29+'PLANT OPER MAIN 4yr'!B29+'SCHOLAR FELLOW 4yr'!B29+'All Other 4yr'!B29)-B29</f>
        <v>0</v>
      </c>
      <c r="AG29" s="74">
        <f>('Instruction-4YR'!C29+'RESEARCH 4yr'!C29+'PUBLIC SERVICE 4yr'!C29+'ASptISptSSv 4yr'!C29+'PLANT OPER MAIN 4yr'!C29+'SCHOLAR FELLOW 4yr'!C29+'All Other 4yr'!C29)-C29</f>
        <v>0</v>
      </c>
      <c r="AH29" s="74">
        <f>('Instruction-4YR'!D29+'RESEARCH 4yr'!D29+'PUBLIC SERVICE 4yr'!D29+'ASptISptSSv 4yr'!D29+'PLANT OPER MAIN 4yr'!D29+'SCHOLAR FELLOW 4yr'!D29+'All Other 4yr'!D29)-D29</f>
        <v>0</v>
      </c>
      <c r="AI29" s="74">
        <f>('Instruction-4YR'!E29+'RESEARCH 4yr'!E29+'PUBLIC SERVICE 4yr'!E29+'ASptISptSSv 4yr'!E29+'PLANT OPER MAIN 4yr'!E29+'SCHOLAR FELLOW 4yr'!E29+'All Other 4yr'!E29)-E29</f>
        <v>0</v>
      </c>
      <c r="AJ29" s="74">
        <f>('Instruction-4YR'!F29+'RESEARCH 4yr'!F29+'PUBLIC SERVICE 4yr'!F29+'ASptISptSSv 4yr'!F29+'PLANT OPER MAIN 4yr'!F29+'SCHOLAR FELLOW 4yr'!F29+'All Other 4yr'!F29)-F29</f>
        <v>0</v>
      </c>
      <c r="AK29" s="74">
        <f>('Instruction-4YR'!G29+'RESEARCH 4yr'!G29+'PUBLIC SERVICE 4yr'!G29+'ASptISptSSv 4yr'!G29+'PLANT OPER MAIN 4yr'!G29+'SCHOLAR FELLOW 4yr'!G29+'All Other 4yr'!G29)-G29</f>
        <v>0</v>
      </c>
      <c r="AL29" s="74">
        <f>('Instruction-4YR'!H29+'RESEARCH 4yr'!H29+'PUBLIC SERVICE 4yr'!H29+'ASptISptSSv 4yr'!H29+'PLANT OPER MAIN 4yr'!H29+'SCHOLAR FELLOW 4yr'!H29+'All Other 4yr'!H29)-H29</f>
        <v>0</v>
      </c>
      <c r="AM29" s="74">
        <f>('Instruction-4YR'!I29+'RESEARCH 4yr'!I29+'PUBLIC SERVICE 4yr'!I29+'ASptISptSSv 4yr'!I29+'PLANT OPER MAIN 4yr'!I29+'SCHOLAR FELLOW 4yr'!I29+'All Other 4yr'!I29)-I29</f>
        <v>0</v>
      </c>
      <c r="AN29" s="74">
        <f>('Instruction-4YR'!J29+'RESEARCH 4yr'!J29+'PUBLIC SERVICE 4yr'!J29+'ASptISptSSv 4yr'!J29+'PLANT OPER MAIN 4yr'!J29+'SCHOLAR FELLOW 4yr'!J29+'All Other 4yr'!J29)-J29</f>
        <v>0</v>
      </c>
      <c r="AO29" s="74">
        <f>('Instruction-4YR'!K29+'RESEARCH 4yr'!K29+'PUBLIC SERVICE 4yr'!K29+'ASptISptSSv 4yr'!K29+'PLANT OPER MAIN 4yr'!K29+'SCHOLAR FELLOW 4yr'!K29+'All Other 4yr'!K29)-K29</f>
        <v>0</v>
      </c>
      <c r="AP29" s="74">
        <f>('Instruction-4YR'!L29+'RESEARCH 4yr'!L29+'PUBLIC SERVICE 4yr'!L29+'ASptISptSSv 4yr'!L29+'PLANT OPER MAIN 4yr'!L29+'SCHOLAR FELLOW 4yr'!L29+'All Other 4yr'!L29)-L29</f>
        <v>0</v>
      </c>
      <c r="AQ29" s="74">
        <f>('Instruction-4YR'!M29+'RESEARCH 4yr'!M29+'PUBLIC SERVICE 4yr'!M29+'ASptISptSSv 4yr'!M29+'PLANT OPER MAIN 4yr'!M29+'SCHOLAR FELLOW 4yr'!M29+'All Other 4yr'!M29)-M29</f>
        <v>0</v>
      </c>
      <c r="AR29" s="74">
        <f>('Instruction-4YR'!N29+'RESEARCH 4yr'!N29+'PUBLIC SERVICE 4yr'!N29+'ASptISptSSv 4yr'!N29+'PLANT OPER MAIN 4yr'!N29+'SCHOLAR FELLOW 4yr'!N29+'All Other 4yr'!N29)-N29</f>
        <v>0</v>
      </c>
      <c r="AS29" s="74">
        <f>('Instruction-4YR'!O29+'RESEARCH 4yr'!O29+'PUBLIC SERVICE 4yr'!O29+'ASptISptSSv 4yr'!O29+'PLANT OPER MAIN 4yr'!O29+'SCHOLAR FELLOW 4yr'!O29+'All Other 4yr'!O29)-O29</f>
        <v>0</v>
      </c>
      <c r="AT29" s="74">
        <f>('Instruction-4YR'!P29+'RESEARCH 4yr'!P29+'PUBLIC SERVICE 4yr'!P29+'ASptISptSSv 4yr'!P29+'PLANT OPER MAIN 4yr'!P29+'SCHOLAR FELLOW 4yr'!P29+'All Other 4yr'!P29)-P29</f>
        <v>0</v>
      </c>
      <c r="AU29" s="74">
        <f>('Instruction-4YR'!Q29+'RESEARCH 4yr'!Q29+'PUBLIC SERVICE 4yr'!Q29+'ASptISptSSv 4yr'!Q29+'PLANT OPER MAIN 4yr'!Q29+'SCHOLAR FELLOW 4yr'!Q29+'All Other 4yr'!Q29)-Q29</f>
        <v>0</v>
      </c>
      <c r="AV29" s="74">
        <f>('Instruction-4YR'!R29+'RESEARCH 4yr'!R29+'PUBLIC SERVICE 4yr'!R29+'ASptISptSSv 4yr'!R29+'PLANT OPER MAIN 4yr'!R29+'SCHOLAR FELLOW 4yr'!R29+'All Other 4yr'!R29)-R29</f>
        <v>0</v>
      </c>
      <c r="AW29" s="74">
        <f>('Instruction-4YR'!S29+'RESEARCH 4yr'!S29+'PUBLIC SERVICE 4yr'!S29+'ASptISptSSv 4yr'!S29+'PLANT OPER MAIN 4yr'!S29+'SCHOLAR FELLOW 4yr'!S29+'All Other 4yr'!S29)-S29</f>
        <v>0</v>
      </c>
      <c r="AX29" s="74">
        <f>('Instruction-4YR'!T29+'RESEARCH 4yr'!T29+'PUBLIC SERVICE 4yr'!T29+'ASptISptSSv 4yr'!T29+'PLANT OPER MAIN 4yr'!T29+'SCHOLAR FELLOW 4yr'!T29+'All Other 4yr'!T29)-T29</f>
        <v>0</v>
      </c>
      <c r="AY29" s="74">
        <f>('Instruction-4YR'!U29+'RESEARCH 4yr'!U29+'PUBLIC SERVICE 4yr'!U29+'ASptISptSSv 4yr'!U29+'PLANT OPER MAIN 4yr'!U29+'SCHOLAR FELLOW 4yr'!U29+'All Other 4yr'!U29)-U29</f>
        <v>0</v>
      </c>
      <c r="AZ29" s="74">
        <f>('Instruction-4YR'!V29+'RESEARCH 4yr'!V29+'PUBLIC SERVICE 4yr'!V29+'ASptISptSSv 4yr'!V29+'PLANT OPER MAIN 4yr'!V29+'SCHOLAR FELLOW 4yr'!V29+'All Other 4yr'!V29)-V29</f>
        <v>0</v>
      </c>
      <c r="BA29" s="74">
        <f>('Instruction-4YR'!W29+'RESEARCH 4yr'!W29+'PUBLIC SERVICE 4yr'!W29+'ASptISptSSv 4yr'!W29+'PLANT OPER MAIN 4yr'!W29+'SCHOLAR FELLOW 4yr'!W29+'All Other 4yr'!W29)-W29</f>
        <v>0</v>
      </c>
      <c r="BB29" s="74">
        <f>('Instruction-4YR'!X29+'RESEARCH 4yr'!X29+'PUBLIC SERVICE 4yr'!X29+'ASptISptSSv 4yr'!X29+'PLANT OPER MAIN 4yr'!X29+'SCHOLAR FELLOW 4yr'!X29+'All Other 4yr'!X29)-X29</f>
        <v>0</v>
      </c>
      <c r="BC29" s="74">
        <f>('Instruction-4YR'!Y29+'RESEARCH 4yr'!Y29+'PUBLIC SERVICE 4yr'!Y29+'ASptISptSSv 4yr'!Y29+'PLANT OPER MAIN 4yr'!Y29+'SCHOLAR FELLOW 4yr'!Y29+'All Other 4yr'!Y29)-Y29</f>
        <v>0</v>
      </c>
      <c r="BD29" s="74">
        <f>('Instruction-4YR'!Z29+'RESEARCH 4yr'!Z29+'PUBLIC SERVICE 4yr'!Z29+'ASptISptSSv 4yr'!Z29+'PLANT OPER MAIN 4yr'!Z29+'SCHOLAR FELLOW 4yr'!Z29+'All Other 4yr'!Z29)-Z29</f>
        <v>0</v>
      </c>
      <c r="BE29" s="74">
        <f>('Instruction-4YR'!AA29+'RESEARCH 4yr'!AA29+'PUBLIC SERVICE 4yr'!AA29+'ASptISptSSv 4yr'!AA29+'PLANT OPER MAIN 4yr'!AA29+'SCHOLAR FELLOW 4yr'!AA29+'All Other 4yr'!AA29)-AA29</f>
        <v>0</v>
      </c>
      <c r="BF29" s="74">
        <f>('Instruction-4YR'!AB29+'RESEARCH 4yr'!AB29+'PUBLIC SERVICE 4yr'!AB29+'ASptISptSSv 4yr'!AB29+'PLANT OPER MAIN 4yr'!AB29+'SCHOLAR FELLOW 4yr'!AB29+'All Other 4yr'!AB29)-AB29</f>
        <v>0</v>
      </c>
      <c r="BG29" s="74">
        <f>('Instruction-4YR'!AC29+'RESEARCH 4yr'!AC29+'PUBLIC SERVICE 4yr'!AC29+'ASptISptSSv 4yr'!AC29+'PLANT OPER MAIN 4yr'!AC29+'SCHOLAR FELLOW 4yr'!AC29+'All Other 4yr'!AC29)-AC29</f>
        <v>0</v>
      </c>
      <c r="BH29" s="74">
        <f>('Instruction-4YR'!AD29+'RESEARCH 4yr'!AD29+'PUBLIC SERVICE 4yr'!AD29+'ASptISptSSv 4yr'!AD29+'PLANT OPER MAIN 4yr'!AD29+'SCHOLAR FELLOW 4yr'!AD29+'All Other 4yr'!AD29)-AD29</f>
        <v>0</v>
      </c>
      <c r="BI29" s="74">
        <f>('Instruction-4YR'!AE29+'RESEARCH 4yr'!AE29+'PUBLIC SERVICE 4yr'!AE29+'ASptISptSSv 4yr'!AE29+'PLANT OPER MAIN 4yr'!AE29+'SCHOLAR FELLOW 4yr'!AE29+'All Other 4yr'!AE29)-AE29</f>
        <v>0</v>
      </c>
    </row>
    <row r="30" spans="1:61">
      <c r="A30" s="1" t="s">
        <v>46</v>
      </c>
      <c r="F30" s="41">
        <v>1261223.844</v>
      </c>
      <c r="I30" s="1">
        <v>1428647.0630000001</v>
      </c>
      <c r="K30" s="1">
        <v>1580090.0767399999</v>
      </c>
      <c r="L30" s="1">
        <v>1903160.2749999999</v>
      </c>
      <c r="M30" s="1">
        <v>2064215.2779999999</v>
      </c>
      <c r="N30" s="1">
        <v>2245914.9049999998</v>
      </c>
      <c r="O30" s="1">
        <v>2313930.1880000001</v>
      </c>
      <c r="P30" s="1">
        <v>1888147.04</v>
      </c>
      <c r="Q30" s="1">
        <v>2910416.523</v>
      </c>
      <c r="R30" s="1">
        <v>2644288.719</v>
      </c>
      <c r="S30" s="1">
        <v>2802046.9840000002</v>
      </c>
      <c r="T30" s="1">
        <v>3021789.273</v>
      </c>
      <c r="U30" s="1">
        <v>3130807.3489999999</v>
      </c>
      <c r="V30" s="1">
        <v>3368292.4029999999</v>
      </c>
      <c r="W30" s="1">
        <v>3611207.372</v>
      </c>
      <c r="X30" s="1">
        <v>3804052.605</v>
      </c>
      <c r="Y30" s="1">
        <v>3892832.6370000001</v>
      </c>
      <c r="Z30" s="1">
        <v>4128779.0729999999</v>
      </c>
      <c r="AA30" s="1">
        <v>4425877.7860000003</v>
      </c>
      <c r="AB30" s="1">
        <v>4858158.091</v>
      </c>
      <c r="AC30" s="1">
        <v>5566912.6299999999</v>
      </c>
      <c r="AE30" s="1">
        <v>5516568.5829999996</v>
      </c>
      <c r="AF30" s="74">
        <f>('Instruction-4YR'!B30+'RESEARCH 4yr'!B30+'PUBLIC SERVICE 4yr'!B30+'ASptISptSSv 4yr'!B30+'PLANT OPER MAIN 4yr'!B30+'SCHOLAR FELLOW 4yr'!B30+'All Other 4yr'!B30)-B30</f>
        <v>0</v>
      </c>
      <c r="AG30" s="74">
        <f>('Instruction-4YR'!C30+'RESEARCH 4yr'!C30+'PUBLIC SERVICE 4yr'!C30+'ASptISptSSv 4yr'!C30+'PLANT OPER MAIN 4yr'!C30+'SCHOLAR FELLOW 4yr'!C30+'All Other 4yr'!C30)-C30</f>
        <v>0</v>
      </c>
      <c r="AH30" s="74">
        <f>('Instruction-4YR'!D30+'RESEARCH 4yr'!D30+'PUBLIC SERVICE 4yr'!D30+'ASptISptSSv 4yr'!D30+'PLANT OPER MAIN 4yr'!D30+'SCHOLAR FELLOW 4yr'!D30+'All Other 4yr'!D30)-D30</f>
        <v>0</v>
      </c>
      <c r="AI30" s="74">
        <f>('Instruction-4YR'!E30+'RESEARCH 4yr'!E30+'PUBLIC SERVICE 4yr'!E30+'ASptISptSSv 4yr'!E30+'PLANT OPER MAIN 4yr'!E30+'SCHOLAR FELLOW 4yr'!E30+'All Other 4yr'!E30)-E30</f>
        <v>0</v>
      </c>
      <c r="AJ30" s="74">
        <f>('Instruction-4YR'!F30+'RESEARCH 4yr'!F30+'PUBLIC SERVICE 4yr'!F30+'ASptISptSSv 4yr'!F30+'PLANT OPER MAIN 4yr'!F30+'SCHOLAR FELLOW 4yr'!F30+'All Other 4yr'!F30)-F30</f>
        <v>0</v>
      </c>
      <c r="AK30" s="74">
        <f>('Instruction-4YR'!G30+'RESEARCH 4yr'!G30+'PUBLIC SERVICE 4yr'!G30+'ASptISptSSv 4yr'!G30+'PLANT OPER MAIN 4yr'!G30+'SCHOLAR FELLOW 4yr'!G30+'All Other 4yr'!G30)-G30</f>
        <v>0</v>
      </c>
      <c r="AL30" s="74">
        <f>('Instruction-4YR'!H30+'RESEARCH 4yr'!H30+'PUBLIC SERVICE 4yr'!H30+'ASptISptSSv 4yr'!H30+'PLANT OPER MAIN 4yr'!H30+'SCHOLAR FELLOW 4yr'!H30+'All Other 4yr'!H30)-H30</f>
        <v>0</v>
      </c>
      <c r="AM30" s="74">
        <f>('Instruction-4YR'!I30+'RESEARCH 4yr'!I30+'PUBLIC SERVICE 4yr'!I30+'ASptISptSSv 4yr'!I30+'PLANT OPER MAIN 4yr'!I30+'SCHOLAR FELLOW 4yr'!I30+'All Other 4yr'!I30)-I30</f>
        <v>0</v>
      </c>
      <c r="AN30" s="74">
        <f>('Instruction-4YR'!J30+'RESEARCH 4yr'!J30+'PUBLIC SERVICE 4yr'!J30+'ASptISptSSv 4yr'!J30+'PLANT OPER MAIN 4yr'!J30+'SCHOLAR FELLOW 4yr'!J30+'All Other 4yr'!J30)-J30</f>
        <v>0</v>
      </c>
      <c r="AO30" s="74">
        <f>('Instruction-4YR'!K30+'RESEARCH 4yr'!K30+'PUBLIC SERVICE 4yr'!K30+'ASptISptSSv 4yr'!K30+'PLANT OPER MAIN 4yr'!K30+'SCHOLAR FELLOW 4yr'!K30+'All Other 4yr'!K30)-K30</f>
        <v>0</v>
      </c>
      <c r="AP30" s="74">
        <f>('Instruction-4YR'!L30+'RESEARCH 4yr'!L30+'PUBLIC SERVICE 4yr'!L30+'ASptISptSSv 4yr'!L30+'PLANT OPER MAIN 4yr'!L30+'SCHOLAR FELLOW 4yr'!L30+'All Other 4yr'!L30)-L30</f>
        <v>0</v>
      </c>
      <c r="AQ30" s="74">
        <f>('Instruction-4YR'!M30+'RESEARCH 4yr'!M30+'PUBLIC SERVICE 4yr'!M30+'ASptISptSSv 4yr'!M30+'PLANT OPER MAIN 4yr'!M30+'SCHOLAR FELLOW 4yr'!M30+'All Other 4yr'!M30)-M30</f>
        <v>0</v>
      </c>
      <c r="AR30" s="74">
        <f>('Instruction-4YR'!N30+'RESEARCH 4yr'!N30+'PUBLIC SERVICE 4yr'!N30+'ASptISptSSv 4yr'!N30+'PLANT OPER MAIN 4yr'!N30+'SCHOLAR FELLOW 4yr'!N30+'All Other 4yr'!N30)-N30</f>
        <v>0</v>
      </c>
      <c r="AS30" s="74">
        <f>('Instruction-4YR'!O30+'RESEARCH 4yr'!O30+'PUBLIC SERVICE 4yr'!O30+'ASptISptSSv 4yr'!O30+'PLANT OPER MAIN 4yr'!O30+'SCHOLAR FELLOW 4yr'!O30+'All Other 4yr'!O30)-O30</f>
        <v>0</v>
      </c>
      <c r="AT30" s="74">
        <f>('Instruction-4YR'!P30+'RESEARCH 4yr'!P30+'PUBLIC SERVICE 4yr'!P30+'ASptISptSSv 4yr'!P30+'PLANT OPER MAIN 4yr'!P30+'SCHOLAR FELLOW 4yr'!P30+'All Other 4yr'!P30)-P30</f>
        <v>0</v>
      </c>
      <c r="AU30" s="74">
        <f>('Instruction-4YR'!Q30+'RESEARCH 4yr'!Q30+'PUBLIC SERVICE 4yr'!Q30+'ASptISptSSv 4yr'!Q30+'PLANT OPER MAIN 4yr'!Q30+'SCHOLAR FELLOW 4yr'!Q30+'All Other 4yr'!Q30)-Q30</f>
        <v>0</v>
      </c>
      <c r="AV30" s="74">
        <f>('Instruction-4YR'!R30+'RESEARCH 4yr'!R30+'PUBLIC SERVICE 4yr'!R30+'ASptISptSSv 4yr'!R30+'PLANT OPER MAIN 4yr'!R30+'SCHOLAR FELLOW 4yr'!R30+'All Other 4yr'!R30)-R30</f>
        <v>0</v>
      </c>
      <c r="AW30" s="74">
        <f>('Instruction-4YR'!S30+'RESEARCH 4yr'!S30+'PUBLIC SERVICE 4yr'!S30+'ASptISptSSv 4yr'!S30+'PLANT OPER MAIN 4yr'!S30+'SCHOLAR FELLOW 4yr'!S30+'All Other 4yr'!S30)-S30</f>
        <v>0</v>
      </c>
      <c r="AX30" s="74">
        <f>('Instruction-4YR'!T30+'RESEARCH 4yr'!T30+'PUBLIC SERVICE 4yr'!T30+'ASptISptSSv 4yr'!T30+'PLANT OPER MAIN 4yr'!T30+'SCHOLAR FELLOW 4yr'!T30+'All Other 4yr'!T30)-T30</f>
        <v>0</v>
      </c>
      <c r="AY30" s="74">
        <f>('Instruction-4YR'!U30+'RESEARCH 4yr'!U30+'PUBLIC SERVICE 4yr'!U30+'ASptISptSSv 4yr'!U30+'PLANT OPER MAIN 4yr'!U30+'SCHOLAR FELLOW 4yr'!U30+'All Other 4yr'!U30)-U30</f>
        <v>0</v>
      </c>
      <c r="AZ30" s="74">
        <f>('Instruction-4YR'!V30+'RESEARCH 4yr'!V30+'PUBLIC SERVICE 4yr'!V30+'ASptISptSSv 4yr'!V30+'PLANT OPER MAIN 4yr'!V30+'SCHOLAR FELLOW 4yr'!V30+'All Other 4yr'!V30)-V30</f>
        <v>0</v>
      </c>
      <c r="BA30" s="74">
        <f>('Instruction-4YR'!W30+'RESEARCH 4yr'!W30+'PUBLIC SERVICE 4yr'!W30+'ASptISptSSv 4yr'!W30+'PLANT OPER MAIN 4yr'!W30+'SCHOLAR FELLOW 4yr'!W30+'All Other 4yr'!W30)-W30</f>
        <v>0</v>
      </c>
      <c r="BB30" s="74">
        <f>('Instruction-4YR'!X30+'RESEARCH 4yr'!X30+'PUBLIC SERVICE 4yr'!X30+'ASptISptSSv 4yr'!X30+'PLANT OPER MAIN 4yr'!X30+'SCHOLAR FELLOW 4yr'!X30+'All Other 4yr'!X30)-X30</f>
        <v>0</v>
      </c>
      <c r="BC30" s="74">
        <f>('Instruction-4YR'!Y30+'RESEARCH 4yr'!Y30+'PUBLIC SERVICE 4yr'!Y30+'ASptISptSSv 4yr'!Y30+'PLANT OPER MAIN 4yr'!Y30+'SCHOLAR FELLOW 4yr'!Y30+'All Other 4yr'!Y30)-Y30</f>
        <v>0</v>
      </c>
      <c r="BD30" s="74">
        <f>('Instruction-4YR'!Z30+'RESEARCH 4yr'!Z30+'PUBLIC SERVICE 4yr'!Z30+'ASptISptSSv 4yr'!Z30+'PLANT OPER MAIN 4yr'!Z30+'SCHOLAR FELLOW 4yr'!Z30+'All Other 4yr'!Z30)-Z30</f>
        <v>0</v>
      </c>
      <c r="BE30" s="74">
        <f>('Instruction-4YR'!AA30+'RESEARCH 4yr'!AA30+'PUBLIC SERVICE 4yr'!AA30+'ASptISptSSv 4yr'!AA30+'PLANT OPER MAIN 4yr'!AA30+'SCHOLAR FELLOW 4yr'!AA30+'All Other 4yr'!AA30)-AA30</f>
        <v>0</v>
      </c>
      <c r="BF30" s="74">
        <f>('Instruction-4YR'!AB30+'RESEARCH 4yr'!AB30+'PUBLIC SERVICE 4yr'!AB30+'ASptISptSSv 4yr'!AB30+'PLANT OPER MAIN 4yr'!AB30+'SCHOLAR FELLOW 4yr'!AB30+'All Other 4yr'!AB30)-AB30</f>
        <v>0</v>
      </c>
      <c r="BG30" s="74">
        <f>('Instruction-4YR'!AC30+'RESEARCH 4yr'!AC30+'PUBLIC SERVICE 4yr'!AC30+'ASptISptSSv 4yr'!AC30+'PLANT OPER MAIN 4yr'!AC30+'SCHOLAR FELLOW 4yr'!AC30+'All Other 4yr'!AC30)-AC30</f>
        <v>0</v>
      </c>
      <c r="BH30" s="74">
        <f>('Instruction-4YR'!AD30+'RESEARCH 4yr'!AD30+'PUBLIC SERVICE 4yr'!AD30+'ASptISptSSv 4yr'!AD30+'PLANT OPER MAIN 4yr'!AD30+'SCHOLAR FELLOW 4yr'!AD30+'All Other 4yr'!AD30)-AD30</f>
        <v>0</v>
      </c>
      <c r="BI30" s="74">
        <f>('Instruction-4YR'!AE30+'RESEARCH 4yr'!AE30+'PUBLIC SERVICE 4yr'!AE30+'ASptISptSSv 4yr'!AE30+'PLANT OPER MAIN 4yr'!AE30+'SCHOLAR FELLOW 4yr'!AE30+'All Other 4yr'!AE30)-AE30</f>
        <v>0</v>
      </c>
    </row>
    <row r="31" spans="1:61">
      <c r="A31" s="1" t="s">
        <v>47</v>
      </c>
      <c r="F31" s="41">
        <v>404487.81099999999</v>
      </c>
      <c r="I31" s="1">
        <v>447897.12800000003</v>
      </c>
      <c r="K31" s="1">
        <v>471961.50699999998</v>
      </c>
      <c r="L31" s="1">
        <v>473283.22700000001</v>
      </c>
      <c r="M31" s="1">
        <v>483242.49400000001</v>
      </c>
      <c r="N31" s="1">
        <v>635825.11300000001</v>
      </c>
      <c r="O31" s="1">
        <v>649420.05099999998</v>
      </c>
      <c r="P31" s="1">
        <v>701971.14</v>
      </c>
      <c r="Q31" s="1">
        <v>737030.08299999998</v>
      </c>
      <c r="R31" s="1">
        <v>805184.44299999997</v>
      </c>
      <c r="S31" s="1">
        <v>859195.29200000002</v>
      </c>
      <c r="T31" s="1">
        <v>944279.66700000002</v>
      </c>
      <c r="U31" s="1">
        <v>991524.08700000006</v>
      </c>
      <c r="V31" s="1">
        <v>918439.90500000003</v>
      </c>
      <c r="W31" s="1">
        <v>989277.00399999996</v>
      </c>
      <c r="X31" s="1">
        <v>1076766.7080000001</v>
      </c>
      <c r="Y31" s="1">
        <v>1123513.057</v>
      </c>
      <c r="Z31" s="1">
        <v>1168745.1669999999</v>
      </c>
      <c r="AA31" s="1">
        <v>1141999.4210000001</v>
      </c>
      <c r="AB31" s="1">
        <v>1187387.335</v>
      </c>
      <c r="AC31" s="1">
        <v>1184047.9990000001</v>
      </c>
      <c r="AE31" s="1">
        <v>1216679.172</v>
      </c>
      <c r="AF31" s="74">
        <f>('Instruction-4YR'!B31+'RESEARCH 4yr'!B31+'PUBLIC SERVICE 4yr'!B31+'ASptISptSSv 4yr'!B31+'PLANT OPER MAIN 4yr'!B31+'SCHOLAR FELLOW 4yr'!B31+'All Other 4yr'!B31)-B31</f>
        <v>0</v>
      </c>
      <c r="AG31" s="74">
        <f>('Instruction-4YR'!C31+'RESEARCH 4yr'!C31+'PUBLIC SERVICE 4yr'!C31+'ASptISptSSv 4yr'!C31+'PLANT OPER MAIN 4yr'!C31+'SCHOLAR FELLOW 4yr'!C31+'All Other 4yr'!C31)-C31</f>
        <v>0</v>
      </c>
      <c r="AH31" s="74">
        <f>('Instruction-4YR'!D31+'RESEARCH 4yr'!D31+'PUBLIC SERVICE 4yr'!D31+'ASptISptSSv 4yr'!D31+'PLANT OPER MAIN 4yr'!D31+'SCHOLAR FELLOW 4yr'!D31+'All Other 4yr'!D31)-D31</f>
        <v>0</v>
      </c>
      <c r="AI31" s="74">
        <f>('Instruction-4YR'!E31+'RESEARCH 4yr'!E31+'PUBLIC SERVICE 4yr'!E31+'ASptISptSSv 4yr'!E31+'PLANT OPER MAIN 4yr'!E31+'SCHOLAR FELLOW 4yr'!E31+'All Other 4yr'!E31)-E31</f>
        <v>0</v>
      </c>
      <c r="AJ31" s="74">
        <f>('Instruction-4YR'!F31+'RESEARCH 4yr'!F31+'PUBLIC SERVICE 4yr'!F31+'ASptISptSSv 4yr'!F31+'PLANT OPER MAIN 4yr'!F31+'SCHOLAR FELLOW 4yr'!F31+'All Other 4yr'!F31)-F31</f>
        <v>0</v>
      </c>
      <c r="AK31" s="74">
        <f>('Instruction-4YR'!G31+'RESEARCH 4yr'!G31+'PUBLIC SERVICE 4yr'!G31+'ASptISptSSv 4yr'!G31+'PLANT OPER MAIN 4yr'!G31+'SCHOLAR FELLOW 4yr'!G31+'All Other 4yr'!G31)-G31</f>
        <v>0</v>
      </c>
      <c r="AL31" s="74">
        <f>('Instruction-4YR'!H31+'RESEARCH 4yr'!H31+'PUBLIC SERVICE 4yr'!H31+'ASptISptSSv 4yr'!H31+'PLANT OPER MAIN 4yr'!H31+'SCHOLAR FELLOW 4yr'!H31+'All Other 4yr'!H31)-H31</f>
        <v>0</v>
      </c>
      <c r="AM31" s="74">
        <f>('Instruction-4YR'!I31+'RESEARCH 4yr'!I31+'PUBLIC SERVICE 4yr'!I31+'ASptISptSSv 4yr'!I31+'PLANT OPER MAIN 4yr'!I31+'SCHOLAR FELLOW 4yr'!I31+'All Other 4yr'!I31)-I31</f>
        <v>0</v>
      </c>
      <c r="AN31" s="74">
        <f>('Instruction-4YR'!J31+'RESEARCH 4yr'!J31+'PUBLIC SERVICE 4yr'!J31+'ASptISptSSv 4yr'!J31+'PLANT OPER MAIN 4yr'!J31+'SCHOLAR FELLOW 4yr'!J31+'All Other 4yr'!J31)-J31</f>
        <v>0</v>
      </c>
      <c r="AO31" s="74">
        <f>('Instruction-4YR'!K31+'RESEARCH 4yr'!K31+'PUBLIC SERVICE 4yr'!K31+'ASptISptSSv 4yr'!K31+'PLANT OPER MAIN 4yr'!K31+'SCHOLAR FELLOW 4yr'!K31+'All Other 4yr'!K31)-K31</f>
        <v>0</v>
      </c>
      <c r="AP31" s="74">
        <f>('Instruction-4YR'!L31+'RESEARCH 4yr'!L31+'PUBLIC SERVICE 4yr'!L31+'ASptISptSSv 4yr'!L31+'PLANT OPER MAIN 4yr'!L31+'SCHOLAR FELLOW 4yr'!L31+'All Other 4yr'!L31)-L31</f>
        <v>0</v>
      </c>
      <c r="AQ31" s="74">
        <f>('Instruction-4YR'!M31+'RESEARCH 4yr'!M31+'PUBLIC SERVICE 4yr'!M31+'ASptISptSSv 4yr'!M31+'PLANT OPER MAIN 4yr'!M31+'SCHOLAR FELLOW 4yr'!M31+'All Other 4yr'!M31)-M31</f>
        <v>0</v>
      </c>
      <c r="AR31" s="74">
        <f>('Instruction-4YR'!N31+'RESEARCH 4yr'!N31+'PUBLIC SERVICE 4yr'!N31+'ASptISptSSv 4yr'!N31+'PLANT OPER MAIN 4yr'!N31+'SCHOLAR FELLOW 4yr'!N31+'All Other 4yr'!N31)-N31</f>
        <v>0</v>
      </c>
      <c r="AS31" s="74">
        <f>('Instruction-4YR'!O31+'RESEARCH 4yr'!O31+'PUBLIC SERVICE 4yr'!O31+'ASptISptSSv 4yr'!O31+'PLANT OPER MAIN 4yr'!O31+'SCHOLAR FELLOW 4yr'!O31+'All Other 4yr'!O31)-O31</f>
        <v>0</v>
      </c>
      <c r="AT31" s="74">
        <f>('Instruction-4YR'!P31+'RESEARCH 4yr'!P31+'PUBLIC SERVICE 4yr'!P31+'ASptISptSSv 4yr'!P31+'PLANT OPER MAIN 4yr'!P31+'SCHOLAR FELLOW 4yr'!P31+'All Other 4yr'!P31)-P31</f>
        <v>0</v>
      </c>
      <c r="AU31" s="74">
        <f>('Instruction-4YR'!Q31+'RESEARCH 4yr'!Q31+'PUBLIC SERVICE 4yr'!Q31+'ASptISptSSv 4yr'!Q31+'PLANT OPER MAIN 4yr'!Q31+'SCHOLAR FELLOW 4yr'!Q31+'All Other 4yr'!Q31)-Q31</f>
        <v>0</v>
      </c>
      <c r="AV31" s="74">
        <f>('Instruction-4YR'!R31+'RESEARCH 4yr'!R31+'PUBLIC SERVICE 4yr'!R31+'ASptISptSSv 4yr'!R31+'PLANT OPER MAIN 4yr'!R31+'SCHOLAR FELLOW 4yr'!R31+'All Other 4yr'!R31)-R31</f>
        <v>0</v>
      </c>
      <c r="AW31" s="74">
        <f>('Instruction-4YR'!S31+'RESEARCH 4yr'!S31+'PUBLIC SERVICE 4yr'!S31+'ASptISptSSv 4yr'!S31+'PLANT OPER MAIN 4yr'!S31+'SCHOLAR FELLOW 4yr'!S31+'All Other 4yr'!S31)-S31</f>
        <v>0</v>
      </c>
      <c r="AX31" s="74">
        <f>('Instruction-4YR'!T31+'RESEARCH 4yr'!T31+'PUBLIC SERVICE 4yr'!T31+'ASptISptSSv 4yr'!T31+'PLANT OPER MAIN 4yr'!T31+'SCHOLAR FELLOW 4yr'!T31+'All Other 4yr'!T31)-T31</f>
        <v>0</v>
      </c>
      <c r="AY31" s="74">
        <f>('Instruction-4YR'!U31+'RESEARCH 4yr'!U31+'PUBLIC SERVICE 4yr'!U31+'ASptISptSSv 4yr'!U31+'PLANT OPER MAIN 4yr'!U31+'SCHOLAR FELLOW 4yr'!U31+'All Other 4yr'!U31)-U31</f>
        <v>0</v>
      </c>
      <c r="AZ31" s="74">
        <f>('Instruction-4YR'!V31+'RESEARCH 4yr'!V31+'PUBLIC SERVICE 4yr'!V31+'ASptISptSSv 4yr'!V31+'PLANT OPER MAIN 4yr'!V31+'SCHOLAR FELLOW 4yr'!V31+'All Other 4yr'!V31)-V31</f>
        <v>0</v>
      </c>
      <c r="BA31" s="74">
        <f>('Instruction-4YR'!W31+'RESEARCH 4yr'!W31+'PUBLIC SERVICE 4yr'!W31+'ASptISptSSv 4yr'!W31+'PLANT OPER MAIN 4yr'!W31+'SCHOLAR FELLOW 4yr'!W31+'All Other 4yr'!W31)-W31</f>
        <v>0</v>
      </c>
      <c r="BB31" s="74">
        <f>('Instruction-4YR'!X31+'RESEARCH 4yr'!X31+'PUBLIC SERVICE 4yr'!X31+'ASptISptSSv 4yr'!X31+'PLANT OPER MAIN 4yr'!X31+'SCHOLAR FELLOW 4yr'!X31+'All Other 4yr'!X31)-X31</f>
        <v>0</v>
      </c>
      <c r="BC31" s="74">
        <f>('Instruction-4YR'!Y31+'RESEARCH 4yr'!Y31+'PUBLIC SERVICE 4yr'!Y31+'ASptISptSSv 4yr'!Y31+'PLANT OPER MAIN 4yr'!Y31+'SCHOLAR FELLOW 4yr'!Y31+'All Other 4yr'!Y31)-Y31</f>
        <v>0</v>
      </c>
      <c r="BD31" s="74">
        <f>('Instruction-4YR'!Z31+'RESEARCH 4yr'!Z31+'PUBLIC SERVICE 4yr'!Z31+'ASptISptSSv 4yr'!Z31+'PLANT OPER MAIN 4yr'!Z31+'SCHOLAR FELLOW 4yr'!Z31+'All Other 4yr'!Z31)-Z31</f>
        <v>0</v>
      </c>
      <c r="BE31" s="74">
        <f>('Instruction-4YR'!AA31+'RESEARCH 4yr'!AA31+'PUBLIC SERVICE 4yr'!AA31+'ASptISptSSv 4yr'!AA31+'PLANT OPER MAIN 4yr'!AA31+'SCHOLAR FELLOW 4yr'!AA31+'All Other 4yr'!AA31)-AA31</f>
        <v>0</v>
      </c>
      <c r="BF31" s="74">
        <f>('Instruction-4YR'!AB31+'RESEARCH 4yr'!AB31+'PUBLIC SERVICE 4yr'!AB31+'ASptISptSSv 4yr'!AB31+'PLANT OPER MAIN 4yr'!AB31+'SCHOLAR FELLOW 4yr'!AB31+'All Other 4yr'!AB31)-AB31</f>
        <v>0</v>
      </c>
      <c r="BG31" s="74">
        <f>('Instruction-4YR'!AC31+'RESEARCH 4yr'!AC31+'PUBLIC SERVICE 4yr'!AC31+'ASptISptSSv 4yr'!AC31+'PLANT OPER MAIN 4yr'!AC31+'SCHOLAR FELLOW 4yr'!AC31+'All Other 4yr'!AC31)-AC31</f>
        <v>0</v>
      </c>
      <c r="BH31" s="74">
        <f>('Instruction-4YR'!AD31+'RESEARCH 4yr'!AD31+'PUBLIC SERVICE 4yr'!AD31+'ASptISptSSv 4yr'!AD31+'PLANT OPER MAIN 4yr'!AD31+'SCHOLAR FELLOW 4yr'!AD31+'All Other 4yr'!AD31)-AD31</f>
        <v>0</v>
      </c>
      <c r="BI31" s="74">
        <f>('Instruction-4YR'!AE31+'RESEARCH 4yr'!AE31+'PUBLIC SERVICE 4yr'!AE31+'ASptISptSSv 4yr'!AE31+'PLANT OPER MAIN 4yr'!AE31+'SCHOLAR FELLOW 4yr'!AE31+'All Other 4yr'!AE31)-AE31</f>
        <v>0</v>
      </c>
    </row>
    <row r="32" spans="1:61">
      <c r="A32" s="1" t="s">
        <v>48</v>
      </c>
      <c r="F32" s="41">
        <v>320354.50699999998</v>
      </c>
      <c r="I32" s="1">
        <v>373993.48</v>
      </c>
      <c r="K32" s="1">
        <v>415097.11700000003</v>
      </c>
      <c r="L32" s="1">
        <v>495521.69799999997</v>
      </c>
      <c r="M32" s="1">
        <v>549653.54299999995</v>
      </c>
      <c r="N32" s="1">
        <v>619337.44200000004</v>
      </c>
      <c r="O32" s="1">
        <v>619017.28500000003</v>
      </c>
      <c r="P32" s="1">
        <v>646880.89399999997</v>
      </c>
      <c r="Q32" s="1">
        <v>690627.84600000002</v>
      </c>
      <c r="R32" s="1">
        <v>712011.89099999995</v>
      </c>
      <c r="S32" s="1">
        <v>738334.451</v>
      </c>
      <c r="T32" s="1">
        <v>798121.89199999999</v>
      </c>
      <c r="U32" s="1">
        <v>824208.37100000004</v>
      </c>
      <c r="V32" s="1">
        <v>818363.91099999996</v>
      </c>
      <c r="W32" s="1">
        <v>846304.51</v>
      </c>
      <c r="X32" s="1">
        <v>873269.30099999998</v>
      </c>
      <c r="Y32" s="1">
        <v>898663.75300000003</v>
      </c>
      <c r="Z32" s="1">
        <v>907055.74199999997</v>
      </c>
      <c r="AA32" s="1">
        <v>933373.05799999996</v>
      </c>
      <c r="AB32" s="1">
        <v>977498.571</v>
      </c>
      <c r="AC32" s="1">
        <v>1019269.4449999999</v>
      </c>
      <c r="AE32" s="1">
        <v>1098621.68</v>
      </c>
      <c r="AF32" s="74">
        <f>('Instruction-4YR'!B32+'RESEARCH 4yr'!B32+'PUBLIC SERVICE 4yr'!B32+'ASptISptSSv 4yr'!B32+'PLANT OPER MAIN 4yr'!B32+'SCHOLAR FELLOW 4yr'!B32+'All Other 4yr'!B32)-B32</f>
        <v>0</v>
      </c>
      <c r="AG32" s="74">
        <f>('Instruction-4YR'!C32+'RESEARCH 4yr'!C32+'PUBLIC SERVICE 4yr'!C32+'ASptISptSSv 4yr'!C32+'PLANT OPER MAIN 4yr'!C32+'SCHOLAR FELLOW 4yr'!C32+'All Other 4yr'!C32)-C32</f>
        <v>0</v>
      </c>
      <c r="AH32" s="74">
        <f>('Instruction-4YR'!D32+'RESEARCH 4yr'!D32+'PUBLIC SERVICE 4yr'!D32+'ASptISptSSv 4yr'!D32+'PLANT OPER MAIN 4yr'!D32+'SCHOLAR FELLOW 4yr'!D32+'All Other 4yr'!D32)-D32</f>
        <v>0</v>
      </c>
      <c r="AI32" s="74">
        <f>('Instruction-4YR'!E32+'RESEARCH 4yr'!E32+'PUBLIC SERVICE 4yr'!E32+'ASptISptSSv 4yr'!E32+'PLANT OPER MAIN 4yr'!E32+'SCHOLAR FELLOW 4yr'!E32+'All Other 4yr'!E32)-E32</f>
        <v>0</v>
      </c>
      <c r="AJ32" s="74">
        <f>('Instruction-4YR'!F32+'RESEARCH 4yr'!F32+'PUBLIC SERVICE 4yr'!F32+'ASptISptSSv 4yr'!F32+'PLANT OPER MAIN 4yr'!F32+'SCHOLAR FELLOW 4yr'!F32+'All Other 4yr'!F32)-F32</f>
        <v>0</v>
      </c>
      <c r="AK32" s="74">
        <f>('Instruction-4YR'!G32+'RESEARCH 4yr'!G32+'PUBLIC SERVICE 4yr'!G32+'ASptISptSSv 4yr'!G32+'PLANT OPER MAIN 4yr'!G32+'SCHOLAR FELLOW 4yr'!G32+'All Other 4yr'!G32)-G32</f>
        <v>0</v>
      </c>
      <c r="AL32" s="74">
        <f>('Instruction-4YR'!H32+'RESEARCH 4yr'!H32+'PUBLIC SERVICE 4yr'!H32+'ASptISptSSv 4yr'!H32+'PLANT OPER MAIN 4yr'!H32+'SCHOLAR FELLOW 4yr'!H32+'All Other 4yr'!H32)-H32</f>
        <v>0</v>
      </c>
      <c r="AM32" s="74">
        <f>('Instruction-4YR'!I32+'RESEARCH 4yr'!I32+'PUBLIC SERVICE 4yr'!I32+'ASptISptSSv 4yr'!I32+'PLANT OPER MAIN 4yr'!I32+'SCHOLAR FELLOW 4yr'!I32+'All Other 4yr'!I32)-I32</f>
        <v>0</v>
      </c>
      <c r="AN32" s="74">
        <f>('Instruction-4YR'!J32+'RESEARCH 4yr'!J32+'PUBLIC SERVICE 4yr'!J32+'ASptISptSSv 4yr'!J32+'PLANT OPER MAIN 4yr'!J32+'SCHOLAR FELLOW 4yr'!J32+'All Other 4yr'!J32)-J32</f>
        <v>0</v>
      </c>
      <c r="AO32" s="74">
        <f>('Instruction-4YR'!K32+'RESEARCH 4yr'!K32+'PUBLIC SERVICE 4yr'!K32+'ASptISptSSv 4yr'!K32+'PLANT OPER MAIN 4yr'!K32+'SCHOLAR FELLOW 4yr'!K32+'All Other 4yr'!K32)-K32</f>
        <v>0</v>
      </c>
      <c r="AP32" s="74">
        <f>('Instruction-4YR'!L32+'RESEARCH 4yr'!L32+'PUBLIC SERVICE 4yr'!L32+'ASptISptSSv 4yr'!L32+'PLANT OPER MAIN 4yr'!L32+'SCHOLAR FELLOW 4yr'!L32+'All Other 4yr'!L32)-L32</f>
        <v>0</v>
      </c>
      <c r="AQ32" s="74">
        <f>('Instruction-4YR'!M32+'RESEARCH 4yr'!M32+'PUBLIC SERVICE 4yr'!M32+'ASptISptSSv 4yr'!M32+'PLANT OPER MAIN 4yr'!M32+'SCHOLAR FELLOW 4yr'!M32+'All Other 4yr'!M32)-M32</f>
        <v>0</v>
      </c>
      <c r="AR32" s="74">
        <f>('Instruction-4YR'!N32+'RESEARCH 4yr'!N32+'PUBLIC SERVICE 4yr'!N32+'ASptISptSSv 4yr'!N32+'PLANT OPER MAIN 4yr'!N32+'SCHOLAR FELLOW 4yr'!N32+'All Other 4yr'!N32)-N32</f>
        <v>0</v>
      </c>
      <c r="AS32" s="74">
        <f>('Instruction-4YR'!O32+'RESEARCH 4yr'!O32+'PUBLIC SERVICE 4yr'!O32+'ASptISptSSv 4yr'!O32+'PLANT OPER MAIN 4yr'!O32+'SCHOLAR FELLOW 4yr'!O32+'All Other 4yr'!O32)-O32</f>
        <v>0</v>
      </c>
      <c r="AT32" s="74">
        <f>('Instruction-4YR'!P32+'RESEARCH 4yr'!P32+'PUBLIC SERVICE 4yr'!P32+'ASptISptSSv 4yr'!P32+'PLANT OPER MAIN 4yr'!P32+'SCHOLAR FELLOW 4yr'!P32+'All Other 4yr'!P32)-P32</f>
        <v>0</v>
      </c>
      <c r="AU32" s="74">
        <f>('Instruction-4YR'!Q32+'RESEARCH 4yr'!Q32+'PUBLIC SERVICE 4yr'!Q32+'ASptISptSSv 4yr'!Q32+'PLANT OPER MAIN 4yr'!Q32+'SCHOLAR FELLOW 4yr'!Q32+'All Other 4yr'!Q32)-Q32</f>
        <v>0</v>
      </c>
      <c r="AV32" s="74">
        <f>('Instruction-4YR'!R32+'RESEARCH 4yr'!R32+'PUBLIC SERVICE 4yr'!R32+'ASptISptSSv 4yr'!R32+'PLANT OPER MAIN 4yr'!R32+'SCHOLAR FELLOW 4yr'!R32+'All Other 4yr'!R32)-R32</f>
        <v>0</v>
      </c>
      <c r="AW32" s="74">
        <f>('Instruction-4YR'!S32+'RESEARCH 4yr'!S32+'PUBLIC SERVICE 4yr'!S32+'ASptISptSSv 4yr'!S32+'PLANT OPER MAIN 4yr'!S32+'SCHOLAR FELLOW 4yr'!S32+'All Other 4yr'!S32)-S32</f>
        <v>0</v>
      </c>
      <c r="AX32" s="74">
        <f>('Instruction-4YR'!T32+'RESEARCH 4yr'!T32+'PUBLIC SERVICE 4yr'!T32+'ASptISptSSv 4yr'!T32+'PLANT OPER MAIN 4yr'!T32+'SCHOLAR FELLOW 4yr'!T32+'All Other 4yr'!T32)-T32</f>
        <v>0</v>
      </c>
      <c r="AY32" s="74">
        <f>('Instruction-4YR'!U32+'RESEARCH 4yr'!U32+'PUBLIC SERVICE 4yr'!U32+'ASptISptSSv 4yr'!U32+'PLANT OPER MAIN 4yr'!U32+'SCHOLAR FELLOW 4yr'!U32+'All Other 4yr'!U32)-U32</f>
        <v>0</v>
      </c>
      <c r="AZ32" s="74">
        <f>('Instruction-4YR'!V32+'RESEARCH 4yr'!V32+'PUBLIC SERVICE 4yr'!V32+'ASptISptSSv 4yr'!V32+'PLANT OPER MAIN 4yr'!V32+'SCHOLAR FELLOW 4yr'!V32+'All Other 4yr'!V32)-V32</f>
        <v>0</v>
      </c>
      <c r="BA32" s="74">
        <f>('Instruction-4YR'!W32+'RESEARCH 4yr'!W32+'PUBLIC SERVICE 4yr'!W32+'ASptISptSSv 4yr'!W32+'PLANT OPER MAIN 4yr'!W32+'SCHOLAR FELLOW 4yr'!W32+'All Other 4yr'!W32)-W32</f>
        <v>0</v>
      </c>
      <c r="BB32" s="74">
        <f>('Instruction-4YR'!X32+'RESEARCH 4yr'!X32+'PUBLIC SERVICE 4yr'!X32+'ASptISptSSv 4yr'!X32+'PLANT OPER MAIN 4yr'!X32+'SCHOLAR FELLOW 4yr'!X32+'All Other 4yr'!X32)-X32</f>
        <v>0</v>
      </c>
      <c r="BC32" s="74">
        <f>('Instruction-4YR'!Y32+'RESEARCH 4yr'!Y32+'PUBLIC SERVICE 4yr'!Y32+'ASptISptSSv 4yr'!Y32+'PLANT OPER MAIN 4yr'!Y32+'SCHOLAR FELLOW 4yr'!Y32+'All Other 4yr'!Y32)-Y32</f>
        <v>0</v>
      </c>
      <c r="BD32" s="74">
        <f>('Instruction-4YR'!Z32+'RESEARCH 4yr'!Z32+'PUBLIC SERVICE 4yr'!Z32+'ASptISptSSv 4yr'!Z32+'PLANT OPER MAIN 4yr'!Z32+'SCHOLAR FELLOW 4yr'!Z32+'All Other 4yr'!Z32)-Z32</f>
        <v>0</v>
      </c>
      <c r="BE32" s="74">
        <f>('Instruction-4YR'!AA32+'RESEARCH 4yr'!AA32+'PUBLIC SERVICE 4yr'!AA32+'ASptISptSSv 4yr'!AA32+'PLANT OPER MAIN 4yr'!AA32+'SCHOLAR FELLOW 4yr'!AA32+'All Other 4yr'!AA32)-AA32</f>
        <v>0</v>
      </c>
      <c r="BF32" s="74">
        <f>('Instruction-4YR'!AB32+'RESEARCH 4yr'!AB32+'PUBLIC SERVICE 4yr'!AB32+'ASptISptSSv 4yr'!AB32+'PLANT OPER MAIN 4yr'!AB32+'SCHOLAR FELLOW 4yr'!AB32+'All Other 4yr'!AB32)-AB32</f>
        <v>0</v>
      </c>
      <c r="BG32" s="74">
        <f>('Instruction-4YR'!AC32+'RESEARCH 4yr'!AC32+'PUBLIC SERVICE 4yr'!AC32+'ASptISptSSv 4yr'!AC32+'PLANT OPER MAIN 4yr'!AC32+'SCHOLAR FELLOW 4yr'!AC32+'All Other 4yr'!AC32)-AC32</f>
        <v>0</v>
      </c>
      <c r="BH32" s="74">
        <f>('Instruction-4YR'!AD32+'RESEARCH 4yr'!AD32+'PUBLIC SERVICE 4yr'!AD32+'ASptISptSSv 4yr'!AD32+'PLANT OPER MAIN 4yr'!AD32+'SCHOLAR FELLOW 4yr'!AD32+'All Other 4yr'!AD32)-AD32</f>
        <v>0</v>
      </c>
      <c r="BI32" s="74">
        <f>('Instruction-4YR'!AE32+'RESEARCH 4yr'!AE32+'PUBLIC SERVICE 4yr'!AE32+'ASptISptSSv 4yr'!AE32+'PLANT OPER MAIN 4yr'!AE32+'SCHOLAR FELLOW 4yr'!AE32+'All Other 4yr'!AE32)-AE32</f>
        <v>0</v>
      </c>
    </row>
    <row r="33" spans="1:61">
      <c r="A33" s="1" t="s">
        <v>49</v>
      </c>
      <c r="F33" s="41">
        <v>245651.08300000001</v>
      </c>
      <c r="I33" s="1">
        <v>289628.071</v>
      </c>
      <c r="K33" s="1">
        <v>367186.967</v>
      </c>
      <c r="L33" s="1">
        <v>419766.86800000002</v>
      </c>
      <c r="M33" s="1">
        <v>435575.43900000001</v>
      </c>
      <c r="N33" s="1">
        <v>484561.03100000002</v>
      </c>
      <c r="O33" s="1">
        <v>555358.06799999997</v>
      </c>
      <c r="P33" s="1">
        <v>587557.97499999998</v>
      </c>
      <c r="Q33" s="1">
        <v>617137.48899999994</v>
      </c>
      <c r="R33" s="1">
        <v>649706.26199999999</v>
      </c>
      <c r="S33" s="1">
        <v>677052.71299999999</v>
      </c>
      <c r="T33" s="1">
        <v>720660.37699999998</v>
      </c>
      <c r="U33" s="1">
        <v>749832.78300000005</v>
      </c>
      <c r="V33" s="1">
        <v>773382.05</v>
      </c>
      <c r="W33" s="1">
        <v>803529.36699999997</v>
      </c>
      <c r="X33" s="1">
        <v>816840.679</v>
      </c>
      <c r="Y33" s="1">
        <v>830285.45499999996</v>
      </c>
      <c r="Z33" s="1">
        <v>843556.70600000001</v>
      </c>
      <c r="AA33" s="1">
        <v>853917.37399999995</v>
      </c>
      <c r="AB33" s="1">
        <v>874712.71699999995</v>
      </c>
      <c r="AC33" s="1">
        <v>924127.17200000002</v>
      </c>
      <c r="AE33" s="1">
        <v>948473.67099999997</v>
      </c>
      <c r="AF33" s="74">
        <f>('Instruction-4YR'!B33+'RESEARCH 4yr'!B33+'PUBLIC SERVICE 4yr'!B33+'ASptISptSSv 4yr'!B33+'PLANT OPER MAIN 4yr'!B33+'SCHOLAR FELLOW 4yr'!B33+'All Other 4yr'!B33)-B33</f>
        <v>0</v>
      </c>
      <c r="AG33" s="74">
        <f>('Instruction-4YR'!C33+'RESEARCH 4yr'!C33+'PUBLIC SERVICE 4yr'!C33+'ASptISptSSv 4yr'!C33+'PLANT OPER MAIN 4yr'!C33+'SCHOLAR FELLOW 4yr'!C33+'All Other 4yr'!C33)-C33</f>
        <v>0</v>
      </c>
      <c r="AH33" s="74">
        <f>('Instruction-4YR'!D33+'RESEARCH 4yr'!D33+'PUBLIC SERVICE 4yr'!D33+'ASptISptSSv 4yr'!D33+'PLANT OPER MAIN 4yr'!D33+'SCHOLAR FELLOW 4yr'!D33+'All Other 4yr'!D33)-D33</f>
        <v>0</v>
      </c>
      <c r="AI33" s="74">
        <f>('Instruction-4YR'!E33+'RESEARCH 4yr'!E33+'PUBLIC SERVICE 4yr'!E33+'ASptISptSSv 4yr'!E33+'PLANT OPER MAIN 4yr'!E33+'SCHOLAR FELLOW 4yr'!E33+'All Other 4yr'!E33)-E33</f>
        <v>0</v>
      </c>
      <c r="AJ33" s="74">
        <f>('Instruction-4YR'!F33+'RESEARCH 4yr'!F33+'PUBLIC SERVICE 4yr'!F33+'ASptISptSSv 4yr'!F33+'PLANT OPER MAIN 4yr'!F33+'SCHOLAR FELLOW 4yr'!F33+'All Other 4yr'!F33)-F33</f>
        <v>0</v>
      </c>
      <c r="AK33" s="74">
        <f>('Instruction-4YR'!G33+'RESEARCH 4yr'!G33+'PUBLIC SERVICE 4yr'!G33+'ASptISptSSv 4yr'!G33+'PLANT OPER MAIN 4yr'!G33+'SCHOLAR FELLOW 4yr'!G33+'All Other 4yr'!G33)-G33</f>
        <v>0</v>
      </c>
      <c r="AL33" s="74">
        <f>('Instruction-4YR'!H33+'RESEARCH 4yr'!H33+'PUBLIC SERVICE 4yr'!H33+'ASptISptSSv 4yr'!H33+'PLANT OPER MAIN 4yr'!H33+'SCHOLAR FELLOW 4yr'!H33+'All Other 4yr'!H33)-H33</f>
        <v>0</v>
      </c>
      <c r="AM33" s="74">
        <f>('Instruction-4YR'!I33+'RESEARCH 4yr'!I33+'PUBLIC SERVICE 4yr'!I33+'ASptISptSSv 4yr'!I33+'PLANT OPER MAIN 4yr'!I33+'SCHOLAR FELLOW 4yr'!I33+'All Other 4yr'!I33)-I33</f>
        <v>0</v>
      </c>
      <c r="AN33" s="74">
        <f>('Instruction-4YR'!J33+'RESEARCH 4yr'!J33+'PUBLIC SERVICE 4yr'!J33+'ASptISptSSv 4yr'!J33+'PLANT OPER MAIN 4yr'!J33+'SCHOLAR FELLOW 4yr'!J33+'All Other 4yr'!J33)-J33</f>
        <v>0</v>
      </c>
      <c r="AO33" s="74">
        <f>('Instruction-4YR'!K33+'RESEARCH 4yr'!K33+'PUBLIC SERVICE 4yr'!K33+'ASptISptSSv 4yr'!K33+'PLANT OPER MAIN 4yr'!K33+'SCHOLAR FELLOW 4yr'!K33+'All Other 4yr'!K33)-K33</f>
        <v>0</v>
      </c>
      <c r="AP33" s="74">
        <f>('Instruction-4YR'!L33+'RESEARCH 4yr'!L33+'PUBLIC SERVICE 4yr'!L33+'ASptISptSSv 4yr'!L33+'PLANT OPER MAIN 4yr'!L33+'SCHOLAR FELLOW 4yr'!L33+'All Other 4yr'!L33)-L33</f>
        <v>0</v>
      </c>
      <c r="AQ33" s="74">
        <f>('Instruction-4YR'!M33+'RESEARCH 4yr'!M33+'PUBLIC SERVICE 4yr'!M33+'ASptISptSSv 4yr'!M33+'PLANT OPER MAIN 4yr'!M33+'SCHOLAR FELLOW 4yr'!M33+'All Other 4yr'!M33)-M33</f>
        <v>0</v>
      </c>
      <c r="AR33" s="74">
        <f>('Instruction-4YR'!N33+'RESEARCH 4yr'!N33+'PUBLIC SERVICE 4yr'!N33+'ASptISptSSv 4yr'!N33+'PLANT OPER MAIN 4yr'!N33+'SCHOLAR FELLOW 4yr'!N33+'All Other 4yr'!N33)-N33</f>
        <v>0</v>
      </c>
      <c r="AS33" s="74">
        <f>('Instruction-4YR'!O33+'RESEARCH 4yr'!O33+'PUBLIC SERVICE 4yr'!O33+'ASptISptSSv 4yr'!O33+'PLANT OPER MAIN 4yr'!O33+'SCHOLAR FELLOW 4yr'!O33+'All Other 4yr'!O33)-O33</f>
        <v>0</v>
      </c>
      <c r="AT33" s="74">
        <f>('Instruction-4YR'!P33+'RESEARCH 4yr'!P33+'PUBLIC SERVICE 4yr'!P33+'ASptISptSSv 4yr'!P33+'PLANT OPER MAIN 4yr'!P33+'SCHOLAR FELLOW 4yr'!P33+'All Other 4yr'!P33)-P33</f>
        <v>0</v>
      </c>
      <c r="AU33" s="74">
        <f>('Instruction-4YR'!Q33+'RESEARCH 4yr'!Q33+'PUBLIC SERVICE 4yr'!Q33+'ASptISptSSv 4yr'!Q33+'PLANT OPER MAIN 4yr'!Q33+'SCHOLAR FELLOW 4yr'!Q33+'All Other 4yr'!Q33)-Q33</f>
        <v>0</v>
      </c>
      <c r="AV33" s="74">
        <f>('Instruction-4YR'!R33+'RESEARCH 4yr'!R33+'PUBLIC SERVICE 4yr'!R33+'ASptISptSSv 4yr'!R33+'PLANT OPER MAIN 4yr'!R33+'SCHOLAR FELLOW 4yr'!R33+'All Other 4yr'!R33)-R33</f>
        <v>0</v>
      </c>
      <c r="AW33" s="74">
        <f>('Instruction-4YR'!S33+'RESEARCH 4yr'!S33+'PUBLIC SERVICE 4yr'!S33+'ASptISptSSv 4yr'!S33+'PLANT OPER MAIN 4yr'!S33+'SCHOLAR FELLOW 4yr'!S33+'All Other 4yr'!S33)-S33</f>
        <v>0</v>
      </c>
      <c r="AX33" s="74">
        <f>('Instruction-4YR'!T33+'RESEARCH 4yr'!T33+'PUBLIC SERVICE 4yr'!T33+'ASptISptSSv 4yr'!T33+'PLANT OPER MAIN 4yr'!T33+'SCHOLAR FELLOW 4yr'!T33+'All Other 4yr'!T33)-T33</f>
        <v>0</v>
      </c>
      <c r="AY33" s="74">
        <f>('Instruction-4YR'!U33+'RESEARCH 4yr'!U33+'PUBLIC SERVICE 4yr'!U33+'ASptISptSSv 4yr'!U33+'PLANT OPER MAIN 4yr'!U33+'SCHOLAR FELLOW 4yr'!U33+'All Other 4yr'!U33)-U33</f>
        <v>0</v>
      </c>
      <c r="AZ33" s="74">
        <f>('Instruction-4YR'!V33+'RESEARCH 4yr'!V33+'PUBLIC SERVICE 4yr'!V33+'ASptISptSSv 4yr'!V33+'PLANT OPER MAIN 4yr'!V33+'SCHOLAR FELLOW 4yr'!V33+'All Other 4yr'!V33)-V33</f>
        <v>0</v>
      </c>
      <c r="BA33" s="74">
        <f>('Instruction-4YR'!W33+'RESEARCH 4yr'!W33+'PUBLIC SERVICE 4yr'!W33+'ASptISptSSv 4yr'!W33+'PLANT OPER MAIN 4yr'!W33+'SCHOLAR FELLOW 4yr'!W33+'All Other 4yr'!W33)-W33</f>
        <v>0</v>
      </c>
      <c r="BB33" s="74">
        <f>('Instruction-4YR'!X33+'RESEARCH 4yr'!X33+'PUBLIC SERVICE 4yr'!X33+'ASptISptSSv 4yr'!X33+'PLANT OPER MAIN 4yr'!X33+'SCHOLAR FELLOW 4yr'!X33+'All Other 4yr'!X33)-X33</f>
        <v>0</v>
      </c>
      <c r="BC33" s="74">
        <f>('Instruction-4YR'!Y33+'RESEARCH 4yr'!Y33+'PUBLIC SERVICE 4yr'!Y33+'ASptISptSSv 4yr'!Y33+'PLANT OPER MAIN 4yr'!Y33+'SCHOLAR FELLOW 4yr'!Y33+'All Other 4yr'!Y33)-Y33</f>
        <v>0</v>
      </c>
      <c r="BD33" s="74">
        <f>('Instruction-4YR'!Z33+'RESEARCH 4yr'!Z33+'PUBLIC SERVICE 4yr'!Z33+'ASptISptSSv 4yr'!Z33+'PLANT OPER MAIN 4yr'!Z33+'SCHOLAR FELLOW 4yr'!Z33+'All Other 4yr'!Z33)-Z33</f>
        <v>0</v>
      </c>
      <c r="BE33" s="74">
        <f>('Instruction-4YR'!AA33+'RESEARCH 4yr'!AA33+'PUBLIC SERVICE 4yr'!AA33+'ASptISptSSv 4yr'!AA33+'PLANT OPER MAIN 4yr'!AA33+'SCHOLAR FELLOW 4yr'!AA33+'All Other 4yr'!AA33)-AA33</f>
        <v>0</v>
      </c>
      <c r="BF33" s="74">
        <f>('Instruction-4YR'!AB33+'RESEARCH 4yr'!AB33+'PUBLIC SERVICE 4yr'!AB33+'ASptISptSSv 4yr'!AB33+'PLANT OPER MAIN 4yr'!AB33+'SCHOLAR FELLOW 4yr'!AB33+'All Other 4yr'!AB33)-AB33</f>
        <v>0</v>
      </c>
      <c r="BG33" s="74">
        <f>('Instruction-4YR'!AC33+'RESEARCH 4yr'!AC33+'PUBLIC SERVICE 4yr'!AC33+'ASptISptSSv 4yr'!AC33+'PLANT OPER MAIN 4yr'!AC33+'SCHOLAR FELLOW 4yr'!AC33+'All Other 4yr'!AC33)-AC33</f>
        <v>0</v>
      </c>
      <c r="BH33" s="74">
        <f>('Instruction-4YR'!AD33+'RESEARCH 4yr'!AD33+'PUBLIC SERVICE 4yr'!AD33+'ASptISptSSv 4yr'!AD33+'PLANT OPER MAIN 4yr'!AD33+'SCHOLAR FELLOW 4yr'!AD33+'All Other 4yr'!AD33)-AD33</f>
        <v>0</v>
      </c>
      <c r="BI33" s="74">
        <f>('Instruction-4YR'!AE33+'RESEARCH 4yr'!AE33+'PUBLIC SERVICE 4yr'!AE33+'ASptISptSSv 4yr'!AE33+'PLANT OPER MAIN 4yr'!AE33+'SCHOLAR FELLOW 4yr'!AE33+'All Other 4yr'!AE33)-AE33</f>
        <v>0</v>
      </c>
    </row>
    <row r="34" spans="1:61">
      <c r="A34" s="1" t="s">
        <v>50</v>
      </c>
      <c r="F34" s="41">
        <v>279269.64199999999</v>
      </c>
      <c r="I34" s="1">
        <v>326090.63</v>
      </c>
      <c r="K34" s="1">
        <v>394762.77500000002</v>
      </c>
      <c r="L34" s="1">
        <v>471260.11300000001</v>
      </c>
      <c r="M34" s="1">
        <v>518672.679</v>
      </c>
      <c r="N34" s="1">
        <v>615684.61600000004</v>
      </c>
      <c r="O34" s="1">
        <v>682850.674</v>
      </c>
      <c r="P34" s="1">
        <v>888319.58200000005</v>
      </c>
      <c r="Q34" s="1">
        <v>974886.65700000001</v>
      </c>
      <c r="R34" s="1">
        <v>1066290.453</v>
      </c>
      <c r="S34" s="1">
        <v>1183994.2479999999</v>
      </c>
      <c r="T34" s="1">
        <v>1238696.986</v>
      </c>
      <c r="U34" s="1">
        <v>1052796.21</v>
      </c>
      <c r="V34" s="1">
        <v>1029932.4840000001</v>
      </c>
      <c r="W34" s="1">
        <v>1052986.5619999999</v>
      </c>
      <c r="X34" s="1">
        <v>1010279.179</v>
      </c>
      <c r="Y34" s="1">
        <v>1076792.253</v>
      </c>
      <c r="Z34" s="1">
        <v>1155320.5120000001</v>
      </c>
      <c r="AA34" s="1">
        <v>1161869.128</v>
      </c>
      <c r="AB34" s="1">
        <v>1255422.591</v>
      </c>
      <c r="AC34" s="1">
        <v>1355835.1370000001</v>
      </c>
      <c r="AE34" s="1">
        <v>1520618.5460000001</v>
      </c>
      <c r="AF34" s="74">
        <f>('Instruction-4YR'!B34+'RESEARCH 4yr'!B34+'PUBLIC SERVICE 4yr'!B34+'ASptISptSSv 4yr'!B34+'PLANT OPER MAIN 4yr'!B34+'SCHOLAR FELLOW 4yr'!B34+'All Other 4yr'!B34)-B34</f>
        <v>0</v>
      </c>
      <c r="AG34" s="74">
        <f>('Instruction-4YR'!C34+'RESEARCH 4yr'!C34+'PUBLIC SERVICE 4yr'!C34+'ASptISptSSv 4yr'!C34+'PLANT OPER MAIN 4yr'!C34+'SCHOLAR FELLOW 4yr'!C34+'All Other 4yr'!C34)-C34</f>
        <v>0</v>
      </c>
      <c r="AH34" s="74">
        <f>('Instruction-4YR'!D34+'RESEARCH 4yr'!D34+'PUBLIC SERVICE 4yr'!D34+'ASptISptSSv 4yr'!D34+'PLANT OPER MAIN 4yr'!D34+'SCHOLAR FELLOW 4yr'!D34+'All Other 4yr'!D34)-D34</f>
        <v>0</v>
      </c>
      <c r="AI34" s="74">
        <f>('Instruction-4YR'!E34+'RESEARCH 4yr'!E34+'PUBLIC SERVICE 4yr'!E34+'ASptISptSSv 4yr'!E34+'PLANT OPER MAIN 4yr'!E34+'SCHOLAR FELLOW 4yr'!E34+'All Other 4yr'!E34)-E34</f>
        <v>0</v>
      </c>
      <c r="AJ34" s="74">
        <f>('Instruction-4YR'!F34+'RESEARCH 4yr'!F34+'PUBLIC SERVICE 4yr'!F34+'ASptISptSSv 4yr'!F34+'PLANT OPER MAIN 4yr'!F34+'SCHOLAR FELLOW 4yr'!F34+'All Other 4yr'!F34)-F34</f>
        <v>0</v>
      </c>
      <c r="AK34" s="74">
        <f>('Instruction-4YR'!G34+'RESEARCH 4yr'!G34+'PUBLIC SERVICE 4yr'!G34+'ASptISptSSv 4yr'!G34+'PLANT OPER MAIN 4yr'!G34+'SCHOLAR FELLOW 4yr'!G34+'All Other 4yr'!G34)-G34</f>
        <v>0</v>
      </c>
      <c r="AL34" s="74">
        <f>('Instruction-4YR'!H34+'RESEARCH 4yr'!H34+'PUBLIC SERVICE 4yr'!H34+'ASptISptSSv 4yr'!H34+'PLANT OPER MAIN 4yr'!H34+'SCHOLAR FELLOW 4yr'!H34+'All Other 4yr'!H34)-H34</f>
        <v>0</v>
      </c>
      <c r="AM34" s="74">
        <f>('Instruction-4YR'!I34+'RESEARCH 4yr'!I34+'PUBLIC SERVICE 4yr'!I34+'ASptISptSSv 4yr'!I34+'PLANT OPER MAIN 4yr'!I34+'SCHOLAR FELLOW 4yr'!I34+'All Other 4yr'!I34)-I34</f>
        <v>0</v>
      </c>
      <c r="AN34" s="74">
        <f>('Instruction-4YR'!J34+'RESEARCH 4yr'!J34+'PUBLIC SERVICE 4yr'!J34+'ASptISptSSv 4yr'!J34+'PLANT OPER MAIN 4yr'!J34+'SCHOLAR FELLOW 4yr'!J34+'All Other 4yr'!J34)-J34</f>
        <v>0</v>
      </c>
      <c r="AO34" s="74">
        <f>('Instruction-4YR'!K34+'RESEARCH 4yr'!K34+'PUBLIC SERVICE 4yr'!K34+'ASptISptSSv 4yr'!K34+'PLANT OPER MAIN 4yr'!K34+'SCHOLAR FELLOW 4yr'!K34+'All Other 4yr'!K34)-K34</f>
        <v>0</v>
      </c>
      <c r="AP34" s="74">
        <f>('Instruction-4YR'!L34+'RESEARCH 4yr'!L34+'PUBLIC SERVICE 4yr'!L34+'ASptISptSSv 4yr'!L34+'PLANT OPER MAIN 4yr'!L34+'SCHOLAR FELLOW 4yr'!L34+'All Other 4yr'!L34)-L34</f>
        <v>0</v>
      </c>
      <c r="AQ34" s="74">
        <f>('Instruction-4YR'!M34+'RESEARCH 4yr'!M34+'PUBLIC SERVICE 4yr'!M34+'ASptISptSSv 4yr'!M34+'PLANT OPER MAIN 4yr'!M34+'SCHOLAR FELLOW 4yr'!M34+'All Other 4yr'!M34)-M34</f>
        <v>0</v>
      </c>
      <c r="AR34" s="74">
        <f>('Instruction-4YR'!N34+'RESEARCH 4yr'!N34+'PUBLIC SERVICE 4yr'!N34+'ASptISptSSv 4yr'!N34+'PLANT OPER MAIN 4yr'!N34+'SCHOLAR FELLOW 4yr'!N34+'All Other 4yr'!N34)-N34</f>
        <v>0</v>
      </c>
      <c r="AS34" s="74">
        <f>('Instruction-4YR'!O34+'RESEARCH 4yr'!O34+'PUBLIC SERVICE 4yr'!O34+'ASptISptSSv 4yr'!O34+'PLANT OPER MAIN 4yr'!O34+'SCHOLAR FELLOW 4yr'!O34+'All Other 4yr'!O34)-O34</f>
        <v>0</v>
      </c>
      <c r="AT34" s="74">
        <f>('Instruction-4YR'!P34+'RESEARCH 4yr'!P34+'PUBLIC SERVICE 4yr'!P34+'ASptISptSSv 4yr'!P34+'PLANT OPER MAIN 4yr'!P34+'SCHOLAR FELLOW 4yr'!P34+'All Other 4yr'!P34)-P34</f>
        <v>0</v>
      </c>
      <c r="AU34" s="74">
        <f>('Instruction-4YR'!Q34+'RESEARCH 4yr'!Q34+'PUBLIC SERVICE 4yr'!Q34+'ASptISptSSv 4yr'!Q34+'PLANT OPER MAIN 4yr'!Q34+'SCHOLAR FELLOW 4yr'!Q34+'All Other 4yr'!Q34)-Q34</f>
        <v>0</v>
      </c>
      <c r="AV34" s="74">
        <f>('Instruction-4YR'!R34+'RESEARCH 4yr'!R34+'PUBLIC SERVICE 4yr'!R34+'ASptISptSSv 4yr'!R34+'PLANT OPER MAIN 4yr'!R34+'SCHOLAR FELLOW 4yr'!R34+'All Other 4yr'!R34)-R34</f>
        <v>0</v>
      </c>
      <c r="AW34" s="74">
        <f>('Instruction-4YR'!S34+'RESEARCH 4yr'!S34+'PUBLIC SERVICE 4yr'!S34+'ASptISptSSv 4yr'!S34+'PLANT OPER MAIN 4yr'!S34+'SCHOLAR FELLOW 4yr'!S34+'All Other 4yr'!S34)-S34</f>
        <v>0</v>
      </c>
      <c r="AX34" s="74">
        <f>('Instruction-4YR'!T34+'RESEARCH 4yr'!T34+'PUBLIC SERVICE 4yr'!T34+'ASptISptSSv 4yr'!T34+'PLANT OPER MAIN 4yr'!T34+'SCHOLAR FELLOW 4yr'!T34+'All Other 4yr'!T34)-T34</f>
        <v>0</v>
      </c>
      <c r="AY34" s="74">
        <f>('Instruction-4YR'!U34+'RESEARCH 4yr'!U34+'PUBLIC SERVICE 4yr'!U34+'ASptISptSSv 4yr'!U34+'PLANT OPER MAIN 4yr'!U34+'SCHOLAR FELLOW 4yr'!U34+'All Other 4yr'!U34)-U34</f>
        <v>0</v>
      </c>
      <c r="AZ34" s="74">
        <f>('Instruction-4YR'!V34+'RESEARCH 4yr'!V34+'PUBLIC SERVICE 4yr'!V34+'ASptISptSSv 4yr'!V34+'PLANT OPER MAIN 4yr'!V34+'SCHOLAR FELLOW 4yr'!V34+'All Other 4yr'!V34)-V34</f>
        <v>0</v>
      </c>
      <c r="BA34" s="74">
        <f>('Instruction-4YR'!W34+'RESEARCH 4yr'!W34+'PUBLIC SERVICE 4yr'!W34+'ASptISptSSv 4yr'!W34+'PLANT OPER MAIN 4yr'!W34+'SCHOLAR FELLOW 4yr'!W34+'All Other 4yr'!W34)-W34</f>
        <v>0</v>
      </c>
      <c r="BB34" s="74">
        <f>('Instruction-4YR'!X34+'RESEARCH 4yr'!X34+'PUBLIC SERVICE 4yr'!X34+'ASptISptSSv 4yr'!X34+'PLANT OPER MAIN 4yr'!X34+'SCHOLAR FELLOW 4yr'!X34+'All Other 4yr'!X34)-X34</f>
        <v>0</v>
      </c>
      <c r="BC34" s="74">
        <f>('Instruction-4YR'!Y34+'RESEARCH 4yr'!Y34+'PUBLIC SERVICE 4yr'!Y34+'ASptISptSSv 4yr'!Y34+'PLANT OPER MAIN 4yr'!Y34+'SCHOLAR FELLOW 4yr'!Y34+'All Other 4yr'!Y34)-Y34</f>
        <v>0</v>
      </c>
      <c r="BD34" s="74">
        <f>('Instruction-4YR'!Z34+'RESEARCH 4yr'!Z34+'PUBLIC SERVICE 4yr'!Z34+'ASptISptSSv 4yr'!Z34+'PLANT OPER MAIN 4yr'!Z34+'SCHOLAR FELLOW 4yr'!Z34+'All Other 4yr'!Z34)-Z34</f>
        <v>0</v>
      </c>
      <c r="BE34" s="74">
        <f>('Instruction-4YR'!AA34+'RESEARCH 4yr'!AA34+'PUBLIC SERVICE 4yr'!AA34+'ASptISptSSv 4yr'!AA34+'PLANT OPER MAIN 4yr'!AA34+'SCHOLAR FELLOW 4yr'!AA34+'All Other 4yr'!AA34)-AA34</f>
        <v>0</v>
      </c>
      <c r="BF34" s="74">
        <f>('Instruction-4YR'!AB34+'RESEARCH 4yr'!AB34+'PUBLIC SERVICE 4yr'!AB34+'ASptISptSSv 4yr'!AB34+'PLANT OPER MAIN 4yr'!AB34+'SCHOLAR FELLOW 4yr'!AB34+'All Other 4yr'!AB34)-AB34</f>
        <v>0</v>
      </c>
      <c r="BG34" s="74">
        <f>('Instruction-4YR'!AC34+'RESEARCH 4yr'!AC34+'PUBLIC SERVICE 4yr'!AC34+'ASptISptSSv 4yr'!AC34+'PLANT OPER MAIN 4yr'!AC34+'SCHOLAR FELLOW 4yr'!AC34+'All Other 4yr'!AC34)-AC34</f>
        <v>0</v>
      </c>
      <c r="BH34" s="74">
        <f>('Instruction-4YR'!AD34+'RESEARCH 4yr'!AD34+'PUBLIC SERVICE 4yr'!AD34+'ASptISptSSv 4yr'!AD34+'PLANT OPER MAIN 4yr'!AD34+'SCHOLAR FELLOW 4yr'!AD34+'All Other 4yr'!AD34)-AD34</f>
        <v>0</v>
      </c>
      <c r="BI34" s="74">
        <f>('Instruction-4YR'!AE34+'RESEARCH 4yr'!AE34+'PUBLIC SERVICE 4yr'!AE34+'ASptISptSSv 4yr'!AE34+'PLANT OPER MAIN 4yr'!AE34+'SCHOLAR FELLOW 4yr'!AE34+'All Other 4yr'!AE34)-AE34</f>
        <v>0</v>
      </c>
    </row>
    <row r="35" spans="1:61">
      <c r="A35" s="1" t="s">
        <v>51</v>
      </c>
      <c r="F35" s="41">
        <v>640054.73899999994</v>
      </c>
      <c r="I35" s="1">
        <v>769315.47</v>
      </c>
      <c r="K35" s="1">
        <v>845380.81540000008</v>
      </c>
      <c r="L35" s="1">
        <v>927265.23</v>
      </c>
      <c r="M35" s="1">
        <v>1000528.821</v>
      </c>
      <c r="N35" s="1">
        <v>1244279.6470000001</v>
      </c>
      <c r="O35" s="1">
        <v>1265335.578</v>
      </c>
      <c r="P35" s="1">
        <v>1350147.807</v>
      </c>
      <c r="Q35" s="1">
        <v>1447449.088</v>
      </c>
      <c r="R35" s="1">
        <v>1524857.7479999999</v>
      </c>
      <c r="S35" s="1">
        <v>1622412.811</v>
      </c>
      <c r="T35" s="1">
        <v>1663506.8770000001</v>
      </c>
      <c r="U35" s="1">
        <v>1752274.5430000001</v>
      </c>
      <c r="V35" s="1">
        <v>1756285.402</v>
      </c>
      <c r="W35" s="1">
        <v>1888707.3419999999</v>
      </c>
      <c r="X35" s="1">
        <v>1844149.4820000001</v>
      </c>
      <c r="Y35" s="1">
        <v>1882496.824</v>
      </c>
      <c r="Z35" s="1">
        <v>1933661.4909999999</v>
      </c>
      <c r="AA35" s="1">
        <v>2012347.426</v>
      </c>
      <c r="AB35" s="1">
        <v>2050786.2919999999</v>
      </c>
      <c r="AC35" s="1">
        <v>2105979.4539999999</v>
      </c>
      <c r="AE35" s="1">
        <v>2463666.077</v>
      </c>
      <c r="AF35" s="74">
        <f>('Instruction-4YR'!B35+'RESEARCH 4yr'!B35+'PUBLIC SERVICE 4yr'!B35+'ASptISptSSv 4yr'!B35+'PLANT OPER MAIN 4yr'!B35+'SCHOLAR FELLOW 4yr'!B35+'All Other 4yr'!B35)-B35</f>
        <v>0</v>
      </c>
      <c r="AG35" s="74">
        <f>('Instruction-4YR'!C35+'RESEARCH 4yr'!C35+'PUBLIC SERVICE 4yr'!C35+'ASptISptSSv 4yr'!C35+'PLANT OPER MAIN 4yr'!C35+'SCHOLAR FELLOW 4yr'!C35+'All Other 4yr'!C35)-C35</f>
        <v>0</v>
      </c>
      <c r="AH35" s="74">
        <f>('Instruction-4YR'!D35+'RESEARCH 4yr'!D35+'PUBLIC SERVICE 4yr'!D35+'ASptISptSSv 4yr'!D35+'PLANT OPER MAIN 4yr'!D35+'SCHOLAR FELLOW 4yr'!D35+'All Other 4yr'!D35)-D35</f>
        <v>0</v>
      </c>
      <c r="AI35" s="74">
        <f>('Instruction-4YR'!E35+'RESEARCH 4yr'!E35+'PUBLIC SERVICE 4yr'!E35+'ASptISptSSv 4yr'!E35+'PLANT OPER MAIN 4yr'!E35+'SCHOLAR FELLOW 4yr'!E35+'All Other 4yr'!E35)-E35</f>
        <v>0</v>
      </c>
      <c r="AJ35" s="74">
        <f>('Instruction-4YR'!F35+'RESEARCH 4yr'!F35+'PUBLIC SERVICE 4yr'!F35+'ASptISptSSv 4yr'!F35+'PLANT OPER MAIN 4yr'!F35+'SCHOLAR FELLOW 4yr'!F35+'All Other 4yr'!F35)-F35</f>
        <v>0</v>
      </c>
      <c r="AK35" s="74">
        <f>('Instruction-4YR'!G35+'RESEARCH 4yr'!G35+'PUBLIC SERVICE 4yr'!G35+'ASptISptSSv 4yr'!G35+'PLANT OPER MAIN 4yr'!G35+'SCHOLAR FELLOW 4yr'!G35+'All Other 4yr'!G35)-G35</f>
        <v>0</v>
      </c>
      <c r="AL35" s="74">
        <f>('Instruction-4YR'!H35+'RESEARCH 4yr'!H35+'PUBLIC SERVICE 4yr'!H35+'ASptISptSSv 4yr'!H35+'PLANT OPER MAIN 4yr'!H35+'SCHOLAR FELLOW 4yr'!H35+'All Other 4yr'!H35)-H35</f>
        <v>0</v>
      </c>
      <c r="AM35" s="74">
        <f>('Instruction-4YR'!I35+'RESEARCH 4yr'!I35+'PUBLIC SERVICE 4yr'!I35+'ASptISptSSv 4yr'!I35+'PLANT OPER MAIN 4yr'!I35+'SCHOLAR FELLOW 4yr'!I35+'All Other 4yr'!I35)-I35</f>
        <v>0</v>
      </c>
      <c r="AN35" s="74">
        <f>('Instruction-4YR'!J35+'RESEARCH 4yr'!J35+'PUBLIC SERVICE 4yr'!J35+'ASptISptSSv 4yr'!J35+'PLANT OPER MAIN 4yr'!J35+'SCHOLAR FELLOW 4yr'!J35+'All Other 4yr'!J35)-J35</f>
        <v>0</v>
      </c>
      <c r="AO35" s="74">
        <f>('Instruction-4YR'!K35+'RESEARCH 4yr'!K35+'PUBLIC SERVICE 4yr'!K35+'ASptISptSSv 4yr'!K35+'PLANT OPER MAIN 4yr'!K35+'SCHOLAR FELLOW 4yr'!K35+'All Other 4yr'!K35)-K35</f>
        <v>0</v>
      </c>
      <c r="AP35" s="74">
        <f>('Instruction-4YR'!L35+'RESEARCH 4yr'!L35+'PUBLIC SERVICE 4yr'!L35+'ASptISptSSv 4yr'!L35+'PLANT OPER MAIN 4yr'!L35+'SCHOLAR FELLOW 4yr'!L35+'All Other 4yr'!L35)-L35</f>
        <v>0</v>
      </c>
      <c r="AQ35" s="74">
        <f>('Instruction-4YR'!M35+'RESEARCH 4yr'!M35+'PUBLIC SERVICE 4yr'!M35+'ASptISptSSv 4yr'!M35+'PLANT OPER MAIN 4yr'!M35+'SCHOLAR FELLOW 4yr'!M35+'All Other 4yr'!M35)-M35</f>
        <v>0</v>
      </c>
      <c r="AR35" s="74">
        <f>('Instruction-4YR'!N35+'RESEARCH 4yr'!N35+'PUBLIC SERVICE 4yr'!N35+'ASptISptSSv 4yr'!N35+'PLANT OPER MAIN 4yr'!N35+'SCHOLAR FELLOW 4yr'!N35+'All Other 4yr'!N35)-N35</f>
        <v>0</v>
      </c>
      <c r="AS35" s="74">
        <f>('Instruction-4YR'!O35+'RESEARCH 4yr'!O35+'PUBLIC SERVICE 4yr'!O35+'ASptISptSSv 4yr'!O35+'PLANT OPER MAIN 4yr'!O35+'SCHOLAR FELLOW 4yr'!O35+'All Other 4yr'!O35)-O35</f>
        <v>0</v>
      </c>
      <c r="AT35" s="74">
        <f>('Instruction-4YR'!P35+'RESEARCH 4yr'!P35+'PUBLIC SERVICE 4yr'!P35+'ASptISptSSv 4yr'!P35+'PLANT OPER MAIN 4yr'!P35+'SCHOLAR FELLOW 4yr'!P35+'All Other 4yr'!P35)-P35</f>
        <v>0</v>
      </c>
      <c r="AU35" s="74">
        <f>('Instruction-4YR'!Q35+'RESEARCH 4yr'!Q35+'PUBLIC SERVICE 4yr'!Q35+'ASptISptSSv 4yr'!Q35+'PLANT OPER MAIN 4yr'!Q35+'SCHOLAR FELLOW 4yr'!Q35+'All Other 4yr'!Q35)-Q35</f>
        <v>0</v>
      </c>
      <c r="AV35" s="74">
        <f>('Instruction-4YR'!R35+'RESEARCH 4yr'!R35+'PUBLIC SERVICE 4yr'!R35+'ASptISptSSv 4yr'!R35+'PLANT OPER MAIN 4yr'!R35+'SCHOLAR FELLOW 4yr'!R35+'All Other 4yr'!R35)-R35</f>
        <v>0</v>
      </c>
      <c r="AW35" s="74">
        <f>('Instruction-4YR'!S35+'RESEARCH 4yr'!S35+'PUBLIC SERVICE 4yr'!S35+'ASptISptSSv 4yr'!S35+'PLANT OPER MAIN 4yr'!S35+'SCHOLAR FELLOW 4yr'!S35+'All Other 4yr'!S35)-S35</f>
        <v>0</v>
      </c>
      <c r="AX35" s="74">
        <f>('Instruction-4YR'!T35+'RESEARCH 4yr'!T35+'PUBLIC SERVICE 4yr'!T35+'ASptISptSSv 4yr'!T35+'PLANT OPER MAIN 4yr'!T35+'SCHOLAR FELLOW 4yr'!T35+'All Other 4yr'!T35)-T35</f>
        <v>0</v>
      </c>
      <c r="AY35" s="74">
        <f>('Instruction-4YR'!U35+'RESEARCH 4yr'!U35+'PUBLIC SERVICE 4yr'!U35+'ASptISptSSv 4yr'!U35+'PLANT OPER MAIN 4yr'!U35+'SCHOLAR FELLOW 4yr'!U35+'All Other 4yr'!U35)-U35</f>
        <v>0</v>
      </c>
      <c r="AZ35" s="74">
        <f>('Instruction-4YR'!V35+'RESEARCH 4yr'!V35+'PUBLIC SERVICE 4yr'!V35+'ASptISptSSv 4yr'!V35+'PLANT OPER MAIN 4yr'!V35+'SCHOLAR FELLOW 4yr'!V35+'All Other 4yr'!V35)-V35</f>
        <v>0</v>
      </c>
      <c r="BA35" s="74">
        <f>('Instruction-4YR'!W35+'RESEARCH 4yr'!W35+'PUBLIC SERVICE 4yr'!W35+'ASptISptSSv 4yr'!W35+'PLANT OPER MAIN 4yr'!W35+'SCHOLAR FELLOW 4yr'!W35+'All Other 4yr'!W35)-W35</f>
        <v>0</v>
      </c>
      <c r="BB35" s="74">
        <f>('Instruction-4YR'!X35+'RESEARCH 4yr'!X35+'PUBLIC SERVICE 4yr'!X35+'ASptISptSSv 4yr'!X35+'PLANT OPER MAIN 4yr'!X35+'SCHOLAR FELLOW 4yr'!X35+'All Other 4yr'!X35)-X35</f>
        <v>0</v>
      </c>
      <c r="BC35" s="74">
        <f>('Instruction-4YR'!Y35+'RESEARCH 4yr'!Y35+'PUBLIC SERVICE 4yr'!Y35+'ASptISptSSv 4yr'!Y35+'PLANT OPER MAIN 4yr'!Y35+'SCHOLAR FELLOW 4yr'!Y35+'All Other 4yr'!Y35)-Y35</f>
        <v>0</v>
      </c>
      <c r="BD35" s="74">
        <f>('Instruction-4YR'!Z35+'RESEARCH 4yr'!Z35+'PUBLIC SERVICE 4yr'!Z35+'ASptISptSSv 4yr'!Z35+'PLANT OPER MAIN 4yr'!Z35+'SCHOLAR FELLOW 4yr'!Z35+'All Other 4yr'!Z35)-Z35</f>
        <v>0</v>
      </c>
      <c r="BE35" s="74">
        <f>('Instruction-4YR'!AA35+'RESEARCH 4yr'!AA35+'PUBLIC SERVICE 4yr'!AA35+'ASptISptSSv 4yr'!AA35+'PLANT OPER MAIN 4yr'!AA35+'SCHOLAR FELLOW 4yr'!AA35+'All Other 4yr'!AA35)-AA35</f>
        <v>0</v>
      </c>
      <c r="BF35" s="74">
        <f>('Instruction-4YR'!AB35+'RESEARCH 4yr'!AB35+'PUBLIC SERVICE 4yr'!AB35+'ASptISptSSv 4yr'!AB35+'PLANT OPER MAIN 4yr'!AB35+'SCHOLAR FELLOW 4yr'!AB35+'All Other 4yr'!AB35)-AB35</f>
        <v>0</v>
      </c>
      <c r="BG35" s="74">
        <f>('Instruction-4YR'!AC35+'RESEARCH 4yr'!AC35+'PUBLIC SERVICE 4yr'!AC35+'ASptISptSSv 4yr'!AC35+'PLANT OPER MAIN 4yr'!AC35+'SCHOLAR FELLOW 4yr'!AC35+'All Other 4yr'!AC35)-AC35</f>
        <v>0</v>
      </c>
      <c r="BH35" s="74">
        <f>('Instruction-4YR'!AD35+'RESEARCH 4yr'!AD35+'PUBLIC SERVICE 4yr'!AD35+'ASptISptSSv 4yr'!AD35+'PLANT OPER MAIN 4yr'!AD35+'SCHOLAR FELLOW 4yr'!AD35+'All Other 4yr'!AD35)-AD35</f>
        <v>0</v>
      </c>
      <c r="BI35" s="74">
        <f>('Instruction-4YR'!AE35+'RESEARCH 4yr'!AE35+'PUBLIC SERVICE 4yr'!AE35+'ASptISptSSv 4yr'!AE35+'PLANT OPER MAIN 4yr'!AE35+'SCHOLAR FELLOW 4yr'!AE35+'All Other 4yr'!AE35)-AE35</f>
        <v>0</v>
      </c>
    </row>
    <row r="36" spans="1:61">
      <c r="A36" s="1" t="s">
        <v>52</v>
      </c>
      <c r="F36" s="41">
        <v>786402.81</v>
      </c>
      <c r="I36" s="1">
        <v>911108.61699999997</v>
      </c>
      <c r="K36" s="1">
        <v>1084204.7290000001</v>
      </c>
      <c r="L36" s="1">
        <v>1317403.727</v>
      </c>
      <c r="M36" s="1">
        <v>1411346.1740000001</v>
      </c>
      <c r="N36" s="1">
        <v>1629839.1610000001</v>
      </c>
      <c r="O36" s="1">
        <v>1641431.89</v>
      </c>
      <c r="P36" s="1">
        <v>1719152.686</v>
      </c>
      <c r="Q36" s="1">
        <v>1815036.32</v>
      </c>
      <c r="R36" s="1">
        <v>1973979.9739999999</v>
      </c>
      <c r="S36" s="1">
        <v>2092558.1980000001</v>
      </c>
      <c r="T36" s="1">
        <v>2163354.5380000002</v>
      </c>
      <c r="U36" s="1">
        <v>1674897.4439999999</v>
      </c>
      <c r="V36" s="1">
        <v>2463028.611</v>
      </c>
      <c r="W36" s="1">
        <v>2582166.34</v>
      </c>
      <c r="X36" s="1">
        <v>2743367.1490000002</v>
      </c>
      <c r="Y36" s="1">
        <v>2844224.9959999998</v>
      </c>
      <c r="Z36" s="1">
        <v>2996836.642</v>
      </c>
      <c r="AA36" s="1">
        <v>2952862.06</v>
      </c>
      <c r="AB36" s="1">
        <v>3520823.2719999999</v>
      </c>
      <c r="AC36" s="1">
        <v>3446103.7230000002</v>
      </c>
      <c r="AE36" s="1">
        <v>3833439.247</v>
      </c>
      <c r="AF36" s="74">
        <f>('Instruction-4YR'!B36+'RESEARCH 4yr'!B36+'PUBLIC SERVICE 4yr'!B36+'ASptISptSSv 4yr'!B36+'PLANT OPER MAIN 4yr'!B36+'SCHOLAR FELLOW 4yr'!B36+'All Other 4yr'!B36)-B36</f>
        <v>0</v>
      </c>
      <c r="AG36" s="74">
        <f>('Instruction-4YR'!C36+'RESEARCH 4yr'!C36+'PUBLIC SERVICE 4yr'!C36+'ASptISptSSv 4yr'!C36+'PLANT OPER MAIN 4yr'!C36+'SCHOLAR FELLOW 4yr'!C36+'All Other 4yr'!C36)-C36</f>
        <v>0</v>
      </c>
      <c r="AH36" s="74">
        <f>('Instruction-4YR'!D36+'RESEARCH 4yr'!D36+'PUBLIC SERVICE 4yr'!D36+'ASptISptSSv 4yr'!D36+'PLANT OPER MAIN 4yr'!D36+'SCHOLAR FELLOW 4yr'!D36+'All Other 4yr'!D36)-D36</f>
        <v>0</v>
      </c>
      <c r="AI36" s="74">
        <f>('Instruction-4YR'!E36+'RESEARCH 4yr'!E36+'PUBLIC SERVICE 4yr'!E36+'ASptISptSSv 4yr'!E36+'PLANT OPER MAIN 4yr'!E36+'SCHOLAR FELLOW 4yr'!E36+'All Other 4yr'!E36)-E36</f>
        <v>0</v>
      </c>
      <c r="AJ36" s="74">
        <f>('Instruction-4YR'!F36+'RESEARCH 4yr'!F36+'PUBLIC SERVICE 4yr'!F36+'ASptISptSSv 4yr'!F36+'PLANT OPER MAIN 4yr'!F36+'SCHOLAR FELLOW 4yr'!F36+'All Other 4yr'!F36)-F36</f>
        <v>0</v>
      </c>
      <c r="AK36" s="74">
        <f>('Instruction-4YR'!G36+'RESEARCH 4yr'!G36+'PUBLIC SERVICE 4yr'!G36+'ASptISptSSv 4yr'!G36+'PLANT OPER MAIN 4yr'!G36+'SCHOLAR FELLOW 4yr'!G36+'All Other 4yr'!G36)-G36</f>
        <v>0</v>
      </c>
      <c r="AL36" s="74">
        <f>('Instruction-4YR'!H36+'RESEARCH 4yr'!H36+'PUBLIC SERVICE 4yr'!H36+'ASptISptSSv 4yr'!H36+'PLANT OPER MAIN 4yr'!H36+'SCHOLAR FELLOW 4yr'!H36+'All Other 4yr'!H36)-H36</f>
        <v>0</v>
      </c>
      <c r="AM36" s="74">
        <f>('Instruction-4YR'!I36+'RESEARCH 4yr'!I36+'PUBLIC SERVICE 4yr'!I36+'ASptISptSSv 4yr'!I36+'PLANT OPER MAIN 4yr'!I36+'SCHOLAR FELLOW 4yr'!I36+'All Other 4yr'!I36)-I36</f>
        <v>0</v>
      </c>
      <c r="AN36" s="74">
        <f>('Instruction-4YR'!J36+'RESEARCH 4yr'!J36+'PUBLIC SERVICE 4yr'!J36+'ASptISptSSv 4yr'!J36+'PLANT OPER MAIN 4yr'!J36+'SCHOLAR FELLOW 4yr'!J36+'All Other 4yr'!J36)-J36</f>
        <v>0</v>
      </c>
      <c r="AO36" s="74">
        <f>('Instruction-4YR'!K36+'RESEARCH 4yr'!K36+'PUBLIC SERVICE 4yr'!K36+'ASptISptSSv 4yr'!K36+'PLANT OPER MAIN 4yr'!K36+'SCHOLAR FELLOW 4yr'!K36+'All Other 4yr'!K36)-K36</f>
        <v>0</v>
      </c>
      <c r="AP36" s="74">
        <f>('Instruction-4YR'!L36+'RESEARCH 4yr'!L36+'PUBLIC SERVICE 4yr'!L36+'ASptISptSSv 4yr'!L36+'PLANT OPER MAIN 4yr'!L36+'SCHOLAR FELLOW 4yr'!L36+'All Other 4yr'!L36)-L36</f>
        <v>0</v>
      </c>
      <c r="AQ36" s="74">
        <f>('Instruction-4YR'!M36+'RESEARCH 4yr'!M36+'PUBLIC SERVICE 4yr'!M36+'ASptISptSSv 4yr'!M36+'PLANT OPER MAIN 4yr'!M36+'SCHOLAR FELLOW 4yr'!M36+'All Other 4yr'!M36)-M36</f>
        <v>0</v>
      </c>
      <c r="AR36" s="74">
        <f>('Instruction-4YR'!N36+'RESEARCH 4yr'!N36+'PUBLIC SERVICE 4yr'!N36+'ASptISptSSv 4yr'!N36+'PLANT OPER MAIN 4yr'!N36+'SCHOLAR FELLOW 4yr'!N36+'All Other 4yr'!N36)-N36</f>
        <v>0</v>
      </c>
      <c r="AS36" s="74">
        <f>('Instruction-4YR'!O36+'RESEARCH 4yr'!O36+'PUBLIC SERVICE 4yr'!O36+'ASptISptSSv 4yr'!O36+'PLANT OPER MAIN 4yr'!O36+'SCHOLAR FELLOW 4yr'!O36+'All Other 4yr'!O36)-O36</f>
        <v>0</v>
      </c>
      <c r="AT36" s="74">
        <f>('Instruction-4YR'!P36+'RESEARCH 4yr'!P36+'PUBLIC SERVICE 4yr'!P36+'ASptISptSSv 4yr'!P36+'PLANT OPER MAIN 4yr'!P36+'SCHOLAR FELLOW 4yr'!P36+'All Other 4yr'!P36)-P36</f>
        <v>0</v>
      </c>
      <c r="AU36" s="74">
        <f>('Instruction-4YR'!Q36+'RESEARCH 4yr'!Q36+'PUBLIC SERVICE 4yr'!Q36+'ASptISptSSv 4yr'!Q36+'PLANT OPER MAIN 4yr'!Q36+'SCHOLAR FELLOW 4yr'!Q36+'All Other 4yr'!Q36)-Q36</f>
        <v>0</v>
      </c>
      <c r="AV36" s="74">
        <f>('Instruction-4YR'!R36+'RESEARCH 4yr'!R36+'PUBLIC SERVICE 4yr'!R36+'ASptISptSSv 4yr'!R36+'PLANT OPER MAIN 4yr'!R36+'SCHOLAR FELLOW 4yr'!R36+'All Other 4yr'!R36)-R36</f>
        <v>0</v>
      </c>
      <c r="AW36" s="74">
        <f>('Instruction-4YR'!S36+'RESEARCH 4yr'!S36+'PUBLIC SERVICE 4yr'!S36+'ASptISptSSv 4yr'!S36+'PLANT OPER MAIN 4yr'!S36+'SCHOLAR FELLOW 4yr'!S36+'All Other 4yr'!S36)-S36</f>
        <v>0</v>
      </c>
      <c r="AX36" s="74">
        <f>('Instruction-4YR'!T36+'RESEARCH 4yr'!T36+'PUBLIC SERVICE 4yr'!T36+'ASptISptSSv 4yr'!T36+'PLANT OPER MAIN 4yr'!T36+'SCHOLAR FELLOW 4yr'!T36+'All Other 4yr'!T36)-T36</f>
        <v>0</v>
      </c>
      <c r="AY36" s="74">
        <f>('Instruction-4YR'!U36+'RESEARCH 4yr'!U36+'PUBLIC SERVICE 4yr'!U36+'ASptISptSSv 4yr'!U36+'PLANT OPER MAIN 4yr'!U36+'SCHOLAR FELLOW 4yr'!U36+'All Other 4yr'!U36)-U36</f>
        <v>0</v>
      </c>
      <c r="AZ36" s="74">
        <f>('Instruction-4YR'!V36+'RESEARCH 4yr'!V36+'PUBLIC SERVICE 4yr'!V36+'ASptISptSSv 4yr'!V36+'PLANT OPER MAIN 4yr'!V36+'SCHOLAR FELLOW 4yr'!V36+'All Other 4yr'!V36)-V36</f>
        <v>0</v>
      </c>
      <c r="BA36" s="74">
        <f>('Instruction-4YR'!W36+'RESEARCH 4yr'!W36+'PUBLIC SERVICE 4yr'!W36+'ASptISptSSv 4yr'!W36+'PLANT OPER MAIN 4yr'!W36+'SCHOLAR FELLOW 4yr'!W36+'All Other 4yr'!W36)-W36</f>
        <v>0</v>
      </c>
      <c r="BB36" s="74">
        <f>('Instruction-4YR'!X36+'RESEARCH 4yr'!X36+'PUBLIC SERVICE 4yr'!X36+'ASptISptSSv 4yr'!X36+'PLANT OPER MAIN 4yr'!X36+'SCHOLAR FELLOW 4yr'!X36+'All Other 4yr'!X36)-X36</f>
        <v>0</v>
      </c>
      <c r="BC36" s="74">
        <f>('Instruction-4YR'!Y36+'RESEARCH 4yr'!Y36+'PUBLIC SERVICE 4yr'!Y36+'ASptISptSSv 4yr'!Y36+'PLANT OPER MAIN 4yr'!Y36+'SCHOLAR FELLOW 4yr'!Y36+'All Other 4yr'!Y36)-Y36</f>
        <v>0</v>
      </c>
      <c r="BD36" s="74">
        <f>('Instruction-4YR'!Z36+'RESEARCH 4yr'!Z36+'PUBLIC SERVICE 4yr'!Z36+'ASptISptSSv 4yr'!Z36+'PLANT OPER MAIN 4yr'!Z36+'SCHOLAR FELLOW 4yr'!Z36+'All Other 4yr'!Z36)-Z36</f>
        <v>0</v>
      </c>
      <c r="BE36" s="74">
        <f>('Instruction-4YR'!AA36+'RESEARCH 4yr'!AA36+'PUBLIC SERVICE 4yr'!AA36+'ASptISptSSv 4yr'!AA36+'PLANT OPER MAIN 4yr'!AA36+'SCHOLAR FELLOW 4yr'!AA36+'All Other 4yr'!AA36)-AA36</f>
        <v>0</v>
      </c>
      <c r="BF36" s="74">
        <f>('Instruction-4YR'!AB36+'RESEARCH 4yr'!AB36+'PUBLIC SERVICE 4yr'!AB36+'ASptISptSSv 4yr'!AB36+'PLANT OPER MAIN 4yr'!AB36+'SCHOLAR FELLOW 4yr'!AB36+'All Other 4yr'!AB36)-AB36</f>
        <v>0</v>
      </c>
      <c r="BG36" s="74">
        <f>('Instruction-4YR'!AC36+'RESEARCH 4yr'!AC36+'PUBLIC SERVICE 4yr'!AC36+'ASptISptSSv 4yr'!AC36+'PLANT OPER MAIN 4yr'!AC36+'SCHOLAR FELLOW 4yr'!AC36+'All Other 4yr'!AC36)-AC36</f>
        <v>0</v>
      </c>
      <c r="BH36" s="74">
        <f>('Instruction-4YR'!AD36+'RESEARCH 4yr'!AD36+'PUBLIC SERVICE 4yr'!AD36+'ASptISptSSv 4yr'!AD36+'PLANT OPER MAIN 4yr'!AD36+'SCHOLAR FELLOW 4yr'!AD36+'All Other 4yr'!AD36)-AD36</f>
        <v>0</v>
      </c>
      <c r="BI36" s="74">
        <f>('Instruction-4YR'!AE36+'RESEARCH 4yr'!AE36+'PUBLIC SERVICE 4yr'!AE36+'ASptISptSSv 4yr'!AE36+'PLANT OPER MAIN 4yr'!AE36+'SCHOLAR FELLOW 4yr'!AE36+'All Other 4yr'!AE36)-AE36</f>
        <v>0</v>
      </c>
    </row>
    <row r="37" spans="1:61">
      <c r="A37" s="1" t="s">
        <v>53</v>
      </c>
      <c r="F37" s="41">
        <v>758803.826</v>
      </c>
      <c r="I37" s="1">
        <v>921341.902</v>
      </c>
      <c r="K37" s="1">
        <v>1071428.0449999999</v>
      </c>
      <c r="L37" s="1">
        <v>1405638.0330000001</v>
      </c>
      <c r="M37" s="1">
        <v>1488646.28</v>
      </c>
      <c r="N37" s="1">
        <v>1868375.243</v>
      </c>
      <c r="O37" s="1">
        <v>1915564.3770000001</v>
      </c>
      <c r="P37" s="1">
        <v>1830104.821</v>
      </c>
      <c r="Q37" s="1">
        <v>1847742.8049999999</v>
      </c>
      <c r="R37" s="1">
        <v>1990808.1910000001</v>
      </c>
      <c r="S37" s="1">
        <v>2080224.925</v>
      </c>
      <c r="T37" s="1">
        <v>2150482.0120000001</v>
      </c>
      <c r="U37" s="1">
        <v>2280371.0099999998</v>
      </c>
      <c r="V37" s="1">
        <v>2338163.1529999999</v>
      </c>
      <c r="W37" s="1">
        <v>2631134.7039999999</v>
      </c>
      <c r="X37" s="1">
        <v>2777280.4070000001</v>
      </c>
      <c r="Y37" s="1">
        <v>2816244.1290000002</v>
      </c>
      <c r="Z37" s="1">
        <v>2903253.5359999998</v>
      </c>
      <c r="AA37" s="1">
        <v>3109762.2620000001</v>
      </c>
      <c r="AB37" s="1">
        <v>3400334.1940000001</v>
      </c>
      <c r="AC37" s="1">
        <v>3596258.3339999998</v>
      </c>
      <c r="AE37" s="1">
        <v>4115288.0929999999</v>
      </c>
      <c r="AF37" s="74">
        <f>('Instruction-4YR'!B37+'RESEARCH 4yr'!B37+'PUBLIC SERVICE 4yr'!B37+'ASptISptSSv 4yr'!B37+'PLANT OPER MAIN 4yr'!B37+'SCHOLAR FELLOW 4yr'!B37+'All Other 4yr'!B37)-B37</f>
        <v>0</v>
      </c>
      <c r="AG37" s="74">
        <f>('Instruction-4YR'!C37+'RESEARCH 4yr'!C37+'PUBLIC SERVICE 4yr'!C37+'ASptISptSSv 4yr'!C37+'PLANT OPER MAIN 4yr'!C37+'SCHOLAR FELLOW 4yr'!C37+'All Other 4yr'!C37)-C37</f>
        <v>0</v>
      </c>
      <c r="AH37" s="74">
        <f>('Instruction-4YR'!D37+'RESEARCH 4yr'!D37+'PUBLIC SERVICE 4yr'!D37+'ASptISptSSv 4yr'!D37+'PLANT OPER MAIN 4yr'!D37+'SCHOLAR FELLOW 4yr'!D37+'All Other 4yr'!D37)-D37</f>
        <v>0</v>
      </c>
      <c r="AI37" s="74">
        <f>('Instruction-4YR'!E37+'RESEARCH 4yr'!E37+'PUBLIC SERVICE 4yr'!E37+'ASptISptSSv 4yr'!E37+'PLANT OPER MAIN 4yr'!E37+'SCHOLAR FELLOW 4yr'!E37+'All Other 4yr'!E37)-E37</f>
        <v>0</v>
      </c>
      <c r="AJ37" s="74">
        <f>('Instruction-4YR'!F37+'RESEARCH 4yr'!F37+'PUBLIC SERVICE 4yr'!F37+'ASptISptSSv 4yr'!F37+'PLANT OPER MAIN 4yr'!F37+'SCHOLAR FELLOW 4yr'!F37+'All Other 4yr'!F37)-F37</f>
        <v>0</v>
      </c>
      <c r="AK37" s="74">
        <f>('Instruction-4YR'!G37+'RESEARCH 4yr'!G37+'PUBLIC SERVICE 4yr'!G37+'ASptISptSSv 4yr'!G37+'PLANT OPER MAIN 4yr'!G37+'SCHOLAR FELLOW 4yr'!G37+'All Other 4yr'!G37)-G37</f>
        <v>0</v>
      </c>
      <c r="AL37" s="74">
        <f>('Instruction-4YR'!H37+'RESEARCH 4yr'!H37+'PUBLIC SERVICE 4yr'!H37+'ASptISptSSv 4yr'!H37+'PLANT OPER MAIN 4yr'!H37+'SCHOLAR FELLOW 4yr'!H37+'All Other 4yr'!H37)-H37</f>
        <v>0</v>
      </c>
      <c r="AM37" s="74">
        <f>('Instruction-4YR'!I37+'RESEARCH 4yr'!I37+'PUBLIC SERVICE 4yr'!I37+'ASptISptSSv 4yr'!I37+'PLANT OPER MAIN 4yr'!I37+'SCHOLAR FELLOW 4yr'!I37+'All Other 4yr'!I37)-I37</f>
        <v>0</v>
      </c>
      <c r="AN37" s="74">
        <f>('Instruction-4YR'!J37+'RESEARCH 4yr'!J37+'PUBLIC SERVICE 4yr'!J37+'ASptISptSSv 4yr'!J37+'PLANT OPER MAIN 4yr'!J37+'SCHOLAR FELLOW 4yr'!J37+'All Other 4yr'!J37)-J37</f>
        <v>0</v>
      </c>
      <c r="AO37" s="74">
        <f>('Instruction-4YR'!K37+'RESEARCH 4yr'!K37+'PUBLIC SERVICE 4yr'!K37+'ASptISptSSv 4yr'!K37+'PLANT OPER MAIN 4yr'!K37+'SCHOLAR FELLOW 4yr'!K37+'All Other 4yr'!K37)-K37</f>
        <v>0</v>
      </c>
      <c r="AP37" s="74">
        <f>('Instruction-4YR'!L37+'RESEARCH 4yr'!L37+'PUBLIC SERVICE 4yr'!L37+'ASptISptSSv 4yr'!L37+'PLANT OPER MAIN 4yr'!L37+'SCHOLAR FELLOW 4yr'!L37+'All Other 4yr'!L37)-L37</f>
        <v>0</v>
      </c>
      <c r="AQ37" s="74">
        <f>('Instruction-4YR'!M37+'RESEARCH 4yr'!M37+'PUBLIC SERVICE 4yr'!M37+'ASptISptSSv 4yr'!M37+'PLANT OPER MAIN 4yr'!M37+'SCHOLAR FELLOW 4yr'!M37+'All Other 4yr'!M37)-M37</f>
        <v>0</v>
      </c>
      <c r="AR37" s="74">
        <f>('Instruction-4YR'!N37+'RESEARCH 4yr'!N37+'PUBLIC SERVICE 4yr'!N37+'ASptISptSSv 4yr'!N37+'PLANT OPER MAIN 4yr'!N37+'SCHOLAR FELLOW 4yr'!N37+'All Other 4yr'!N37)-N37</f>
        <v>0</v>
      </c>
      <c r="AS37" s="74">
        <f>('Instruction-4YR'!O37+'RESEARCH 4yr'!O37+'PUBLIC SERVICE 4yr'!O37+'ASptISptSSv 4yr'!O37+'PLANT OPER MAIN 4yr'!O37+'SCHOLAR FELLOW 4yr'!O37+'All Other 4yr'!O37)-O37</f>
        <v>0</v>
      </c>
      <c r="AT37" s="74">
        <f>('Instruction-4YR'!P37+'RESEARCH 4yr'!P37+'PUBLIC SERVICE 4yr'!P37+'ASptISptSSv 4yr'!P37+'PLANT OPER MAIN 4yr'!P37+'SCHOLAR FELLOW 4yr'!P37+'All Other 4yr'!P37)-P37</f>
        <v>0</v>
      </c>
      <c r="AU37" s="74">
        <f>('Instruction-4YR'!Q37+'RESEARCH 4yr'!Q37+'PUBLIC SERVICE 4yr'!Q37+'ASptISptSSv 4yr'!Q37+'PLANT OPER MAIN 4yr'!Q37+'SCHOLAR FELLOW 4yr'!Q37+'All Other 4yr'!Q37)-Q37</f>
        <v>0</v>
      </c>
      <c r="AV37" s="74">
        <f>('Instruction-4YR'!R37+'RESEARCH 4yr'!R37+'PUBLIC SERVICE 4yr'!R37+'ASptISptSSv 4yr'!R37+'PLANT OPER MAIN 4yr'!R37+'SCHOLAR FELLOW 4yr'!R37+'All Other 4yr'!R37)-R37</f>
        <v>0</v>
      </c>
      <c r="AW37" s="74">
        <f>('Instruction-4YR'!S37+'RESEARCH 4yr'!S37+'PUBLIC SERVICE 4yr'!S37+'ASptISptSSv 4yr'!S37+'PLANT OPER MAIN 4yr'!S37+'SCHOLAR FELLOW 4yr'!S37+'All Other 4yr'!S37)-S37</f>
        <v>0</v>
      </c>
      <c r="AX37" s="74">
        <f>('Instruction-4YR'!T37+'RESEARCH 4yr'!T37+'PUBLIC SERVICE 4yr'!T37+'ASptISptSSv 4yr'!T37+'PLANT OPER MAIN 4yr'!T37+'SCHOLAR FELLOW 4yr'!T37+'All Other 4yr'!T37)-T37</f>
        <v>0</v>
      </c>
      <c r="AY37" s="74">
        <f>('Instruction-4YR'!U37+'RESEARCH 4yr'!U37+'PUBLIC SERVICE 4yr'!U37+'ASptISptSSv 4yr'!U37+'PLANT OPER MAIN 4yr'!U37+'SCHOLAR FELLOW 4yr'!U37+'All Other 4yr'!U37)-U37</f>
        <v>0</v>
      </c>
      <c r="AZ37" s="74">
        <f>('Instruction-4YR'!V37+'RESEARCH 4yr'!V37+'PUBLIC SERVICE 4yr'!V37+'ASptISptSSv 4yr'!V37+'PLANT OPER MAIN 4yr'!V37+'SCHOLAR FELLOW 4yr'!V37+'All Other 4yr'!V37)-V37</f>
        <v>0</v>
      </c>
      <c r="BA37" s="74">
        <f>('Instruction-4YR'!W37+'RESEARCH 4yr'!W37+'PUBLIC SERVICE 4yr'!W37+'ASptISptSSv 4yr'!W37+'PLANT OPER MAIN 4yr'!W37+'SCHOLAR FELLOW 4yr'!W37+'All Other 4yr'!W37)-W37</f>
        <v>0</v>
      </c>
      <c r="BB37" s="74">
        <f>('Instruction-4YR'!X37+'RESEARCH 4yr'!X37+'PUBLIC SERVICE 4yr'!X37+'ASptISptSSv 4yr'!X37+'PLANT OPER MAIN 4yr'!X37+'SCHOLAR FELLOW 4yr'!X37+'All Other 4yr'!X37)-X37</f>
        <v>0</v>
      </c>
      <c r="BC37" s="74">
        <f>('Instruction-4YR'!Y37+'RESEARCH 4yr'!Y37+'PUBLIC SERVICE 4yr'!Y37+'ASptISptSSv 4yr'!Y37+'PLANT OPER MAIN 4yr'!Y37+'SCHOLAR FELLOW 4yr'!Y37+'All Other 4yr'!Y37)-Y37</f>
        <v>0</v>
      </c>
      <c r="BD37" s="74">
        <f>('Instruction-4YR'!Z37+'RESEARCH 4yr'!Z37+'PUBLIC SERVICE 4yr'!Z37+'ASptISptSSv 4yr'!Z37+'PLANT OPER MAIN 4yr'!Z37+'SCHOLAR FELLOW 4yr'!Z37+'All Other 4yr'!Z37)-Z37</f>
        <v>0</v>
      </c>
      <c r="BE37" s="74">
        <f>('Instruction-4YR'!AA37+'RESEARCH 4yr'!AA37+'PUBLIC SERVICE 4yr'!AA37+'ASptISptSSv 4yr'!AA37+'PLANT OPER MAIN 4yr'!AA37+'SCHOLAR FELLOW 4yr'!AA37+'All Other 4yr'!AA37)-AA37</f>
        <v>0</v>
      </c>
      <c r="BF37" s="74">
        <f>('Instruction-4YR'!AB37+'RESEARCH 4yr'!AB37+'PUBLIC SERVICE 4yr'!AB37+'ASptISptSSv 4yr'!AB37+'PLANT OPER MAIN 4yr'!AB37+'SCHOLAR FELLOW 4yr'!AB37+'All Other 4yr'!AB37)-AB37</f>
        <v>0</v>
      </c>
      <c r="BG37" s="74">
        <f>('Instruction-4YR'!AC37+'RESEARCH 4yr'!AC37+'PUBLIC SERVICE 4yr'!AC37+'ASptISptSSv 4yr'!AC37+'PLANT OPER MAIN 4yr'!AC37+'SCHOLAR FELLOW 4yr'!AC37+'All Other 4yr'!AC37)-AC37</f>
        <v>0</v>
      </c>
      <c r="BH37" s="74">
        <f>('Instruction-4YR'!AD37+'RESEARCH 4yr'!AD37+'PUBLIC SERVICE 4yr'!AD37+'ASptISptSSv 4yr'!AD37+'PLANT OPER MAIN 4yr'!AD37+'SCHOLAR FELLOW 4yr'!AD37+'All Other 4yr'!AD37)-AD37</f>
        <v>0</v>
      </c>
      <c r="BI37" s="74">
        <f>('Instruction-4YR'!AE37+'RESEARCH 4yr'!AE37+'PUBLIC SERVICE 4yr'!AE37+'ASptISptSSv 4yr'!AE37+'PLANT OPER MAIN 4yr'!AE37+'SCHOLAR FELLOW 4yr'!AE37+'All Other 4yr'!AE37)-AE37</f>
        <v>0</v>
      </c>
    </row>
    <row r="38" spans="1:61">
      <c r="A38" s="1" t="s">
        <v>54</v>
      </c>
      <c r="F38" s="41">
        <v>1423276.649</v>
      </c>
      <c r="I38" s="1">
        <v>1640600.8419999999</v>
      </c>
      <c r="K38" s="1">
        <v>1770937.5619999999</v>
      </c>
      <c r="L38" s="1">
        <v>2144222.0410000002</v>
      </c>
      <c r="M38" s="1">
        <v>2320628.199</v>
      </c>
      <c r="N38" s="1">
        <v>2684661.2319999998</v>
      </c>
      <c r="O38" s="1">
        <v>2880180.86</v>
      </c>
      <c r="P38" s="1">
        <v>3028523.8119999999</v>
      </c>
      <c r="Q38" s="1">
        <v>3225367.9819999998</v>
      </c>
      <c r="R38" s="1">
        <v>3434409.6150000002</v>
      </c>
      <c r="S38" s="1">
        <v>3825502.7080000001</v>
      </c>
      <c r="T38" s="1">
        <v>4110458.375</v>
      </c>
      <c r="U38" s="1">
        <v>4054620.0469999998</v>
      </c>
      <c r="V38" s="1">
        <v>3970135.8139999998</v>
      </c>
      <c r="W38" s="1">
        <v>4226148.2379999999</v>
      </c>
      <c r="X38" s="1">
        <v>4292165.83</v>
      </c>
      <c r="Y38" s="1">
        <v>4561539.1349999998</v>
      </c>
      <c r="Z38" s="1">
        <v>4783627.0729999999</v>
      </c>
      <c r="AA38" s="1">
        <v>4956742.5870000003</v>
      </c>
      <c r="AB38" s="1">
        <v>5301145.1770000001</v>
      </c>
      <c r="AC38" s="1">
        <v>5427884.8099999996</v>
      </c>
      <c r="AE38" s="1">
        <v>5706390.926</v>
      </c>
      <c r="AF38" s="74">
        <f>('Instruction-4YR'!B38+'RESEARCH 4yr'!B38+'PUBLIC SERVICE 4yr'!B38+'ASptISptSSv 4yr'!B38+'PLANT OPER MAIN 4yr'!B38+'SCHOLAR FELLOW 4yr'!B38+'All Other 4yr'!B38)-B38</f>
        <v>0</v>
      </c>
      <c r="AG38" s="74">
        <f>('Instruction-4YR'!C38+'RESEARCH 4yr'!C38+'PUBLIC SERVICE 4yr'!C38+'ASptISptSSv 4yr'!C38+'PLANT OPER MAIN 4yr'!C38+'SCHOLAR FELLOW 4yr'!C38+'All Other 4yr'!C38)-C38</f>
        <v>0</v>
      </c>
      <c r="AH38" s="74">
        <f>('Instruction-4YR'!D38+'RESEARCH 4yr'!D38+'PUBLIC SERVICE 4yr'!D38+'ASptISptSSv 4yr'!D38+'PLANT OPER MAIN 4yr'!D38+'SCHOLAR FELLOW 4yr'!D38+'All Other 4yr'!D38)-D38</f>
        <v>0</v>
      </c>
      <c r="AI38" s="74">
        <f>('Instruction-4YR'!E38+'RESEARCH 4yr'!E38+'PUBLIC SERVICE 4yr'!E38+'ASptISptSSv 4yr'!E38+'PLANT OPER MAIN 4yr'!E38+'SCHOLAR FELLOW 4yr'!E38+'All Other 4yr'!E38)-E38</f>
        <v>0</v>
      </c>
      <c r="AJ38" s="74">
        <f>('Instruction-4YR'!F38+'RESEARCH 4yr'!F38+'PUBLIC SERVICE 4yr'!F38+'ASptISptSSv 4yr'!F38+'PLANT OPER MAIN 4yr'!F38+'SCHOLAR FELLOW 4yr'!F38+'All Other 4yr'!F38)-F38</f>
        <v>0</v>
      </c>
      <c r="AK38" s="74">
        <f>('Instruction-4YR'!G38+'RESEARCH 4yr'!G38+'PUBLIC SERVICE 4yr'!G38+'ASptISptSSv 4yr'!G38+'PLANT OPER MAIN 4yr'!G38+'SCHOLAR FELLOW 4yr'!G38+'All Other 4yr'!G38)-G38</f>
        <v>0</v>
      </c>
      <c r="AL38" s="74">
        <f>('Instruction-4YR'!H38+'RESEARCH 4yr'!H38+'PUBLIC SERVICE 4yr'!H38+'ASptISptSSv 4yr'!H38+'PLANT OPER MAIN 4yr'!H38+'SCHOLAR FELLOW 4yr'!H38+'All Other 4yr'!H38)-H38</f>
        <v>0</v>
      </c>
      <c r="AM38" s="74">
        <f>('Instruction-4YR'!I38+'RESEARCH 4yr'!I38+'PUBLIC SERVICE 4yr'!I38+'ASptISptSSv 4yr'!I38+'PLANT OPER MAIN 4yr'!I38+'SCHOLAR FELLOW 4yr'!I38+'All Other 4yr'!I38)-I38</f>
        <v>0</v>
      </c>
      <c r="AN38" s="74">
        <f>('Instruction-4YR'!J38+'RESEARCH 4yr'!J38+'PUBLIC SERVICE 4yr'!J38+'ASptISptSSv 4yr'!J38+'PLANT OPER MAIN 4yr'!J38+'SCHOLAR FELLOW 4yr'!J38+'All Other 4yr'!J38)-J38</f>
        <v>0</v>
      </c>
      <c r="AO38" s="74">
        <f>('Instruction-4YR'!K38+'RESEARCH 4yr'!K38+'PUBLIC SERVICE 4yr'!K38+'ASptISptSSv 4yr'!K38+'PLANT OPER MAIN 4yr'!K38+'SCHOLAR FELLOW 4yr'!K38+'All Other 4yr'!K38)-K38</f>
        <v>0</v>
      </c>
      <c r="AP38" s="74">
        <f>('Instruction-4YR'!L38+'RESEARCH 4yr'!L38+'PUBLIC SERVICE 4yr'!L38+'ASptISptSSv 4yr'!L38+'PLANT OPER MAIN 4yr'!L38+'SCHOLAR FELLOW 4yr'!L38+'All Other 4yr'!L38)-L38</f>
        <v>0</v>
      </c>
      <c r="AQ38" s="74">
        <f>('Instruction-4YR'!M38+'RESEARCH 4yr'!M38+'PUBLIC SERVICE 4yr'!M38+'ASptISptSSv 4yr'!M38+'PLANT OPER MAIN 4yr'!M38+'SCHOLAR FELLOW 4yr'!M38+'All Other 4yr'!M38)-M38</f>
        <v>0</v>
      </c>
      <c r="AR38" s="74">
        <f>('Instruction-4YR'!N38+'RESEARCH 4yr'!N38+'PUBLIC SERVICE 4yr'!N38+'ASptISptSSv 4yr'!N38+'PLANT OPER MAIN 4yr'!N38+'SCHOLAR FELLOW 4yr'!N38+'All Other 4yr'!N38)-N38</f>
        <v>0</v>
      </c>
      <c r="AS38" s="74">
        <f>('Instruction-4YR'!O38+'RESEARCH 4yr'!O38+'PUBLIC SERVICE 4yr'!O38+'ASptISptSSv 4yr'!O38+'PLANT OPER MAIN 4yr'!O38+'SCHOLAR FELLOW 4yr'!O38+'All Other 4yr'!O38)-O38</f>
        <v>0</v>
      </c>
      <c r="AT38" s="74">
        <f>('Instruction-4YR'!P38+'RESEARCH 4yr'!P38+'PUBLIC SERVICE 4yr'!P38+'ASptISptSSv 4yr'!P38+'PLANT OPER MAIN 4yr'!P38+'SCHOLAR FELLOW 4yr'!P38+'All Other 4yr'!P38)-P38</f>
        <v>0</v>
      </c>
      <c r="AU38" s="74">
        <f>('Instruction-4YR'!Q38+'RESEARCH 4yr'!Q38+'PUBLIC SERVICE 4yr'!Q38+'ASptISptSSv 4yr'!Q38+'PLANT OPER MAIN 4yr'!Q38+'SCHOLAR FELLOW 4yr'!Q38+'All Other 4yr'!Q38)-Q38</f>
        <v>0</v>
      </c>
      <c r="AV38" s="74">
        <f>('Instruction-4YR'!R38+'RESEARCH 4yr'!R38+'PUBLIC SERVICE 4yr'!R38+'ASptISptSSv 4yr'!R38+'PLANT OPER MAIN 4yr'!R38+'SCHOLAR FELLOW 4yr'!R38+'All Other 4yr'!R38)-R38</f>
        <v>0</v>
      </c>
      <c r="AW38" s="74">
        <f>('Instruction-4YR'!S38+'RESEARCH 4yr'!S38+'PUBLIC SERVICE 4yr'!S38+'ASptISptSSv 4yr'!S38+'PLANT OPER MAIN 4yr'!S38+'SCHOLAR FELLOW 4yr'!S38+'All Other 4yr'!S38)-S38</f>
        <v>0</v>
      </c>
      <c r="AX38" s="74">
        <f>('Instruction-4YR'!T38+'RESEARCH 4yr'!T38+'PUBLIC SERVICE 4yr'!T38+'ASptISptSSv 4yr'!T38+'PLANT OPER MAIN 4yr'!T38+'SCHOLAR FELLOW 4yr'!T38+'All Other 4yr'!T38)-T38</f>
        <v>0</v>
      </c>
      <c r="AY38" s="74">
        <f>('Instruction-4YR'!U38+'RESEARCH 4yr'!U38+'PUBLIC SERVICE 4yr'!U38+'ASptISptSSv 4yr'!U38+'PLANT OPER MAIN 4yr'!U38+'SCHOLAR FELLOW 4yr'!U38+'All Other 4yr'!U38)-U38</f>
        <v>0</v>
      </c>
      <c r="AZ38" s="74">
        <f>('Instruction-4YR'!V38+'RESEARCH 4yr'!V38+'PUBLIC SERVICE 4yr'!V38+'ASptISptSSv 4yr'!V38+'PLANT OPER MAIN 4yr'!V38+'SCHOLAR FELLOW 4yr'!V38+'All Other 4yr'!V38)-V38</f>
        <v>0</v>
      </c>
      <c r="BA38" s="74">
        <f>('Instruction-4YR'!W38+'RESEARCH 4yr'!W38+'PUBLIC SERVICE 4yr'!W38+'ASptISptSSv 4yr'!W38+'PLANT OPER MAIN 4yr'!W38+'SCHOLAR FELLOW 4yr'!W38+'All Other 4yr'!W38)-W38</f>
        <v>0</v>
      </c>
      <c r="BB38" s="74">
        <f>('Instruction-4YR'!X38+'RESEARCH 4yr'!X38+'PUBLIC SERVICE 4yr'!X38+'ASptISptSSv 4yr'!X38+'PLANT OPER MAIN 4yr'!X38+'SCHOLAR FELLOW 4yr'!X38+'All Other 4yr'!X38)-X38</f>
        <v>0</v>
      </c>
      <c r="BC38" s="74">
        <f>('Instruction-4YR'!Y38+'RESEARCH 4yr'!Y38+'PUBLIC SERVICE 4yr'!Y38+'ASptISptSSv 4yr'!Y38+'PLANT OPER MAIN 4yr'!Y38+'SCHOLAR FELLOW 4yr'!Y38+'All Other 4yr'!Y38)-Y38</f>
        <v>0</v>
      </c>
      <c r="BD38" s="74">
        <f>('Instruction-4YR'!Z38+'RESEARCH 4yr'!Z38+'PUBLIC SERVICE 4yr'!Z38+'ASptISptSSv 4yr'!Z38+'PLANT OPER MAIN 4yr'!Z38+'SCHOLAR FELLOW 4yr'!Z38+'All Other 4yr'!Z38)-Z38</f>
        <v>0</v>
      </c>
      <c r="BE38" s="74">
        <f>('Instruction-4YR'!AA38+'RESEARCH 4yr'!AA38+'PUBLIC SERVICE 4yr'!AA38+'ASptISptSSv 4yr'!AA38+'PLANT OPER MAIN 4yr'!AA38+'SCHOLAR FELLOW 4yr'!AA38+'All Other 4yr'!AA38)-AA38</f>
        <v>0</v>
      </c>
      <c r="BF38" s="74">
        <f>('Instruction-4YR'!AB38+'RESEARCH 4yr'!AB38+'PUBLIC SERVICE 4yr'!AB38+'ASptISptSSv 4yr'!AB38+'PLANT OPER MAIN 4yr'!AB38+'SCHOLAR FELLOW 4yr'!AB38+'All Other 4yr'!AB38)-AB38</f>
        <v>0</v>
      </c>
      <c r="BG38" s="74">
        <f>('Instruction-4YR'!AC38+'RESEARCH 4yr'!AC38+'PUBLIC SERVICE 4yr'!AC38+'ASptISptSSv 4yr'!AC38+'PLANT OPER MAIN 4yr'!AC38+'SCHOLAR FELLOW 4yr'!AC38+'All Other 4yr'!AC38)-AC38</f>
        <v>0</v>
      </c>
      <c r="BH38" s="74">
        <f>('Instruction-4YR'!AD38+'RESEARCH 4yr'!AD38+'PUBLIC SERVICE 4yr'!AD38+'ASptISptSSv 4yr'!AD38+'PLANT OPER MAIN 4yr'!AD38+'SCHOLAR FELLOW 4yr'!AD38+'All Other 4yr'!AD38)-AD38</f>
        <v>0</v>
      </c>
      <c r="BI38" s="74">
        <f>('Instruction-4YR'!AE38+'RESEARCH 4yr'!AE38+'PUBLIC SERVICE 4yr'!AE38+'ASptISptSSv 4yr'!AE38+'PLANT OPER MAIN 4yr'!AE38+'SCHOLAR FELLOW 4yr'!AE38+'All Other 4yr'!AE38)-AE38</f>
        <v>0</v>
      </c>
    </row>
    <row r="39" spans="1:61">
      <c r="A39" s="23" t="s">
        <v>55</v>
      </c>
      <c r="B39" s="23"/>
      <c r="C39" s="23"/>
      <c r="D39" s="23"/>
      <c r="E39" s="23"/>
      <c r="F39" s="44">
        <v>158410.467</v>
      </c>
      <c r="G39" s="23"/>
      <c r="H39" s="23"/>
      <c r="I39" s="23">
        <v>182127.08199999999</v>
      </c>
      <c r="J39" s="23"/>
      <c r="K39" s="23">
        <v>173426.58900000001</v>
      </c>
      <c r="L39" s="23">
        <v>194294.86600000001</v>
      </c>
      <c r="M39" s="23">
        <v>221865.68400000001</v>
      </c>
      <c r="N39" s="23">
        <v>227875.69</v>
      </c>
      <c r="O39" s="23">
        <v>250245.20600000001</v>
      </c>
      <c r="P39" s="23">
        <v>262003.26699999999</v>
      </c>
      <c r="Q39" s="23">
        <v>280289.913</v>
      </c>
      <c r="R39" s="23">
        <v>287435.22399999999</v>
      </c>
      <c r="S39" s="23">
        <v>306814.04100000003</v>
      </c>
      <c r="T39" s="23">
        <v>347558.326</v>
      </c>
      <c r="U39" s="23">
        <v>375351.38900000002</v>
      </c>
      <c r="V39" s="23">
        <v>397290.79200000002</v>
      </c>
      <c r="W39" s="23">
        <v>420020.05</v>
      </c>
      <c r="X39" s="23">
        <v>442474.73300000001</v>
      </c>
      <c r="Y39" s="23">
        <v>435011.76500000001</v>
      </c>
      <c r="Z39" s="23">
        <v>447807.20799999998</v>
      </c>
      <c r="AA39" s="23">
        <v>463261.73300000001</v>
      </c>
      <c r="AB39" s="23">
        <v>537443.4</v>
      </c>
      <c r="AC39" s="23">
        <v>504692.14899999998</v>
      </c>
      <c r="AD39" s="23"/>
      <c r="AE39" s="23">
        <v>534856.179</v>
      </c>
      <c r="AF39" s="74">
        <f>('Instruction-4YR'!B39+'RESEARCH 4yr'!B39+'PUBLIC SERVICE 4yr'!B39+'ASptISptSSv 4yr'!B39+'PLANT OPER MAIN 4yr'!B39+'SCHOLAR FELLOW 4yr'!B39+'All Other 4yr'!B39)-B39</f>
        <v>0</v>
      </c>
      <c r="AG39" s="74">
        <f>('Instruction-4YR'!C39+'RESEARCH 4yr'!C39+'PUBLIC SERVICE 4yr'!C39+'ASptISptSSv 4yr'!C39+'PLANT OPER MAIN 4yr'!C39+'SCHOLAR FELLOW 4yr'!C39+'All Other 4yr'!C39)-C39</f>
        <v>0</v>
      </c>
      <c r="AH39" s="74">
        <f>('Instruction-4YR'!D39+'RESEARCH 4yr'!D39+'PUBLIC SERVICE 4yr'!D39+'ASptISptSSv 4yr'!D39+'PLANT OPER MAIN 4yr'!D39+'SCHOLAR FELLOW 4yr'!D39+'All Other 4yr'!D39)-D39</f>
        <v>0</v>
      </c>
      <c r="AI39" s="74">
        <f>('Instruction-4YR'!E39+'RESEARCH 4yr'!E39+'PUBLIC SERVICE 4yr'!E39+'ASptISptSSv 4yr'!E39+'PLANT OPER MAIN 4yr'!E39+'SCHOLAR FELLOW 4yr'!E39+'All Other 4yr'!E39)-E39</f>
        <v>0</v>
      </c>
      <c r="AJ39" s="74">
        <f>('Instruction-4YR'!F39+'RESEARCH 4yr'!F39+'PUBLIC SERVICE 4yr'!F39+'ASptISptSSv 4yr'!F39+'PLANT OPER MAIN 4yr'!F39+'SCHOLAR FELLOW 4yr'!F39+'All Other 4yr'!F39)-F39</f>
        <v>0</v>
      </c>
      <c r="AK39" s="74">
        <f>('Instruction-4YR'!G39+'RESEARCH 4yr'!G39+'PUBLIC SERVICE 4yr'!G39+'ASptISptSSv 4yr'!G39+'PLANT OPER MAIN 4yr'!G39+'SCHOLAR FELLOW 4yr'!G39+'All Other 4yr'!G39)-G39</f>
        <v>0</v>
      </c>
      <c r="AL39" s="74">
        <f>('Instruction-4YR'!H39+'RESEARCH 4yr'!H39+'PUBLIC SERVICE 4yr'!H39+'ASptISptSSv 4yr'!H39+'PLANT OPER MAIN 4yr'!H39+'SCHOLAR FELLOW 4yr'!H39+'All Other 4yr'!H39)-H39</f>
        <v>0</v>
      </c>
      <c r="AM39" s="74">
        <f>('Instruction-4YR'!I39+'RESEARCH 4yr'!I39+'PUBLIC SERVICE 4yr'!I39+'ASptISptSSv 4yr'!I39+'PLANT OPER MAIN 4yr'!I39+'SCHOLAR FELLOW 4yr'!I39+'All Other 4yr'!I39)-I39</f>
        <v>0</v>
      </c>
      <c r="AN39" s="74">
        <f>('Instruction-4YR'!J39+'RESEARCH 4yr'!J39+'PUBLIC SERVICE 4yr'!J39+'ASptISptSSv 4yr'!J39+'PLANT OPER MAIN 4yr'!J39+'SCHOLAR FELLOW 4yr'!J39+'All Other 4yr'!J39)-J39</f>
        <v>0</v>
      </c>
      <c r="AO39" s="74">
        <f>('Instruction-4YR'!K39+'RESEARCH 4yr'!K39+'PUBLIC SERVICE 4yr'!K39+'ASptISptSSv 4yr'!K39+'PLANT OPER MAIN 4yr'!K39+'SCHOLAR FELLOW 4yr'!K39+'All Other 4yr'!K39)-K39</f>
        <v>0</v>
      </c>
      <c r="AP39" s="74">
        <f>('Instruction-4YR'!L39+'RESEARCH 4yr'!L39+'PUBLIC SERVICE 4yr'!L39+'ASptISptSSv 4yr'!L39+'PLANT OPER MAIN 4yr'!L39+'SCHOLAR FELLOW 4yr'!L39+'All Other 4yr'!L39)-L39</f>
        <v>0</v>
      </c>
      <c r="AQ39" s="74">
        <f>('Instruction-4YR'!M39+'RESEARCH 4yr'!M39+'PUBLIC SERVICE 4yr'!M39+'ASptISptSSv 4yr'!M39+'PLANT OPER MAIN 4yr'!M39+'SCHOLAR FELLOW 4yr'!M39+'All Other 4yr'!M39)-M39</f>
        <v>0</v>
      </c>
      <c r="AR39" s="74">
        <f>('Instruction-4YR'!N39+'RESEARCH 4yr'!N39+'PUBLIC SERVICE 4yr'!N39+'ASptISptSSv 4yr'!N39+'PLANT OPER MAIN 4yr'!N39+'SCHOLAR FELLOW 4yr'!N39+'All Other 4yr'!N39)-N39</f>
        <v>0</v>
      </c>
      <c r="AS39" s="74">
        <f>('Instruction-4YR'!O39+'RESEARCH 4yr'!O39+'PUBLIC SERVICE 4yr'!O39+'ASptISptSSv 4yr'!O39+'PLANT OPER MAIN 4yr'!O39+'SCHOLAR FELLOW 4yr'!O39+'All Other 4yr'!O39)-O39</f>
        <v>0</v>
      </c>
      <c r="AT39" s="74">
        <f>('Instruction-4YR'!P39+'RESEARCH 4yr'!P39+'PUBLIC SERVICE 4yr'!P39+'ASptISptSSv 4yr'!P39+'PLANT OPER MAIN 4yr'!P39+'SCHOLAR FELLOW 4yr'!P39+'All Other 4yr'!P39)-P39</f>
        <v>0</v>
      </c>
      <c r="AU39" s="74">
        <f>('Instruction-4YR'!Q39+'RESEARCH 4yr'!Q39+'PUBLIC SERVICE 4yr'!Q39+'ASptISptSSv 4yr'!Q39+'PLANT OPER MAIN 4yr'!Q39+'SCHOLAR FELLOW 4yr'!Q39+'All Other 4yr'!Q39)-Q39</f>
        <v>0</v>
      </c>
      <c r="AV39" s="74">
        <f>('Instruction-4YR'!R39+'RESEARCH 4yr'!R39+'PUBLIC SERVICE 4yr'!R39+'ASptISptSSv 4yr'!R39+'PLANT OPER MAIN 4yr'!R39+'SCHOLAR FELLOW 4yr'!R39+'All Other 4yr'!R39)-R39</f>
        <v>0</v>
      </c>
      <c r="AW39" s="74">
        <f>('Instruction-4YR'!S39+'RESEARCH 4yr'!S39+'PUBLIC SERVICE 4yr'!S39+'ASptISptSSv 4yr'!S39+'PLANT OPER MAIN 4yr'!S39+'SCHOLAR FELLOW 4yr'!S39+'All Other 4yr'!S39)-S39</f>
        <v>0</v>
      </c>
      <c r="AX39" s="74">
        <f>('Instruction-4YR'!T39+'RESEARCH 4yr'!T39+'PUBLIC SERVICE 4yr'!T39+'ASptISptSSv 4yr'!T39+'PLANT OPER MAIN 4yr'!T39+'SCHOLAR FELLOW 4yr'!T39+'All Other 4yr'!T39)-T39</f>
        <v>0</v>
      </c>
      <c r="AY39" s="74">
        <f>('Instruction-4YR'!U39+'RESEARCH 4yr'!U39+'PUBLIC SERVICE 4yr'!U39+'ASptISptSSv 4yr'!U39+'PLANT OPER MAIN 4yr'!U39+'SCHOLAR FELLOW 4yr'!U39+'All Other 4yr'!U39)-U39</f>
        <v>0</v>
      </c>
      <c r="AZ39" s="74">
        <f>('Instruction-4YR'!V39+'RESEARCH 4yr'!V39+'PUBLIC SERVICE 4yr'!V39+'ASptISptSSv 4yr'!V39+'PLANT OPER MAIN 4yr'!V39+'SCHOLAR FELLOW 4yr'!V39+'All Other 4yr'!V39)-V39</f>
        <v>0</v>
      </c>
      <c r="BA39" s="74">
        <f>('Instruction-4YR'!W39+'RESEARCH 4yr'!W39+'PUBLIC SERVICE 4yr'!W39+'ASptISptSSv 4yr'!W39+'PLANT OPER MAIN 4yr'!W39+'SCHOLAR FELLOW 4yr'!W39+'All Other 4yr'!W39)-W39</f>
        <v>0</v>
      </c>
      <c r="BB39" s="74">
        <f>('Instruction-4YR'!X39+'RESEARCH 4yr'!X39+'PUBLIC SERVICE 4yr'!X39+'ASptISptSSv 4yr'!X39+'PLANT OPER MAIN 4yr'!X39+'SCHOLAR FELLOW 4yr'!X39+'All Other 4yr'!X39)-X39</f>
        <v>0</v>
      </c>
      <c r="BC39" s="74">
        <f>('Instruction-4YR'!Y39+'RESEARCH 4yr'!Y39+'PUBLIC SERVICE 4yr'!Y39+'ASptISptSSv 4yr'!Y39+'PLANT OPER MAIN 4yr'!Y39+'SCHOLAR FELLOW 4yr'!Y39+'All Other 4yr'!Y39)-Y39</f>
        <v>0</v>
      </c>
      <c r="BD39" s="74">
        <f>('Instruction-4YR'!Z39+'RESEARCH 4yr'!Z39+'PUBLIC SERVICE 4yr'!Z39+'ASptISptSSv 4yr'!Z39+'PLANT OPER MAIN 4yr'!Z39+'SCHOLAR FELLOW 4yr'!Z39+'All Other 4yr'!Z39)-Z39</f>
        <v>0</v>
      </c>
      <c r="BE39" s="74">
        <f>('Instruction-4YR'!AA39+'RESEARCH 4yr'!AA39+'PUBLIC SERVICE 4yr'!AA39+'ASptISptSSv 4yr'!AA39+'PLANT OPER MAIN 4yr'!AA39+'SCHOLAR FELLOW 4yr'!AA39+'All Other 4yr'!AA39)-AA39</f>
        <v>0</v>
      </c>
      <c r="BF39" s="74">
        <f>('Instruction-4YR'!AB39+'RESEARCH 4yr'!AB39+'PUBLIC SERVICE 4yr'!AB39+'ASptISptSSv 4yr'!AB39+'PLANT OPER MAIN 4yr'!AB39+'SCHOLAR FELLOW 4yr'!AB39+'All Other 4yr'!AB39)-AB39</f>
        <v>0</v>
      </c>
      <c r="BG39" s="74">
        <f>('Instruction-4YR'!AC39+'RESEARCH 4yr'!AC39+'PUBLIC SERVICE 4yr'!AC39+'ASptISptSSv 4yr'!AC39+'PLANT OPER MAIN 4yr'!AC39+'SCHOLAR FELLOW 4yr'!AC39+'All Other 4yr'!AC39)-AC39</f>
        <v>0</v>
      </c>
      <c r="BH39" s="74">
        <f>('Instruction-4YR'!AD39+'RESEARCH 4yr'!AD39+'PUBLIC SERVICE 4yr'!AD39+'ASptISptSSv 4yr'!AD39+'PLANT OPER MAIN 4yr'!AD39+'SCHOLAR FELLOW 4yr'!AD39+'All Other 4yr'!AD39)-AD39</f>
        <v>0</v>
      </c>
      <c r="BI39" s="74">
        <f>('Instruction-4YR'!AE39+'RESEARCH 4yr'!AE39+'PUBLIC SERVICE 4yr'!AE39+'ASptISptSSv 4yr'!AE39+'PLANT OPER MAIN 4yr'!AE39+'SCHOLAR FELLOW 4yr'!AE39+'All Other 4yr'!AE39)-AE39</f>
        <v>0</v>
      </c>
    </row>
    <row r="40" spans="1:61">
      <c r="A40" s="7" t="s">
        <v>56</v>
      </c>
      <c r="B40" s="47">
        <f>SUM(B42:B53)</f>
        <v>0</v>
      </c>
      <c r="C40" s="47">
        <f t="shared" ref="C40:AE40" si="15">SUM(C42:C53)</f>
        <v>0</v>
      </c>
      <c r="D40" s="47">
        <f t="shared" si="15"/>
        <v>0</v>
      </c>
      <c r="E40" s="47">
        <f t="shared" si="15"/>
        <v>0</v>
      </c>
      <c r="F40" s="47">
        <f t="shared" si="15"/>
        <v>17450502.520000003</v>
      </c>
      <c r="G40" s="47">
        <f t="shared" si="15"/>
        <v>0</v>
      </c>
      <c r="H40" s="47">
        <f t="shared" si="15"/>
        <v>0</v>
      </c>
      <c r="I40" s="47">
        <f t="shared" si="15"/>
        <v>19252712.139000002</v>
      </c>
      <c r="J40" s="47">
        <f t="shared" si="15"/>
        <v>0</v>
      </c>
      <c r="K40" s="47">
        <f t="shared" si="15"/>
        <v>21355142.687290002</v>
      </c>
      <c r="L40" s="47">
        <f t="shared" si="15"/>
        <v>24898747.881000005</v>
      </c>
      <c r="M40" s="47">
        <f t="shared" si="15"/>
        <v>27484753.311999999</v>
      </c>
      <c r="N40" s="47">
        <f t="shared" si="15"/>
        <v>29765586.952999998</v>
      </c>
      <c r="O40" s="47">
        <f t="shared" si="15"/>
        <v>31239523.601999998</v>
      </c>
      <c r="P40" s="47">
        <f t="shared" si="15"/>
        <v>33627730.666000001</v>
      </c>
      <c r="Q40" s="47">
        <f t="shared" si="15"/>
        <v>34636187.39199999</v>
      </c>
      <c r="R40" s="47">
        <f t="shared" si="15"/>
        <v>36525623.912</v>
      </c>
      <c r="S40" s="47">
        <f t="shared" si="15"/>
        <v>38327261.649999999</v>
      </c>
      <c r="T40" s="47">
        <f t="shared" si="15"/>
        <v>41930677.456999995</v>
      </c>
      <c r="U40" s="47">
        <f t="shared" si="15"/>
        <v>41124959.678000003</v>
      </c>
      <c r="V40" s="47">
        <f t="shared" si="15"/>
        <v>42520681.207000002</v>
      </c>
      <c r="W40" s="47">
        <f t="shared" si="15"/>
        <v>43886825.502999999</v>
      </c>
      <c r="X40" s="47">
        <f t="shared" si="15"/>
        <v>45029341.013000004</v>
      </c>
      <c r="Y40" s="47">
        <f t="shared" si="15"/>
        <v>46496269.225999996</v>
      </c>
      <c r="Z40" s="47">
        <f t="shared" si="15"/>
        <v>48054295.951000005</v>
      </c>
      <c r="AA40" s="47">
        <f t="shared" si="15"/>
        <v>49043922.473000005</v>
      </c>
      <c r="AB40" s="47">
        <f t="shared" si="15"/>
        <v>51047164.140999988</v>
      </c>
      <c r="AC40" s="47">
        <f t="shared" si="15"/>
        <v>53487044.923999995</v>
      </c>
      <c r="AD40" s="47">
        <f t="shared" si="15"/>
        <v>0</v>
      </c>
      <c r="AE40" s="47">
        <f t="shared" si="15"/>
        <v>55381509.399999991</v>
      </c>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row>
    <row r="41" spans="1:61">
      <c r="A41" s="7" t="s">
        <v>97</v>
      </c>
      <c r="Y41" s="1">
        <v>0</v>
      </c>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row>
    <row r="42" spans="1:61">
      <c r="A42" s="1" t="s">
        <v>57</v>
      </c>
      <c r="F42" s="41">
        <v>2159856.5240000002</v>
      </c>
      <c r="I42" s="1">
        <v>2477062.8969999999</v>
      </c>
      <c r="K42" s="1">
        <v>2814134.8450000002</v>
      </c>
      <c r="L42" s="1">
        <v>3193065.9419999998</v>
      </c>
      <c r="M42" s="1">
        <v>3423292.861</v>
      </c>
      <c r="N42" s="1">
        <v>4227424.0599999996</v>
      </c>
      <c r="O42" s="1">
        <v>4423793.0630000001</v>
      </c>
      <c r="P42" s="1">
        <v>5507031.3310000002</v>
      </c>
      <c r="Q42" s="1">
        <v>4873822.0180000002</v>
      </c>
      <c r="R42" s="1">
        <v>5065762.9859999996</v>
      </c>
      <c r="S42" s="1">
        <v>5310170.6119999997</v>
      </c>
      <c r="T42" s="1">
        <v>5677956.9469999997</v>
      </c>
      <c r="U42" s="1">
        <v>5825362.352</v>
      </c>
      <c r="V42" s="1">
        <v>5992880.1550000003</v>
      </c>
      <c r="W42" s="1">
        <v>6147772.5520000001</v>
      </c>
      <c r="X42" s="1">
        <v>6522583.2960000001</v>
      </c>
      <c r="Y42" s="1">
        <v>7060859.7019999996</v>
      </c>
      <c r="Z42" s="1">
        <v>7242126.4649999999</v>
      </c>
      <c r="AA42" s="1">
        <v>7529920.1339999996</v>
      </c>
      <c r="AB42" s="1">
        <v>7633836.5470000003</v>
      </c>
      <c r="AC42" s="1">
        <v>7985508.0070000002</v>
      </c>
      <c r="AE42" s="1">
        <v>7289849.2829999998</v>
      </c>
      <c r="AF42" s="74">
        <f>('Instruction-4YR'!B42+'RESEARCH 4yr'!B42+'PUBLIC SERVICE 4yr'!B42+'ASptISptSSv 4yr'!B42+'PLANT OPER MAIN 4yr'!B42+'SCHOLAR FELLOW 4yr'!B42+'All Other 4yr'!B42)-B42</f>
        <v>0</v>
      </c>
      <c r="AG42" s="74">
        <f>('Instruction-4YR'!C42+'RESEARCH 4yr'!C42+'PUBLIC SERVICE 4yr'!C42+'ASptISptSSv 4yr'!C42+'PLANT OPER MAIN 4yr'!C42+'SCHOLAR FELLOW 4yr'!C42+'All Other 4yr'!C42)-C42</f>
        <v>0</v>
      </c>
      <c r="AH42" s="74">
        <f>('Instruction-4YR'!D42+'RESEARCH 4yr'!D42+'PUBLIC SERVICE 4yr'!D42+'ASptISptSSv 4yr'!D42+'PLANT OPER MAIN 4yr'!D42+'SCHOLAR FELLOW 4yr'!D42+'All Other 4yr'!D42)-D42</f>
        <v>0</v>
      </c>
      <c r="AI42" s="74">
        <f>('Instruction-4YR'!E42+'RESEARCH 4yr'!E42+'PUBLIC SERVICE 4yr'!E42+'ASptISptSSv 4yr'!E42+'PLANT OPER MAIN 4yr'!E42+'SCHOLAR FELLOW 4yr'!E42+'All Other 4yr'!E42)-E42</f>
        <v>0</v>
      </c>
      <c r="AJ42" s="74">
        <f>('Instruction-4YR'!F42+'RESEARCH 4yr'!F42+'PUBLIC SERVICE 4yr'!F42+'ASptISptSSv 4yr'!F42+'PLANT OPER MAIN 4yr'!F42+'SCHOLAR FELLOW 4yr'!F42+'All Other 4yr'!F42)-F42</f>
        <v>0</v>
      </c>
      <c r="AK42" s="74">
        <f>('Instruction-4YR'!G42+'RESEARCH 4yr'!G42+'PUBLIC SERVICE 4yr'!G42+'ASptISptSSv 4yr'!G42+'PLANT OPER MAIN 4yr'!G42+'SCHOLAR FELLOW 4yr'!G42+'All Other 4yr'!G42)-G42</f>
        <v>0</v>
      </c>
      <c r="AL42" s="74">
        <f>('Instruction-4YR'!H42+'RESEARCH 4yr'!H42+'PUBLIC SERVICE 4yr'!H42+'ASptISptSSv 4yr'!H42+'PLANT OPER MAIN 4yr'!H42+'SCHOLAR FELLOW 4yr'!H42+'All Other 4yr'!H42)-H42</f>
        <v>0</v>
      </c>
      <c r="AM42" s="74">
        <f>('Instruction-4YR'!I42+'RESEARCH 4yr'!I42+'PUBLIC SERVICE 4yr'!I42+'ASptISptSSv 4yr'!I42+'PLANT OPER MAIN 4yr'!I42+'SCHOLAR FELLOW 4yr'!I42+'All Other 4yr'!I42)-I42</f>
        <v>0</v>
      </c>
      <c r="AN42" s="74">
        <f>('Instruction-4YR'!J42+'RESEARCH 4yr'!J42+'PUBLIC SERVICE 4yr'!J42+'ASptISptSSv 4yr'!J42+'PLANT OPER MAIN 4yr'!J42+'SCHOLAR FELLOW 4yr'!J42+'All Other 4yr'!J42)-J42</f>
        <v>0</v>
      </c>
      <c r="AO42" s="74">
        <f>('Instruction-4YR'!K42+'RESEARCH 4yr'!K42+'PUBLIC SERVICE 4yr'!K42+'ASptISptSSv 4yr'!K42+'PLANT OPER MAIN 4yr'!K42+'SCHOLAR FELLOW 4yr'!K42+'All Other 4yr'!K42)-K42</f>
        <v>0</v>
      </c>
      <c r="AP42" s="74">
        <f>('Instruction-4YR'!L42+'RESEARCH 4yr'!L42+'PUBLIC SERVICE 4yr'!L42+'ASptISptSSv 4yr'!L42+'PLANT OPER MAIN 4yr'!L42+'SCHOLAR FELLOW 4yr'!L42+'All Other 4yr'!L42)-L42</f>
        <v>0</v>
      </c>
      <c r="AQ42" s="74">
        <f>('Instruction-4YR'!M42+'RESEARCH 4yr'!M42+'PUBLIC SERVICE 4yr'!M42+'ASptISptSSv 4yr'!M42+'PLANT OPER MAIN 4yr'!M42+'SCHOLAR FELLOW 4yr'!M42+'All Other 4yr'!M42)-M42</f>
        <v>0</v>
      </c>
      <c r="AR42" s="74">
        <f>('Instruction-4YR'!N42+'RESEARCH 4yr'!N42+'PUBLIC SERVICE 4yr'!N42+'ASptISptSSv 4yr'!N42+'PLANT OPER MAIN 4yr'!N42+'SCHOLAR FELLOW 4yr'!N42+'All Other 4yr'!N42)-N42</f>
        <v>0</v>
      </c>
      <c r="AS42" s="74">
        <f>('Instruction-4YR'!O42+'RESEARCH 4yr'!O42+'PUBLIC SERVICE 4yr'!O42+'ASptISptSSv 4yr'!O42+'PLANT OPER MAIN 4yr'!O42+'SCHOLAR FELLOW 4yr'!O42+'All Other 4yr'!O42)-O42</f>
        <v>0</v>
      </c>
      <c r="AT42" s="74">
        <f>('Instruction-4YR'!P42+'RESEARCH 4yr'!P42+'PUBLIC SERVICE 4yr'!P42+'ASptISptSSv 4yr'!P42+'PLANT OPER MAIN 4yr'!P42+'SCHOLAR FELLOW 4yr'!P42+'All Other 4yr'!P42)-P42</f>
        <v>0</v>
      </c>
      <c r="AU42" s="74">
        <f>('Instruction-4YR'!Q42+'RESEARCH 4yr'!Q42+'PUBLIC SERVICE 4yr'!Q42+'ASptISptSSv 4yr'!Q42+'PLANT OPER MAIN 4yr'!Q42+'SCHOLAR FELLOW 4yr'!Q42+'All Other 4yr'!Q42)-Q42</f>
        <v>0</v>
      </c>
      <c r="AV42" s="74">
        <f>('Instruction-4YR'!R42+'RESEARCH 4yr'!R42+'PUBLIC SERVICE 4yr'!R42+'ASptISptSSv 4yr'!R42+'PLANT OPER MAIN 4yr'!R42+'SCHOLAR FELLOW 4yr'!R42+'All Other 4yr'!R42)-R42</f>
        <v>0</v>
      </c>
      <c r="AW42" s="74">
        <f>('Instruction-4YR'!S42+'RESEARCH 4yr'!S42+'PUBLIC SERVICE 4yr'!S42+'ASptISptSSv 4yr'!S42+'PLANT OPER MAIN 4yr'!S42+'SCHOLAR FELLOW 4yr'!S42+'All Other 4yr'!S42)-S42</f>
        <v>0</v>
      </c>
      <c r="AX42" s="74">
        <f>('Instruction-4YR'!T42+'RESEARCH 4yr'!T42+'PUBLIC SERVICE 4yr'!T42+'ASptISptSSv 4yr'!T42+'PLANT OPER MAIN 4yr'!T42+'SCHOLAR FELLOW 4yr'!T42+'All Other 4yr'!T42)-T42</f>
        <v>0</v>
      </c>
      <c r="AY42" s="74">
        <f>('Instruction-4YR'!U42+'RESEARCH 4yr'!U42+'PUBLIC SERVICE 4yr'!U42+'ASptISptSSv 4yr'!U42+'PLANT OPER MAIN 4yr'!U42+'SCHOLAR FELLOW 4yr'!U42+'All Other 4yr'!U42)-U42</f>
        <v>0</v>
      </c>
      <c r="AZ42" s="74">
        <f>('Instruction-4YR'!V42+'RESEARCH 4yr'!V42+'PUBLIC SERVICE 4yr'!V42+'ASptISptSSv 4yr'!V42+'PLANT OPER MAIN 4yr'!V42+'SCHOLAR FELLOW 4yr'!V42+'All Other 4yr'!V42)-V42</f>
        <v>0</v>
      </c>
      <c r="BA42" s="74">
        <f>('Instruction-4YR'!W42+'RESEARCH 4yr'!W42+'PUBLIC SERVICE 4yr'!W42+'ASptISptSSv 4yr'!W42+'PLANT OPER MAIN 4yr'!W42+'SCHOLAR FELLOW 4yr'!W42+'All Other 4yr'!W42)-W42</f>
        <v>0</v>
      </c>
      <c r="BB42" s="74">
        <f>('Instruction-4YR'!X42+'RESEARCH 4yr'!X42+'PUBLIC SERVICE 4yr'!X42+'ASptISptSSv 4yr'!X42+'PLANT OPER MAIN 4yr'!X42+'SCHOLAR FELLOW 4yr'!X42+'All Other 4yr'!X42)-X42</f>
        <v>0</v>
      </c>
      <c r="BC42" s="74">
        <f>('Instruction-4YR'!Y42+'RESEARCH 4yr'!Y42+'PUBLIC SERVICE 4yr'!Y42+'ASptISptSSv 4yr'!Y42+'PLANT OPER MAIN 4yr'!Y42+'SCHOLAR FELLOW 4yr'!Y42+'All Other 4yr'!Y42)-Y42</f>
        <v>0</v>
      </c>
      <c r="BD42" s="74">
        <f>('Instruction-4YR'!Z42+'RESEARCH 4yr'!Z42+'PUBLIC SERVICE 4yr'!Z42+'ASptISptSSv 4yr'!Z42+'PLANT OPER MAIN 4yr'!Z42+'SCHOLAR FELLOW 4yr'!Z42+'All Other 4yr'!Z42)-Z42</f>
        <v>0</v>
      </c>
      <c r="BE42" s="74">
        <f>('Instruction-4YR'!AA42+'RESEARCH 4yr'!AA42+'PUBLIC SERVICE 4yr'!AA42+'ASptISptSSv 4yr'!AA42+'PLANT OPER MAIN 4yr'!AA42+'SCHOLAR FELLOW 4yr'!AA42+'All Other 4yr'!AA42)-AA42</f>
        <v>0</v>
      </c>
      <c r="BF42" s="74">
        <f>('Instruction-4YR'!AB42+'RESEARCH 4yr'!AB42+'PUBLIC SERVICE 4yr'!AB42+'ASptISptSSv 4yr'!AB42+'PLANT OPER MAIN 4yr'!AB42+'SCHOLAR FELLOW 4yr'!AB42+'All Other 4yr'!AB42)-AB42</f>
        <v>0</v>
      </c>
      <c r="BG42" s="74">
        <f>('Instruction-4YR'!AC42+'RESEARCH 4yr'!AC42+'PUBLIC SERVICE 4yr'!AC42+'ASptISptSSv 4yr'!AC42+'PLANT OPER MAIN 4yr'!AC42+'SCHOLAR FELLOW 4yr'!AC42+'All Other 4yr'!AC42)-AC42</f>
        <v>0</v>
      </c>
      <c r="BH42" s="74">
        <f>('Instruction-4YR'!AD42+'RESEARCH 4yr'!AD42+'PUBLIC SERVICE 4yr'!AD42+'ASptISptSSv 4yr'!AD42+'PLANT OPER MAIN 4yr'!AD42+'SCHOLAR FELLOW 4yr'!AD42+'All Other 4yr'!AD42)-AD42</f>
        <v>0</v>
      </c>
      <c r="BI42" s="74">
        <f>('Instruction-4YR'!AE42+'RESEARCH 4yr'!AE42+'PUBLIC SERVICE 4yr'!AE42+'ASptISptSSv 4yr'!AE42+'PLANT OPER MAIN 4yr'!AE42+'SCHOLAR FELLOW 4yr'!AE42+'All Other 4yr'!AE42)-AE42</f>
        <v>0</v>
      </c>
    </row>
    <row r="43" spans="1:61">
      <c r="A43" s="1" t="s">
        <v>58</v>
      </c>
      <c r="F43" s="41">
        <v>1837442.0179999999</v>
      </c>
      <c r="I43" s="1">
        <v>2079903.689</v>
      </c>
      <c r="K43" s="1">
        <v>2304701.0970000001</v>
      </c>
      <c r="L43" s="1">
        <v>2746209.82</v>
      </c>
      <c r="M43" s="1">
        <v>2921503.1490000002</v>
      </c>
      <c r="N43" s="1">
        <v>3184131.818</v>
      </c>
      <c r="O43" s="1">
        <v>3341288.801</v>
      </c>
      <c r="P43" s="1">
        <v>3595934.969</v>
      </c>
      <c r="Q43" s="1">
        <v>3913220.4939999999</v>
      </c>
      <c r="R43" s="1">
        <v>4061014.977</v>
      </c>
      <c r="S43" s="1">
        <v>4234720.716</v>
      </c>
      <c r="T43" s="1">
        <v>4545858.3459999999</v>
      </c>
      <c r="U43" s="1">
        <v>4700043.6129999999</v>
      </c>
      <c r="V43" s="1">
        <v>4740321.6619999995</v>
      </c>
      <c r="W43" s="1">
        <v>4935417.9220000003</v>
      </c>
      <c r="X43" s="1">
        <v>5084753.17</v>
      </c>
      <c r="Y43" s="1">
        <v>5113212.1440000003</v>
      </c>
      <c r="Z43" s="1">
        <v>5320098.1380000003</v>
      </c>
      <c r="AA43" s="1">
        <v>5299562.1560000004</v>
      </c>
      <c r="AB43" s="1">
        <v>5700189.1289999997</v>
      </c>
      <c r="AC43" s="1">
        <v>5916464.0190000003</v>
      </c>
      <c r="AE43" s="1">
        <v>6722246.3289999999</v>
      </c>
      <c r="AF43" s="74">
        <f>('Instruction-4YR'!B43+'RESEARCH 4yr'!B43+'PUBLIC SERVICE 4yr'!B43+'ASptISptSSv 4yr'!B43+'PLANT OPER MAIN 4yr'!B43+'SCHOLAR FELLOW 4yr'!B43+'All Other 4yr'!B43)-B43</f>
        <v>0</v>
      </c>
      <c r="AG43" s="74">
        <f>('Instruction-4YR'!C43+'RESEARCH 4yr'!C43+'PUBLIC SERVICE 4yr'!C43+'ASptISptSSv 4yr'!C43+'PLANT OPER MAIN 4yr'!C43+'SCHOLAR FELLOW 4yr'!C43+'All Other 4yr'!C43)-C43</f>
        <v>0</v>
      </c>
      <c r="AH43" s="74">
        <f>('Instruction-4YR'!D43+'RESEARCH 4yr'!D43+'PUBLIC SERVICE 4yr'!D43+'ASptISptSSv 4yr'!D43+'PLANT OPER MAIN 4yr'!D43+'SCHOLAR FELLOW 4yr'!D43+'All Other 4yr'!D43)-D43</f>
        <v>0</v>
      </c>
      <c r="AI43" s="74">
        <f>('Instruction-4YR'!E43+'RESEARCH 4yr'!E43+'PUBLIC SERVICE 4yr'!E43+'ASptISptSSv 4yr'!E43+'PLANT OPER MAIN 4yr'!E43+'SCHOLAR FELLOW 4yr'!E43+'All Other 4yr'!E43)-E43</f>
        <v>0</v>
      </c>
      <c r="AJ43" s="74">
        <f>('Instruction-4YR'!F43+'RESEARCH 4yr'!F43+'PUBLIC SERVICE 4yr'!F43+'ASptISptSSv 4yr'!F43+'PLANT OPER MAIN 4yr'!F43+'SCHOLAR FELLOW 4yr'!F43+'All Other 4yr'!F43)-F43</f>
        <v>0</v>
      </c>
      <c r="AK43" s="74">
        <f>('Instruction-4YR'!G43+'RESEARCH 4yr'!G43+'PUBLIC SERVICE 4yr'!G43+'ASptISptSSv 4yr'!G43+'PLANT OPER MAIN 4yr'!G43+'SCHOLAR FELLOW 4yr'!G43+'All Other 4yr'!G43)-G43</f>
        <v>0</v>
      </c>
      <c r="AL43" s="74">
        <f>('Instruction-4YR'!H43+'RESEARCH 4yr'!H43+'PUBLIC SERVICE 4yr'!H43+'ASptISptSSv 4yr'!H43+'PLANT OPER MAIN 4yr'!H43+'SCHOLAR FELLOW 4yr'!H43+'All Other 4yr'!H43)-H43</f>
        <v>0</v>
      </c>
      <c r="AM43" s="74">
        <f>('Instruction-4YR'!I43+'RESEARCH 4yr'!I43+'PUBLIC SERVICE 4yr'!I43+'ASptISptSSv 4yr'!I43+'PLANT OPER MAIN 4yr'!I43+'SCHOLAR FELLOW 4yr'!I43+'All Other 4yr'!I43)-I43</f>
        <v>0</v>
      </c>
      <c r="AN43" s="74">
        <f>('Instruction-4YR'!J43+'RESEARCH 4yr'!J43+'PUBLIC SERVICE 4yr'!J43+'ASptISptSSv 4yr'!J43+'PLANT OPER MAIN 4yr'!J43+'SCHOLAR FELLOW 4yr'!J43+'All Other 4yr'!J43)-J43</f>
        <v>0</v>
      </c>
      <c r="AO43" s="74">
        <f>('Instruction-4YR'!K43+'RESEARCH 4yr'!K43+'PUBLIC SERVICE 4yr'!K43+'ASptISptSSv 4yr'!K43+'PLANT OPER MAIN 4yr'!K43+'SCHOLAR FELLOW 4yr'!K43+'All Other 4yr'!K43)-K43</f>
        <v>0</v>
      </c>
      <c r="AP43" s="74">
        <f>('Instruction-4YR'!L43+'RESEARCH 4yr'!L43+'PUBLIC SERVICE 4yr'!L43+'ASptISptSSv 4yr'!L43+'PLANT OPER MAIN 4yr'!L43+'SCHOLAR FELLOW 4yr'!L43+'All Other 4yr'!L43)-L43</f>
        <v>0</v>
      </c>
      <c r="AQ43" s="74">
        <f>('Instruction-4YR'!M43+'RESEARCH 4yr'!M43+'PUBLIC SERVICE 4yr'!M43+'ASptISptSSv 4yr'!M43+'PLANT OPER MAIN 4yr'!M43+'SCHOLAR FELLOW 4yr'!M43+'All Other 4yr'!M43)-M43</f>
        <v>0</v>
      </c>
      <c r="AR43" s="74">
        <f>('Instruction-4YR'!N43+'RESEARCH 4yr'!N43+'PUBLIC SERVICE 4yr'!N43+'ASptISptSSv 4yr'!N43+'PLANT OPER MAIN 4yr'!N43+'SCHOLAR FELLOW 4yr'!N43+'All Other 4yr'!N43)-N43</f>
        <v>0</v>
      </c>
      <c r="AS43" s="74">
        <f>('Instruction-4YR'!O43+'RESEARCH 4yr'!O43+'PUBLIC SERVICE 4yr'!O43+'ASptISptSSv 4yr'!O43+'PLANT OPER MAIN 4yr'!O43+'SCHOLAR FELLOW 4yr'!O43+'All Other 4yr'!O43)-O43</f>
        <v>0</v>
      </c>
      <c r="AT43" s="74">
        <f>('Instruction-4YR'!P43+'RESEARCH 4yr'!P43+'PUBLIC SERVICE 4yr'!P43+'ASptISptSSv 4yr'!P43+'PLANT OPER MAIN 4yr'!P43+'SCHOLAR FELLOW 4yr'!P43+'All Other 4yr'!P43)-P43</f>
        <v>0</v>
      </c>
      <c r="AU43" s="74">
        <f>('Instruction-4YR'!Q43+'RESEARCH 4yr'!Q43+'PUBLIC SERVICE 4yr'!Q43+'ASptISptSSv 4yr'!Q43+'PLANT OPER MAIN 4yr'!Q43+'SCHOLAR FELLOW 4yr'!Q43+'All Other 4yr'!Q43)-Q43</f>
        <v>0</v>
      </c>
      <c r="AV43" s="74">
        <f>('Instruction-4YR'!R43+'RESEARCH 4yr'!R43+'PUBLIC SERVICE 4yr'!R43+'ASptISptSSv 4yr'!R43+'PLANT OPER MAIN 4yr'!R43+'SCHOLAR FELLOW 4yr'!R43+'All Other 4yr'!R43)-R43</f>
        <v>0</v>
      </c>
      <c r="AW43" s="74">
        <f>('Instruction-4YR'!S43+'RESEARCH 4yr'!S43+'PUBLIC SERVICE 4yr'!S43+'ASptISptSSv 4yr'!S43+'PLANT OPER MAIN 4yr'!S43+'SCHOLAR FELLOW 4yr'!S43+'All Other 4yr'!S43)-S43</f>
        <v>0</v>
      </c>
      <c r="AX43" s="74">
        <f>('Instruction-4YR'!T43+'RESEARCH 4yr'!T43+'PUBLIC SERVICE 4yr'!T43+'ASptISptSSv 4yr'!T43+'PLANT OPER MAIN 4yr'!T43+'SCHOLAR FELLOW 4yr'!T43+'All Other 4yr'!T43)-T43</f>
        <v>0</v>
      </c>
      <c r="AY43" s="74">
        <f>('Instruction-4YR'!U43+'RESEARCH 4yr'!U43+'PUBLIC SERVICE 4yr'!U43+'ASptISptSSv 4yr'!U43+'PLANT OPER MAIN 4yr'!U43+'SCHOLAR FELLOW 4yr'!U43+'All Other 4yr'!U43)-U43</f>
        <v>0</v>
      </c>
      <c r="AZ43" s="74">
        <f>('Instruction-4YR'!V43+'RESEARCH 4yr'!V43+'PUBLIC SERVICE 4yr'!V43+'ASptISptSSv 4yr'!V43+'PLANT OPER MAIN 4yr'!V43+'SCHOLAR FELLOW 4yr'!V43+'All Other 4yr'!V43)-V43</f>
        <v>0</v>
      </c>
      <c r="BA43" s="74">
        <f>('Instruction-4YR'!W43+'RESEARCH 4yr'!W43+'PUBLIC SERVICE 4yr'!W43+'ASptISptSSv 4yr'!W43+'PLANT OPER MAIN 4yr'!W43+'SCHOLAR FELLOW 4yr'!W43+'All Other 4yr'!W43)-W43</f>
        <v>0</v>
      </c>
      <c r="BB43" s="74">
        <f>('Instruction-4YR'!X43+'RESEARCH 4yr'!X43+'PUBLIC SERVICE 4yr'!X43+'ASptISptSSv 4yr'!X43+'PLANT OPER MAIN 4yr'!X43+'SCHOLAR FELLOW 4yr'!X43+'All Other 4yr'!X43)-X43</f>
        <v>0</v>
      </c>
      <c r="BC43" s="74">
        <f>('Instruction-4YR'!Y43+'RESEARCH 4yr'!Y43+'PUBLIC SERVICE 4yr'!Y43+'ASptISptSSv 4yr'!Y43+'PLANT OPER MAIN 4yr'!Y43+'SCHOLAR FELLOW 4yr'!Y43+'All Other 4yr'!Y43)-Y43</f>
        <v>0</v>
      </c>
      <c r="BD43" s="74">
        <f>('Instruction-4YR'!Z43+'RESEARCH 4yr'!Z43+'PUBLIC SERVICE 4yr'!Z43+'ASptISptSSv 4yr'!Z43+'PLANT OPER MAIN 4yr'!Z43+'SCHOLAR FELLOW 4yr'!Z43+'All Other 4yr'!Z43)-Z43</f>
        <v>0</v>
      </c>
      <c r="BE43" s="74">
        <f>('Instruction-4YR'!AA43+'RESEARCH 4yr'!AA43+'PUBLIC SERVICE 4yr'!AA43+'ASptISptSSv 4yr'!AA43+'PLANT OPER MAIN 4yr'!AA43+'SCHOLAR FELLOW 4yr'!AA43+'All Other 4yr'!AA43)-AA43</f>
        <v>0</v>
      </c>
      <c r="BF43" s="74">
        <f>('Instruction-4YR'!AB43+'RESEARCH 4yr'!AB43+'PUBLIC SERVICE 4yr'!AB43+'ASptISptSSv 4yr'!AB43+'PLANT OPER MAIN 4yr'!AB43+'SCHOLAR FELLOW 4yr'!AB43+'All Other 4yr'!AB43)-AB43</f>
        <v>0</v>
      </c>
      <c r="BG43" s="74">
        <f>('Instruction-4YR'!AC43+'RESEARCH 4yr'!AC43+'PUBLIC SERVICE 4yr'!AC43+'ASptISptSSv 4yr'!AC43+'PLANT OPER MAIN 4yr'!AC43+'SCHOLAR FELLOW 4yr'!AC43+'All Other 4yr'!AC43)-AC43</f>
        <v>0</v>
      </c>
      <c r="BH43" s="74">
        <f>('Instruction-4YR'!AD43+'RESEARCH 4yr'!AD43+'PUBLIC SERVICE 4yr'!AD43+'ASptISptSSv 4yr'!AD43+'PLANT OPER MAIN 4yr'!AD43+'SCHOLAR FELLOW 4yr'!AD43+'All Other 4yr'!AD43)-AD43</f>
        <v>0</v>
      </c>
      <c r="BI43" s="74">
        <f>('Instruction-4YR'!AE43+'RESEARCH 4yr'!AE43+'PUBLIC SERVICE 4yr'!AE43+'ASptISptSSv 4yr'!AE43+'PLANT OPER MAIN 4yr'!AE43+'SCHOLAR FELLOW 4yr'!AE43+'All Other 4yr'!AE43)-AE43</f>
        <v>0</v>
      </c>
    </row>
    <row r="44" spans="1:61">
      <c r="A44" s="1" t="s">
        <v>59</v>
      </c>
      <c r="F44" s="41">
        <v>946172.96</v>
      </c>
      <c r="I44" s="1">
        <v>1149389.013</v>
      </c>
      <c r="K44" s="1">
        <v>1254430.611</v>
      </c>
      <c r="L44" s="1">
        <v>1463689.2039999999</v>
      </c>
      <c r="M44" s="1">
        <v>1570290.828</v>
      </c>
      <c r="N44" s="1">
        <v>1713758.459</v>
      </c>
      <c r="O44" s="1">
        <v>1675450.8540000001</v>
      </c>
      <c r="P44" s="1">
        <v>1833926.564</v>
      </c>
      <c r="Q44" s="1">
        <v>1851565.48</v>
      </c>
      <c r="R44" s="1">
        <v>2038857.25</v>
      </c>
      <c r="S44" s="1">
        <v>2045673.023</v>
      </c>
      <c r="T44" s="1">
        <v>2162032.0630000001</v>
      </c>
      <c r="U44" s="1">
        <v>2307804.7420000001</v>
      </c>
      <c r="V44" s="1">
        <v>2281764.7230000002</v>
      </c>
      <c r="W44" s="1">
        <v>2335184.0389999999</v>
      </c>
      <c r="X44" s="1">
        <v>2318412.9539999999</v>
      </c>
      <c r="Y44" s="1">
        <v>2448389.5079999999</v>
      </c>
      <c r="Z44" s="1">
        <v>2543379.7790000001</v>
      </c>
      <c r="AA44" s="1">
        <v>2648438.5460000001</v>
      </c>
      <c r="AB44" s="1">
        <v>2677147.1490000002</v>
      </c>
      <c r="AC44" s="1">
        <v>2784692.5350000001</v>
      </c>
      <c r="AE44" s="1">
        <v>2871848.8730000001</v>
      </c>
      <c r="AF44" s="74">
        <f>('Instruction-4YR'!B44+'RESEARCH 4yr'!B44+'PUBLIC SERVICE 4yr'!B44+'ASptISptSSv 4yr'!B44+'PLANT OPER MAIN 4yr'!B44+'SCHOLAR FELLOW 4yr'!B44+'All Other 4yr'!B44)-B44</f>
        <v>0</v>
      </c>
      <c r="AG44" s="74">
        <f>('Instruction-4YR'!C44+'RESEARCH 4yr'!C44+'PUBLIC SERVICE 4yr'!C44+'ASptISptSSv 4yr'!C44+'PLANT OPER MAIN 4yr'!C44+'SCHOLAR FELLOW 4yr'!C44+'All Other 4yr'!C44)-C44</f>
        <v>0</v>
      </c>
      <c r="AH44" s="74">
        <f>('Instruction-4YR'!D44+'RESEARCH 4yr'!D44+'PUBLIC SERVICE 4yr'!D44+'ASptISptSSv 4yr'!D44+'PLANT OPER MAIN 4yr'!D44+'SCHOLAR FELLOW 4yr'!D44+'All Other 4yr'!D44)-D44</f>
        <v>0</v>
      </c>
      <c r="AI44" s="74">
        <f>('Instruction-4YR'!E44+'RESEARCH 4yr'!E44+'PUBLIC SERVICE 4yr'!E44+'ASptISptSSv 4yr'!E44+'PLANT OPER MAIN 4yr'!E44+'SCHOLAR FELLOW 4yr'!E44+'All Other 4yr'!E44)-E44</f>
        <v>0</v>
      </c>
      <c r="AJ44" s="74">
        <f>('Instruction-4YR'!F44+'RESEARCH 4yr'!F44+'PUBLIC SERVICE 4yr'!F44+'ASptISptSSv 4yr'!F44+'PLANT OPER MAIN 4yr'!F44+'SCHOLAR FELLOW 4yr'!F44+'All Other 4yr'!F44)-F44</f>
        <v>0</v>
      </c>
      <c r="AK44" s="74">
        <f>('Instruction-4YR'!G44+'RESEARCH 4yr'!G44+'PUBLIC SERVICE 4yr'!G44+'ASptISptSSv 4yr'!G44+'PLANT OPER MAIN 4yr'!G44+'SCHOLAR FELLOW 4yr'!G44+'All Other 4yr'!G44)-G44</f>
        <v>0</v>
      </c>
      <c r="AL44" s="74">
        <f>('Instruction-4YR'!H44+'RESEARCH 4yr'!H44+'PUBLIC SERVICE 4yr'!H44+'ASptISptSSv 4yr'!H44+'PLANT OPER MAIN 4yr'!H44+'SCHOLAR FELLOW 4yr'!H44+'All Other 4yr'!H44)-H44</f>
        <v>0</v>
      </c>
      <c r="AM44" s="74">
        <f>('Instruction-4YR'!I44+'RESEARCH 4yr'!I44+'PUBLIC SERVICE 4yr'!I44+'ASptISptSSv 4yr'!I44+'PLANT OPER MAIN 4yr'!I44+'SCHOLAR FELLOW 4yr'!I44+'All Other 4yr'!I44)-I44</f>
        <v>0</v>
      </c>
      <c r="AN44" s="74">
        <f>('Instruction-4YR'!J44+'RESEARCH 4yr'!J44+'PUBLIC SERVICE 4yr'!J44+'ASptISptSSv 4yr'!J44+'PLANT OPER MAIN 4yr'!J44+'SCHOLAR FELLOW 4yr'!J44+'All Other 4yr'!J44)-J44</f>
        <v>0</v>
      </c>
      <c r="AO44" s="74">
        <f>('Instruction-4YR'!K44+'RESEARCH 4yr'!K44+'PUBLIC SERVICE 4yr'!K44+'ASptISptSSv 4yr'!K44+'PLANT OPER MAIN 4yr'!K44+'SCHOLAR FELLOW 4yr'!K44+'All Other 4yr'!K44)-K44</f>
        <v>0</v>
      </c>
      <c r="AP44" s="74">
        <f>('Instruction-4YR'!L44+'RESEARCH 4yr'!L44+'PUBLIC SERVICE 4yr'!L44+'ASptISptSSv 4yr'!L44+'PLANT OPER MAIN 4yr'!L44+'SCHOLAR FELLOW 4yr'!L44+'All Other 4yr'!L44)-L44</f>
        <v>0</v>
      </c>
      <c r="AQ44" s="74">
        <f>('Instruction-4YR'!M44+'RESEARCH 4yr'!M44+'PUBLIC SERVICE 4yr'!M44+'ASptISptSSv 4yr'!M44+'PLANT OPER MAIN 4yr'!M44+'SCHOLAR FELLOW 4yr'!M44+'All Other 4yr'!M44)-M44</f>
        <v>0</v>
      </c>
      <c r="AR44" s="74">
        <f>('Instruction-4YR'!N44+'RESEARCH 4yr'!N44+'PUBLIC SERVICE 4yr'!N44+'ASptISptSSv 4yr'!N44+'PLANT OPER MAIN 4yr'!N44+'SCHOLAR FELLOW 4yr'!N44+'All Other 4yr'!N44)-N44</f>
        <v>0</v>
      </c>
      <c r="AS44" s="74">
        <f>('Instruction-4YR'!O44+'RESEARCH 4yr'!O44+'PUBLIC SERVICE 4yr'!O44+'ASptISptSSv 4yr'!O44+'PLANT OPER MAIN 4yr'!O44+'SCHOLAR FELLOW 4yr'!O44+'All Other 4yr'!O44)-O44</f>
        <v>0</v>
      </c>
      <c r="AT44" s="74">
        <f>('Instruction-4YR'!P44+'RESEARCH 4yr'!P44+'PUBLIC SERVICE 4yr'!P44+'ASptISptSSv 4yr'!P44+'PLANT OPER MAIN 4yr'!P44+'SCHOLAR FELLOW 4yr'!P44+'All Other 4yr'!P44)-P44</f>
        <v>0</v>
      </c>
      <c r="AU44" s="74">
        <f>('Instruction-4YR'!Q44+'RESEARCH 4yr'!Q44+'PUBLIC SERVICE 4yr'!Q44+'ASptISptSSv 4yr'!Q44+'PLANT OPER MAIN 4yr'!Q44+'SCHOLAR FELLOW 4yr'!Q44+'All Other 4yr'!Q44)-Q44</f>
        <v>0</v>
      </c>
      <c r="AV44" s="74">
        <f>('Instruction-4YR'!R44+'RESEARCH 4yr'!R44+'PUBLIC SERVICE 4yr'!R44+'ASptISptSSv 4yr'!R44+'PLANT OPER MAIN 4yr'!R44+'SCHOLAR FELLOW 4yr'!R44+'All Other 4yr'!R44)-R44</f>
        <v>0</v>
      </c>
      <c r="AW44" s="74">
        <f>('Instruction-4YR'!S44+'RESEARCH 4yr'!S44+'PUBLIC SERVICE 4yr'!S44+'ASptISptSSv 4yr'!S44+'PLANT OPER MAIN 4yr'!S44+'SCHOLAR FELLOW 4yr'!S44+'All Other 4yr'!S44)-S44</f>
        <v>0</v>
      </c>
      <c r="AX44" s="74">
        <f>('Instruction-4YR'!T44+'RESEARCH 4yr'!T44+'PUBLIC SERVICE 4yr'!T44+'ASptISptSSv 4yr'!T44+'PLANT OPER MAIN 4yr'!T44+'SCHOLAR FELLOW 4yr'!T44+'All Other 4yr'!T44)-T44</f>
        <v>0</v>
      </c>
      <c r="AY44" s="74">
        <f>('Instruction-4YR'!U44+'RESEARCH 4yr'!U44+'PUBLIC SERVICE 4yr'!U44+'ASptISptSSv 4yr'!U44+'PLANT OPER MAIN 4yr'!U44+'SCHOLAR FELLOW 4yr'!U44+'All Other 4yr'!U44)-U44</f>
        <v>0</v>
      </c>
      <c r="AZ44" s="74">
        <f>('Instruction-4YR'!V44+'RESEARCH 4yr'!V44+'PUBLIC SERVICE 4yr'!V44+'ASptISptSSv 4yr'!V44+'PLANT OPER MAIN 4yr'!V44+'SCHOLAR FELLOW 4yr'!V44+'All Other 4yr'!V44)-V44</f>
        <v>0</v>
      </c>
      <c r="BA44" s="74">
        <f>('Instruction-4YR'!W44+'RESEARCH 4yr'!W44+'PUBLIC SERVICE 4yr'!W44+'ASptISptSSv 4yr'!W44+'PLANT OPER MAIN 4yr'!W44+'SCHOLAR FELLOW 4yr'!W44+'All Other 4yr'!W44)-W44</f>
        <v>0</v>
      </c>
      <c r="BB44" s="74">
        <f>('Instruction-4YR'!X44+'RESEARCH 4yr'!X44+'PUBLIC SERVICE 4yr'!X44+'ASptISptSSv 4yr'!X44+'PLANT OPER MAIN 4yr'!X44+'SCHOLAR FELLOW 4yr'!X44+'All Other 4yr'!X44)-X44</f>
        <v>0</v>
      </c>
      <c r="BC44" s="74">
        <f>('Instruction-4YR'!Y44+'RESEARCH 4yr'!Y44+'PUBLIC SERVICE 4yr'!Y44+'ASptISptSSv 4yr'!Y44+'PLANT OPER MAIN 4yr'!Y44+'SCHOLAR FELLOW 4yr'!Y44+'All Other 4yr'!Y44)-Y44</f>
        <v>0</v>
      </c>
      <c r="BD44" s="74">
        <f>('Instruction-4YR'!Z44+'RESEARCH 4yr'!Z44+'PUBLIC SERVICE 4yr'!Z44+'ASptISptSSv 4yr'!Z44+'PLANT OPER MAIN 4yr'!Z44+'SCHOLAR FELLOW 4yr'!Z44+'All Other 4yr'!Z44)-Z44</f>
        <v>0</v>
      </c>
      <c r="BE44" s="74">
        <f>('Instruction-4YR'!AA44+'RESEARCH 4yr'!AA44+'PUBLIC SERVICE 4yr'!AA44+'ASptISptSSv 4yr'!AA44+'PLANT OPER MAIN 4yr'!AA44+'SCHOLAR FELLOW 4yr'!AA44+'All Other 4yr'!AA44)-AA44</f>
        <v>0</v>
      </c>
      <c r="BF44" s="74">
        <f>('Instruction-4YR'!AB44+'RESEARCH 4yr'!AB44+'PUBLIC SERVICE 4yr'!AB44+'ASptISptSSv 4yr'!AB44+'PLANT OPER MAIN 4yr'!AB44+'SCHOLAR FELLOW 4yr'!AB44+'All Other 4yr'!AB44)-AB44</f>
        <v>0</v>
      </c>
      <c r="BG44" s="74">
        <f>('Instruction-4YR'!AC44+'RESEARCH 4yr'!AC44+'PUBLIC SERVICE 4yr'!AC44+'ASptISptSSv 4yr'!AC44+'PLANT OPER MAIN 4yr'!AC44+'SCHOLAR FELLOW 4yr'!AC44+'All Other 4yr'!AC44)-AC44</f>
        <v>0</v>
      </c>
      <c r="BH44" s="74">
        <f>('Instruction-4YR'!AD44+'RESEARCH 4yr'!AD44+'PUBLIC SERVICE 4yr'!AD44+'ASptISptSSv 4yr'!AD44+'PLANT OPER MAIN 4yr'!AD44+'SCHOLAR FELLOW 4yr'!AD44+'All Other 4yr'!AD44)-AD44</f>
        <v>0</v>
      </c>
      <c r="BI44" s="74">
        <f>('Instruction-4YR'!AE44+'RESEARCH 4yr'!AE44+'PUBLIC SERVICE 4yr'!AE44+'ASptISptSSv 4yr'!AE44+'PLANT OPER MAIN 4yr'!AE44+'SCHOLAR FELLOW 4yr'!AE44+'All Other 4yr'!AE44)-AE44</f>
        <v>0</v>
      </c>
    </row>
    <row r="45" spans="1:61">
      <c r="A45" s="1" t="s">
        <v>60</v>
      </c>
      <c r="F45" s="41">
        <v>832855.54</v>
      </c>
      <c r="I45" s="1">
        <v>979591.223</v>
      </c>
      <c r="K45" s="1">
        <v>1046085.1754000001</v>
      </c>
      <c r="L45" s="1">
        <v>1286750.0349999999</v>
      </c>
      <c r="M45" s="1">
        <v>1349689.8019999999</v>
      </c>
      <c r="N45" s="1">
        <v>1439247.1059999999</v>
      </c>
      <c r="O45" s="1">
        <v>1573943.3729999999</v>
      </c>
      <c r="P45" s="1">
        <v>1710057.8319999999</v>
      </c>
      <c r="Q45" s="1">
        <v>1815778.172</v>
      </c>
      <c r="R45" s="1">
        <v>1903241.9709999999</v>
      </c>
      <c r="S45" s="1">
        <v>1952888.1070000001</v>
      </c>
      <c r="T45" s="1">
        <v>1947133.8959999999</v>
      </c>
      <c r="U45" s="1">
        <v>2065011.183</v>
      </c>
      <c r="V45" s="1">
        <v>2093029.7849999999</v>
      </c>
      <c r="W45" s="1">
        <v>2192812.088</v>
      </c>
      <c r="X45" s="1">
        <v>2330766.105</v>
      </c>
      <c r="Y45" s="1">
        <v>2374205.7889999999</v>
      </c>
      <c r="Z45" s="1">
        <v>2441162.6460000002</v>
      </c>
      <c r="AA45" s="1">
        <v>2505333.807</v>
      </c>
      <c r="AB45" s="1">
        <v>2478854.0120000001</v>
      </c>
      <c r="AC45" s="1">
        <v>2528103.3059999999</v>
      </c>
      <c r="AE45" s="1">
        <v>2774764.125</v>
      </c>
      <c r="AF45" s="74">
        <f>('Instruction-4YR'!B45+'RESEARCH 4yr'!B45+'PUBLIC SERVICE 4yr'!B45+'ASptISptSSv 4yr'!B45+'PLANT OPER MAIN 4yr'!B45+'SCHOLAR FELLOW 4yr'!B45+'All Other 4yr'!B45)-B45</f>
        <v>0</v>
      </c>
      <c r="AG45" s="74">
        <f>('Instruction-4YR'!C45+'RESEARCH 4yr'!C45+'PUBLIC SERVICE 4yr'!C45+'ASptISptSSv 4yr'!C45+'PLANT OPER MAIN 4yr'!C45+'SCHOLAR FELLOW 4yr'!C45+'All Other 4yr'!C45)-C45</f>
        <v>0</v>
      </c>
      <c r="AH45" s="74">
        <f>('Instruction-4YR'!D45+'RESEARCH 4yr'!D45+'PUBLIC SERVICE 4yr'!D45+'ASptISptSSv 4yr'!D45+'PLANT OPER MAIN 4yr'!D45+'SCHOLAR FELLOW 4yr'!D45+'All Other 4yr'!D45)-D45</f>
        <v>0</v>
      </c>
      <c r="AI45" s="74">
        <f>('Instruction-4YR'!E45+'RESEARCH 4yr'!E45+'PUBLIC SERVICE 4yr'!E45+'ASptISptSSv 4yr'!E45+'PLANT OPER MAIN 4yr'!E45+'SCHOLAR FELLOW 4yr'!E45+'All Other 4yr'!E45)-E45</f>
        <v>0</v>
      </c>
      <c r="AJ45" s="74">
        <f>('Instruction-4YR'!F45+'RESEARCH 4yr'!F45+'PUBLIC SERVICE 4yr'!F45+'ASptISptSSv 4yr'!F45+'PLANT OPER MAIN 4yr'!F45+'SCHOLAR FELLOW 4yr'!F45+'All Other 4yr'!F45)-F45</f>
        <v>0</v>
      </c>
      <c r="AK45" s="74">
        <f>('Instruction-4YR'!G45+'RESEARCH 4yr'!G45+'PUBLIC SERVICE 4yr'!G45+'ASptISptSSv 4yr'!G45+'PLANT OPER MAIN 4yr'!G45+'SCHOLAR FELLOW 4yr'!G45+'All Other 4yr'!G45)-G45</f>
        <v>0</v>
      </c>
      <c r="AL45" s="74">
        <f>('Instruction-4YR'!H45+'RESEARCH 4yr'!H45+'PUBLIC SERVICE 4yr'!H45+'ASptISptSSv 4yr'!H45+'PLANT OPER MAIN 4yr'!H45+'SCHOLAR FELLOW 4yr'!H45+'All Other 4yr'!H45)-H45</f>
        <v>0</v>
      </c>
      <c r="AM45" s="74">
        <f>('Instruction-4YR'!I45+'RESEARCH 4yr'!I45+'PUBLIC SERVICE 4yr'!I45+'ASptISptSSv 4yr'!I45+'PLANT OPER MAIN 4yr'!I45+'SCHOLAR FELLOW 4yr'!I45+'All Other 4yr'!I45)-I45</f>
        <v>0</v>
      </c>
      <c r="AN45" s="74">
        <f>('Instruction-4YR'!J45+'RESEARCH 4yr'!J45+'PUBLIC SERVICE 4yr'!J45+'ASptISptSSv 4yr'!J45+'PLANT OPER MAIN 4yr'!J45+'SCHOLAR FELLOW 4yr'!J45+'All Other 4yr'!J45)-J45</f>
        <v>0</v>
      </c>
      <c r="AO45" s="74">
        <f>('Instruction-4YR'!K45+'RESEARCH 4yr'!K45+'PUBLIC SERVICE 4yr'!K45+'ASptISptSSv 4yr'!K45+'PLANT OPER MAIN 4yr'!K45+'SCHOLAR FELLOW 4yr'!K45+'All Other 4yr'!K45)-K45</f>
        <v>0</v>
      </c>
      <c r="AP45" s="74">
        <f>('Instruction-4YR'!L45+'RESEARCH 4yr'!L45+'PUBLIC SERVICE 4yr'!L45+'ASptISptSSv 4yr'!L45+'PLANT OPER MAIN 4yr'!L45+'SCHOLAR FELLOW 4yr'!L45+'All Other 4yr'!L45)-L45</f>
        <v>0</v>
      </c>
      <c r="AQ45" s="74">
        <f>('Instruction-4YR'!M45+'RESEARCH 4yr'!M45+'PUBLIC SERVICE 4yr'!M45+'ASptISptSSv 4yr'!M45+'PLANT OPER MAIN 4yr'!M45+'SCHOLAR FELLOW 4yr'!M45+'All Other 4yr'!M45)-M45</f>
        <v>0</v>
      </c>
      <c r="AR45" s="74">
        <f>('Instruction-4YR'!N45+'RESEARCH 4yr'!N45+'PUBLIC SERVICE 4yr'!N45+'ASptISptSSv 4yr'!N45+'PLANT OPER MAIN 4yr'!N45+'SCHOLAR FELLOW 4yr'!N45+'All Other 4yr'!N45)-N45</f>
        <v>0</v>
      </c>
      <c r="AS45" s="74">
        <f>('Instruction-4YR'!O45+'RESEARCH 4yr'!O45+'PUBLIC SERVICE 4yr'!O45+'ASptISptSSv 4yr'!O45+'PLANT OPER MAIN 4yr'!O45+'SCHOLAR FELLOW 4yr'!O45+'All Other 4yr'!O45)-O45</f>
        <v>0</v>
      </c>
      <c r="AT45" s="74">
        <f>('Instruction-4YR'!P45+'RESEARCH 4yr'!P45+'PUBLIC SERVICE 4yr'!P45+'ASptISptSSv 4yr'!P45+'PLANT OPER MAIN 4yr'!P45+'SCHOLAR FELLOW 4yr'!P45+'All Other 4yr'!P45)-P45</f>
        <v>0</v>
      </c>
      <c r="AU45" s="74">
        <f>('Instruction-4YR'!Q45+'RESEARCH 4yr'!Q45+'PUBLIC SERVICE 4yr'!Q45+'ASptISptSSv 4yr'!Q45+'PLANT OPER MAIN 4yr'!Q45+'SCHOLAR FELLOW 4yr'!Q45+'All Other 4yr'!Q45)-Q45</f>
        <v>0</v>
      </c>
      <c r="AV45" s="74">
        <f>('Instruction-4YR'!R45+'RESEARCH 4yr'!R45+'PUBLIC SERVICE 4yr'!R45+'ASptISptSSv 4yr'!R45+'PLANT OPER MAIN 4yr'!R45+'SCHOLAR FELLOW 4yr'!R45+'All Other 4yr'!R45)-R45</f>
        <v>0</v>
      </c>
      <c r="AW45" s="74">
        <f>('Instruction-4YR'!S45+'RESEARCH 4yr'!S45+'PUBLIC SERVICE 4yr'!S45+'ASptISptSSv 4yr'!S45+'PLANT OPER MAIN 4yr'!S45+'SCHOLAR FELLOW 4yr'!S45+'All Other 4yr'!S45)-S45</f>
        <v>0</v>
      </c>
      <c r="AX45" s="74">
        <f>('Instruction-4YR'!T45+'RESEARCH 4yr'!T45+'PUBLIC SERVICE 4yr'!T45+'ASptISptSSv 4yr'!T45+'PLANT OPER MAIN 4yr'!T45+'SCHOLAR FELLOW 4yr'!T45+'All Other 4yr'!T45)-T45</f>
        <v>0</v>
      </c>
      <c r="AY45" s="74">
        <f>('Instruction-4YR'!U45+'RESEARCH 4yr'!U45+'PUBLIC SERVICE 4yr'!U45+'ASptISptSSv 4yr'!U45+'PLANT OPER MAIN 4yr'!U45+'SCHOLAR FELLOW 4yr'!U45+'All Other 4yr'!U45)-U45</f>
        <v>0</v>
      </c>
      <c r="AZ45" s="74">
        <f>('Instruction-4YR'!V45+'RESEARCH 4yr'!V45+'PUBLIC SERVICE 4yr'!V45+'ASptISptSSv 4yr'!V45+'PLANT OPER MAIN 4yr'!V45+'SCHOLAR FELLOW 4yr'!V45+'All Other 4yr'!V45)-V45</f>
        <v>0</v>
      </c>
      <c r="BA45" s="74">
        <f>('Instruction-4YR'!W45+'RESEARCH 4yr'!W45+'PUBLIC SERVICE 4yr'!W45+'ASptISptSSv 4yr'!W45+'PLANT OPER MAIN 4yr'!W45+'SCHOLAR FELLOW 4yr'!W45+'All Other 4yr'!W45)-W45</f>
        <v>0</v>
      </c>
      <c r="BB45" s="74">
        <f>('Instruction-4YR'!X45+'RESEARCH 4yr'!X45+'PUBLIC SERVICE 4yr'!X45+'ASptISptSSv 4yr'!X45+'PLANT OPER MAIN 4yr'!X45+'SCHOLAR FELLOW 4yr'!X45+'All Other 4yr'!X45)-X45</f>
        <v>0</v>
      </c>
      <c r="BC45" s="74">
        <f>('Instruction-4YR'!Y45+'RESEARCH 4yr'!Y45+'PUBLIC SERVICE 4yr'!Y45+'ASptISptSSv 4yr'!Y45+'PLANT OPER MAIN 4yr'!Y45+'SCHOLAR FELLOW 4yr'!Y45+'All Other 4yr'!Y45)-Y45</f>
        <v>0</v>
      </c>
      <c r="BD45" s="74">
        <f>('Instruction-4YR'!Z45+'RESEARCH 4yr'!Z45+'PUBLIC SERVICE 4yr'!Z45+'ASptISptSSv 4yr'!Z45+'PLANT OPER MAIN 4yr'!Z45+'SCHOLAR FELLOW 4yr'!Z45+'All Other 4yr'!Z45)-Z45</f>
        <v>0</v>
      </c>
      <c r="BE45" s="74">
        <f>('Instruction-4YR'!AA45+'RESEARCH 4yr'!AA45+'PUBLIC SERVICE 4yr'!AA45+'ASptISptSSv 4yr'!AA45+'PLANT OPER MAIN 4yr'!AA45+'SCHOLAR FELLOW 4yr'!AA45+'All Other 4yr'!AA45)-AA45</f>
        <v>0</v>
      </c>
      <c r="BF45" s="74">
        <f>('Instruction-4YR'!AB45+'RESEARCH 4yr'!AB45+'PUBLIC SERVICE 4yr'!AB45+'ASptISptSSv 4yr'!AB45+'PLANT OPER MAIN 4yr'!AB45+'SCHOLAR FELLOW 4yr'!AB45+'All Other 4yr'!AB45)-AB45</f>
        <v>0</v>
      </c>
      <c r="BG45" s="74">
        <f>('Instruction-4YR'!AC45+'RESEARCH 4yr'!AC45+'PUBLIC SERVICE 4yr'!AC45+'ASptISptSSv 4yr'!AC45+'PLANT OPER MAIN 4yr'!AC45+'SCHOLAR FELLOW 4yr'!AC45+'All Other 4yr'!AC45)-AC45</f>
        <v>0</v>
      </c>
      <c r="BH45" s="74">
        <f>('Instruction-4YR'!AD45+'RESEARCH 4yr'!AD45+'PUBLIC SERVICE 4yr'!AD45+'ASptISptSSv 4yr'!AD45+'PLANT OPER MAIN 4yr'!AD45+'SCHOLAR FELLOW 4yr'!AD45+'All Other 4yr'!AD45)-AD45</f>
        <v>0</v>
      </c>
      <c r="BI45" s="74">
        <f>('Instruction-4YR'!AE45+'RESEARCH 4yr'!AE45+'PUBLIC SERVICE 4yr'!AE45+'ASptISptSSv 4yr'!AE45+'PLANT OPER MAIN 4yr'!AE45+'SCHOLAR FELLOW 4yr'!AE45+'All Other 4yr'!AE45)-AE45</f>
        <v>0</v>
      </c>
    </row>
    <row r="46" spans="1:61">
      <c r="A46" s="1" t="s">
        <v>61</v>
      </c>
      <c r="F46" s="41">
        <v>3074031.9049999998</v>
      </c>
      <c r="I46" s="1">
        <v>3466417.199</v>
      </c>
      <c r="K46" s="1">
        <v>3933087.9780000001</v>
      </c>
      <c r="L46" s="1">
        <v>4622151.1830000002</v>
      </c>
      <c r="M46" s="1">
        <v>5239066.5140000004</v>
      </c>
      <c r="N46" s="1">
        <v>5601317.807</v>
      </c>
      <c r="O46" s="1">
        <v>5913497.6979999999</v>
      </c>
      <c r="P46" s="1">
        <v>6024773.7879999997</v>
      </c>
      <c r="Q46" s="1">
        <v>6230916.0810000002</v>
      </c>
      <c r="R46" s="1">
        <v>6562079.1560000004</v>
      </c>
      <c r="S46" s="1">
        <v>6882191.7139999997</v>
      </c>
      <c r="T46" s="1">
        <v>8521062.7620000001</v>
      </c>
      <c r="U46" s="1">
        <v>7475954.2209999999</v>
      </c>
      <c r="V46" s="1">
        <v>7817620.1330000004</v>
      </c>
      <c r="W46" s="1">
        <v>8090990.9979999997</v>
      </c>
      <c r="X46" s="1">
        <v>8352085.4249999998</v>
      </c>
      <c r="Y46" s="1">
        <v>8629633.9700000007</v>
      </c>
      <c r="Z46" s="1">
        <v>8809804.432</v>
      </c>
      <c r="AA46" s="1">
        <v>9114180.3619999997</v>
      </c>
      <c r="AB46" s="1">
        <v>9735845.0580000002</v>
      </c>
      <c r="AC46" s="1">
        <v>10151945.436000001</v>
      </c>
      <c r="AE46" s="1">
        <v>10921989.282</v>
      </c>
      <c r="AF46" s="74">
        <f>('Instruction-4YR'!B46+'RESEARCH 4yr'!B46+'PUBLIC SERVICE 4yr'!B46+'ASptISptSSv 4yr'!B46+'PLANT OPER MAIN 4yr'!B46+'SCHOLAR FELLOW 4yr'!B46+'All Other 4yr'!B46)-B46</f>
        <v>0</v>
      </c>
      <c r="AG46" s="74">
        <f>('Instruction-4YR'!C46+'RESEARCH 4yr'!C46+'PUBLIC SERVICE 4yr'!C46+'ASptISptSSv 4yr'!C46+'PLANT OPER MAIN 4yr'!C46+'SCHOLAR FELLOW 4yr'!C46+'All Other 4yr'!C46)-C46</f>
        <v>0</v>
      </c>
      <c r="AH46" s="74">
        <f>('Instruction-4YR'!D46+'RESEARCH 4yr'!D46+'PUBLIC SERVICE 4yr'!D46+'ASptISptSSv 4yr'!D46+'PLANT OPER MAIN 4yr'!D46+'SCHOLAR FELLOW 4yr'!D46+'All Other 4yr'!D46)-D46</f>
        <v>0</v>
      </c>
      <c r="AI46" s="74">
        <f>('Instruction-4YR'!E46+'RESEARCH 4yr'!E46+'PUBLIC SERVICE 4yr'!E46+'ASptISptSSv 4yr'!E46+'PLANT OPER MAIN 4yr'!E46+'SCHOLAR FELLOW 4yr'!E46+'All Other 4yr'!E46)-E46</f>
        <v>0</v>
      </c>
      <c r="AJ46" s="74">
        <f>('Instruction-4YR'!F46+'RESEARCH 4yr'!F46+'PUBLIC SERVICE 4yr'!F46+'ASptISptSSv 4yr'!F46+'PLANT OPER MAIN 4yr'!F46+'SCHOLAR FELLOW 4yr'!F46+'All Other 4yr'!F46)-F46</f>
        <v>0</v>
      </c>
      <c r="AK46" s="74">
        <f>('Instruction-4YR'!G46+'RESEARCH 4yr'!G46+'PUBLIC SERVICE 4yr'!G46+'ASptISptSSv 4yr'!G46+'PLANT OPER MAIN 4yr'!G46+'SCHOLAR FELLOW 4yr'!G46+'All Other 4yr'!G46)-G46</f>
        <v>0</v>
      </c>
      <c r="AL46" s="74">
        <f>('Instruction-4YR'!H46+'RESEARCH 4yr'!H46+'PUBLIC SERVICE 4yr'!H46+'ASptISptSSv 4yr'!H46+'PLANT OPER MAIN 4yr'!H46+'SCHOLAR FELLOW 4yr'!H46+'All Other 4yr'!H46)-H46</f>
        <v>0</v>
      </c>
      <c r="AM46" s="74">
        <f>('Instruction-4YR'!I46+'RESEARCH 4yr'!I46+'PUBLIC SERVICE 4yr'!I46+'ASptISptSSv 4yr'!I46+'PLANT OPER MAIN 4yr'!I46+'SCHOLAR FELLOW 4yr'!I46+'All Other 4yr'!I46)-I46</f>
        <v>0</v>
      </c>
      <c r="AN46" s="74">
        <f>('Instruction-4YR'!J46+'RESEARCH 4yr'!J46+'PUBLIC SERVICE 4yr'!J46+'ASptISptSSv 4yr'!J46+'PLANT OPER MAIN 4yr'!J46+'SCHOLAR FELLOW 4yr'!J46+'All Other 4yr'!J46)-J46</f>
        <v>0</v>
      </c>
      <c r="AO46" s="74">
        <f>('Instruction-4YR'!K46+'RESEARCH 4yr'!K46+'PUBLIC SERVICE 4yr'!K46+'ASptISptSSv 4yr'!K46+'PLANT OPER MAIN 4yr'!K46+'SCHOLAR FELLOW 4yr'!K46+'All Other 4yr'!K46)-K46</f>
        <v>0</v>
      </c>
      <c r="AP46" s="74">
        <f>('Instruction-4YR'!L46+'RESEARCH 4yr'!L46+'PUBLIC SERVICE 4yr'!L46+'ASptISptSSv 4yr'!L46+'PLANT OPER MAIN 4yr'!L46+'SCHOLAR FELLOW 4yr'!L46+'All Other 4yr'!L46)-L46</f>
        <v>0</v>
      </c>
      <c r="AQ46" s="74">
        <f>('Instruction-4YR'!M46+'RESEARCH 4yr'!M46+'PUBLIC SERVICE 4yr'!M46+'ASptISptSSv 4yr'!M46+'PLANT OPER MAIN 4yr'!M46+'SCHOLAR FELLOW 4yr'!M46+'All Other 4yr'!M46)-M46</f>
        <v>0</v>
      </c>
      <c r="AR46" s="74">
        <f>('Instruction-4YR'!N46+'RESEARCH 4yr'!N46+'PUBLIC SERVICE 4yr'!N46+'ASptISptSSv 4yr'!N46+'PLANT OPER MAIN 4yr'!N46+'SCHOLAR FELLOW 4yr'!N46+'All Other 4yr'!N46)-N46</f>
        <v>0</v>
      </c>
      <c r="AS46" s="74">
        <f>('Instruction-4YR'!O46+'RESEARCH 4yr'!O46+'PUBLIC SERVICE 4yr'!O46+'ASptISptSSv 4yr'!O46+'PLANT OPER MAIN 4yr'!O46+'SCHOLAR FELLOW 4yr'!O46+'All Other 4yr'!O46)-O46</f>
        <v>0</v>
      </c>
      <c r="AT46" s="74">
        <f>('Instruction-4YR'!P46+'RESEARCH 4yr'!P46+'PUBLIC SERVICE 4yr'!P46+'ASptISptSSv 4yr'!P46+'PLANT OPER MAIN 4yr'!P46+'SCHOLAR FELLOW 4yr'!P46+'All Other 4yr'!P46)-P46</f>
        <v>0</v>
      </c>
      <c r="AU46" s="74">
        <f>('Instruction-4YR'!Q46+'RESEARCH 4yr'!Q46+'PUBLIC SERVICE 4yr'!Q46+'ASptISptSSv 4yr'!Q46+'PLANT OPER MAIN 4yr'!Q46+'SCHOLAR FELLOW 4yr'!Q46+'All Other 4yr'!Q46)-Q46</f>
        <v>0</v>
      </c>
      <c r="AV46" s="74">
        <f>('Instruction-4YR'!R46+'RESEARCH 4yr'!R46+'PUBLIC SERVICE 4yr'!R46+'ASptISptSSv 4yr'!R46+'PLANT OPER MAIN 4yr'!R46+'SCHOLAR FELLOW 4yr'!R46+'All Other 4yr'!R46)-R46</f>
        <v>0</v>
      </c>
      <c r="AW46" s="74">
        <f>('Instruction-4YR'!S46+'RESEARCH 4yr'!S46+'PUBLIC SERVICE 4yr'!S46+'ASptISptSSv 4yr'!S46+'PLANT OPER MAIN 4yr'!S46+'SCHOLAR FELLOW 4yr'!S46+'All Other 4yr'!S46)-S46</f>
        <v>0</v>
      </c>
      <c r="AX46" s="74">
        <f>('Instruction-4YR'!T46+'RESEARCH 4yr'!T46+'PUBLIC SERVICE 4yr'!T46+'ASptISptSSv 4yr'!T46+'PLANT OPER MAIN 4yr'!T46+'SCHOLAR FELLOW 4yr'!T46+'All Other 4yr'!T46)-T46</f>
        <v>0</v>
      </c>
      <c r="AY46" s="74">
        <f>('Instruction-4YR'!U46+'RESEARCH 4yr'!U46+'PUBLIC SERVICE 4yr'!U46+'ASptISptSSv 4yr'!U46+'PLANT OPER MAIN 4yr'!U46+'SCHOLAR FELLOW 4yr'!U46+'All Other 4yr'!U46)-U46</f>
        <v>0</v>
      </c>
      <c r="AZ46" s="74">
        <f>('Instruction-4YR'!V46+'RESEARCH 4yr'!V46+'PUBLIC SERVICE 4yr'!V46+'ASptISptSSv 4yr'!V46+'PLANT OPER MAIN 4yr'!V46+'SCHOLAR FELLOW 4yr'!V46+'All Other 4yr'!V46)-V46</f>
        <v>0</v>
      </c>
      <c r="BA46" s="74">
        <f>('Instruction-4YR'!W46+'RESEARCH 4yr'!W46+'PUBLIC SERVICE 4yr'!W46+'ASptISptSSv 4yr'!W46+'PLANT OPER MAIN 4yr'!W46+'SCHOLAR FELLOW 4yr'!W46+'All Other 4yr'!W46)-W46</f>
        <v>0</v>
      </c>
      <c r="BB46" s="74">
        <f>('Instruction-4YR'!X46+'RESEARCH 4yr'!X46+'PUBLIC SERVICE 4yr'!X46+'ASptISptSSv 4yr'!X46+'PLANT OPER MAIN 4yr'!X46+'SCHOLAR FELLOW 4yr'!X46+'All Other 4yr'!X46)-X46</f>
        <v>0</v>
      </c>
      <c r="BC46" s="74">
        <f>('Instruction-4YR'!Y46+'RESEARCH 4yr'!Y46+'PUBLIC SERVICE 4yr'!Y46+'ASptISptSSv 4yr'!Y46+'PLANT OPER MAIN 4yr'!Y46+'SCHOLAR FELLOW 4yr'!Y46+'All Other 4yr'!Y46)-Y46</f>
        <v>0</v>
      </c>
      <c r="BD46" s="74">
        <f>('Instruction-4YR'!Z46+'RESEARCH 4yr'!Z46+'PUBLIC SERVICE 4yr'!Z46+'ASptISptSSv 4yr'!Z46+'PLANT OPER MAIN 4yr'!Z46+'SCHOLAR FELLOW 4yr'!Z46+'All Other 4yr'!Z46)-Z46</f>
        <v>0</v>
      </c>
      <c r="BE46" s="74">
        <f>('Instruction-4YR'!AA46+'RESEARCH 4yr'!AA46+'PUBLIC SERVICE 4yr'!AA46+'ASptISptSSv 4yr'!AA46+'PLANT OPER MAIN 4yr'!AA46+'SCHOLAR FELLOW 4yr'!AA46+'All Other 4yr'!AA46)-AA46</f>
        <v>0</v>
      </c>
      <c r="BF46" s="74">
        <f>('Instruction-4YR'!AB46+'RESEARCH 4yr'!AB46+'PUBLIC SERVICE 4yr'!AB46+'ASptISptSSv 4yr'!AB46+'PLANT OPER MAIN 4yr'!AB46+'SCHOLAR FELLOW 4yr'!AB46+'All Other 4yr'!AB46)-AB46</f>
        <v>0</v>
      </c>
      <c r="BG46" s="74">
        <f>('Instruction-4YR'!AC46+'RESEARCH 4yr'!AC46+'PUBLIC SERVICE 4yr'!AC46+'ASptISptSSv 4yr'!AC46+'PLANT OPER MAIN 4yr'!AC46+'SCHOLAR FELLOW 4yr'!AC46+'All Other 4yr'!AC46)-AC46</f>
        <v>0</v>
      </c>
      <c r="BH46" s="74">
        <f>('Instruction-4YR'!AD46+'RESEARCH 4yr'!AD46+'PUBLIC SERVICE 4yr'!AD46+'ASptISptSSv 4yr'!AD46+'PLANT OPER MAIN 4yr'!AD46+'SCHOLAR FELLOW 4yr'!AD46+'All Other 4yr'!AD46)-AD46</f>
        <v>0</v>
      </c>
      <c r="BI46" s="74">
        <f>('Instruction-4YR'!AE46+'RESEARCH 4yr'!AE46+'PUBLIC SERVICE 4yr'!AE46+'ASptISptSSv 4yr'!AE46+'PLANT OPER MAIN 4yr'!AE46+'SCHOLAR FELLOW 4yr'!AE46+'All Other 4yr'!AE46)-AE46</f>
        <v>0</v>
      </c>
    </row>
    <row r="47" spans="1:61">
      <c r="A47" s="1" t="s">
        <v>62</v>
      </c>
      <c r="F47" s="41">
        <v>1853185.45</v>
      </c>
      <c r="I47" s="1">
        <v>1618184.8859999999</v>
      </c>
      <c r="K47" s="1">
        <v>1758342.0889999999</v>
      </c>
      <c r="L47" s="1">
        <v>2068976.4069999999</v>
      </c>
      <c r="M47" s="1">
        <v>2254447.764</v>
      </c>
      <c r="N47" s="1">
        <v>2481018.2990000001</v>
      </c>
      <c r="O47" s="1">
        <v>2675890.577</v>
      </c>
      <c r="P47" s="1">
        <v>2650104.415</v>
      </c>
      <c r="Q47" s="1">
        <v>2803970.7620000001</v>
      </c>
      <c r="R47" s="1">
        <v>2985764.0040000002</v>
      </c>
      <c r="S47" s="1">
        <v>3184919.449</v>
      </c>
      <c r="T47" s="1">
        <v>3528636.2910000002</v>
      </c>
      <c r="U47" s="1">
        <v>3532233.071</v>
      </c>
      <c r="V47" s="1">
        <v>3684748.852</v>
      </c>
      <c r="W47" s="1">
        <v>3658269.6669999999</v>
      </c>
      <c r="X47" s="1">
        <v>3656549.531</v>
      </c>
      <c r="Y47" s="1">
        <v>3819642.4649999999</v>
      </c>
      <c r="Z47" s="1">
        <v>4051722.0469999998</v>
      </c>
      <c r="AA47" s="1">
        <v>4014897.7579999999</v>
      </c>
      <c r="AB47" s="1">
        <v>4109744.2880000002</v>
      </c>
      <c r="AC47" s="1">
        <v>4581959.1849999996</v>
      </c>
      <c r="AE47" s="1">
        <v>4219490.34</v>
      </c>
      <c r="AF47" s="74">
        <f>('Instruction-4YR'!B47+'RESEARCH 4yr'!B47+'PUBLIC SERVICE 4yr'!B47+'ASptISptSSv 4yr'!B47+'PLANT OPER MAIN 4yr'!B47+'SCHOLAR FELLOW 4yr'!B47+'All Other 4yr'!B47)-B47</f>
        <v>0</v>
      </c>
      <c r="AG47" s="74">
        <f>('Instruction-4YR'!C47+'RESEARCH 4yr'!C47+'PUBLIC SERVICE 4yr'!C47+'ASptISptSSv 4yr'!C47+'PLANT OPER MAIN 4yr'!C47+'SCHOLAR FELLOW 4yr'!C47+'All Other 4yr'!C47)-C47</f>
        <v>0</v>
      </c>
      <c r="AH47" s="74">
        <f>('Instruction-4YR'!D47+'RESEARCH 4yr'!D47+'PUBLIC SERVICE 4yr'!D47+'ASptISptSSv 4yr'!D47+'PLANT OPER MAIN 4yr'!D47+'SCHOLAR FELLOW 4yr'!D47+'All Other 4yr'!D47)-D47</f>
        <v>0</v>
      </c>
      <c r="AI47" s="74">
        <f>('Instruction-4YR'!E47+'RESEARCH 4yr'!E47+'PUBLIC SERVICE 4yr'!E47+'ASptISptSSv 4yr'!E47+'PLANT OPER MAIN 4yr'!E47+'SCHOLAR FELLOW 4yr'!E47+'All Other 4yr'!E47)-E47</f>
        <v>0</v>
      </c>
      <c r="AJ47" s="74">
        <f>('Instruction-4YR'!F47+'RESEARCH 4yr'!F47+'PUBLIC SERVICE 4yr'!F47+'ASptISptSSv 4yr'!F47+'PLANT OPER MAIN 4yr'!F47+'SCHOLAR FELLOW 4yr'!F47+'All Other 4yr'!F47)-F47</f>
        <v>0</v>
      </c>
      <c r="AK47" s="74">
        <f>('Instruction-4YR'!G47+'RESEARCH 4yr'!G47+'PUBLIC SERVICE 4yr'!G47+'ASptISptSSv 4yr'!G47+'PLANT OPER MAIN 4yr'!G47+'SCHOLAR FELLOW 4yr'!G47+'All Other 4yr'!G47)-G47</f>
        <v>0</v>
      </c>
      <c r="AL47" s="74">
        <f>('Instruction-4YR'!H47+'RESEARCH 4yr'!H47+'PUBLIC SERVICE 4yr'!H47+'ASptISptSSv 4yr'!H47+'PLANT OPER MAIN 4yr'!H47+'SCHOLAR FELLOW 4yr'!H47+'All Other 4yr'!H47)-H47</f>
        <v>0</v>
      </c>
      <c r="AM47" s="74">
        <f>('Instruction-4YR'!I47+'RESEARCH 4yr'!I47+'PUBLIC SERVICE 4yr'!I47+'ASptISptSSv 4yr'!I47+'PLANT OPER MAIN 4yr'!I47+'SCHOLAR FELLOW 4yr'!I47+'All Other 4yr'!I47)-I47</f>
        <v>0</v>
      </c>
      <c r="AN47" s="74">
        <f>('Instruction-4YR'!J47+'RESEARCH 4yr'!J47+'PUBLIC SERVICE 4yr'!J47+'ASptISptSSv 4yr'!J47+'PLANT OPER MAIN 4yr'!J47+'SCHOLAR FELLOW 4yr'!J47+'All Other 4yr'!J47)-J47</f>
        <v>0</v>
      </c>
      <c r="AO47" s="74">
        <f>('Instruction-4YR'!K47+'RESEARCH 4yr'!K47+'PUBLIC SERVICE 4yr'!K47+'ASptISptSSv 4yr'!K47+'PLANT OPER MAIN 4yr'!K47+'SCHOLAR FELLOW 4yr'!K47+'All Other 4yr'!K47)-K47</f>
        <v>0</v>
      </c>
      <c r="AP47" s="74">
        <f>('Instruction-4YR'!L47+'RESEARCH 4yr'!L47+'PUBLIC SERVICE 4yr'!L47+'ASptISptSSv 4yr'!L47+'PLANT OPER MAIN 4yr'!L47+'SCHOLAR FELLOW 4yr'!L47+'All Other 4yr'!L47)-L47</f>
        <v>0</v>
      </c>
      <c r="AQ47" s="74">
        <f>('Instruction-4YR'!M47+'RESEARCH 4yr'!M47+'PUBLIC SERVICE 4yr'!M47+'ASptISptSSv 4yr'!M47+'PLANT OPER MAIN 4yr'!M47+'SCHOLAR FELLOW 4yr'!M47+'All Other 4yr'!M47)-M47</f>
        <v>0</v>
      </c>
      <c r="AR47" s="74">
        <f>('Instruction-4YR'!N47+'RESEARCH 4yr'!N47+'PUBLIC SERVICE 4yr'!N47+'ASptISptSSv 4yr'!N47+'PLANT OPER MAIN 4yr'!N47+'SCHOLAR FELLOW 4yr'!N47+'All Other 4yr'!N47)-N47</f>
        <v>0</v>
      </c>
      <c r="AS47" s="74">
        <f>('Instruction-4YR'!O47+'RESEARCH 4yr'!O47+'PUBLIC SERVICE 4yr'!O47+'ASptISptSSv 4yr'!O47+'PLANT OPER MAIN 4yr'!O47+'SCHOLAR FELLOW 4yr'!O47+'All Other 4yr'!O47)-O47</f>
        <v>0</v>
      </c>
      <c r="AT47" s="74">
        <f>('Instruction-4YR'!P47+'RESEARCH 4yr'!P47+'PUBLIC SERVICE 4yr'!P47+'ASptISptSSv 4yr'!P47+'PLANT OPER MAIN 4yr'!P47+'SCHOLAR FELLOW 4yr'!P47+'All Other 4yr'!P47)-P47</f>
        <v>0</v>
      </c>
      <c r="AU47" s="74">
        <f>('Instruction-4YR'!Q47+'RESEARCH 4yr'!Q47+'PUBLIC SERVICE 4yr'!Q47+'ASptISptSSv 4yr'!Q47+'PLANT OPER MAIN 4yr'!Q47+'SCHOLAR FELLOW 4yr'!Q47+'All Other 4yr'!Q47)-Q47</f>
        <v>0</v>
      </c>
      <c r="AV47" s="74">
        <f>('Instruction-4YR'!R47+'RESEARCH 4yr'!R47+'PUBLIC SERVICE 4yr'!R47+'ASptISptSSv 4yr'!R47+'PLANT OPER MAIN 4yr'!R47+'SCHOLAR FELLOW 4yr'!R47+'All Other 4yr'!R47)-R47</f>
        <v>0</v>
      </c>
      <c r="AW47" s="74">
        <f>('Instruction-4YR'!S47+'RESEARCH 4yr'!S47+'PUBLIC SERVICE 4yr'!S47+'ASptISptSSv 4yr'!S47+'PLANT OPER MAIN 4yr'!S47+'SCHOLAR FELLOW 4yr'!S47+'All Other 4yr'!S47)-S47</f>
        <v>0</v>
      </c>
      <c r="AX47" s="74">
        <f>('Instruction-4YR'!T47+'RESEARCH 4yr'!T47+'PUBLIC SERVICE 4yr'!T47+'ASptISptSSv 4yr'!T47+'PLANT OPER MAIN 4yr'!T47+'SCHOLAR FELLOW 4yr'!T47+'All Other 4yr'!T47)-T47</f>
        <v>0</v>
      </c>
      <c r="AY47" s="74">
        <f>('Instruction-4YR'!U47+'RESEARCH 4yr'!U47+'PUBLIC SERVICE 4yr'!U47+'ASptISptSSv 4yr'!U47+'PLANT OPER MAIN 4yr'!U47+'SCHOLAR FELLOW 4yr'!U47+'All Other 4yr'!U47)-U47</f>
        <v>0</v>
      </c>
      <c r="AZ47" s="74">
        <f>('Instruction-4YR'!V47+'RESEARCH 4yr'!V47+'PUBLIC SERVICE 4yr'!V47+'ASptISptSSv 4yr'!V47+'PLANT OPER MAIN 4yr'!V47+'SCHOLAR FELLOW 4yr'!V47+'All Other 4yr'!V47)-V47</f>
        <v>0</v>
      </c>
      <c r="BA47" s="74">
        <f>('Instruction-4YR'!W47+'RESEARCH 4yr'!W47+'PUBLIC SERVICE 4yr'!W47+'ASptISptSSv 4yr'!W47+'PLANT OPER MAIN 4yr'!W47+'SCHOLAR FELLOW 4yr'!W47+'All Other 4yr'!W47)-W47</f>
        <v>0</v>
      </c>
      <c r="BB47" s="74">
        <f>('Instruction-4YR'!X47+'RESEARCH 4yr'!X47+'PUBLIC SERVICE 4yr'!X47+'ASptISptSSv 4yr'!X47+'PLANT OPER MAIN 4yr'!X47+'SCHOLAR FELLOW 4yr'!X47+'All Other 4yr'!X47)-X47</f>
        <v>0</v>
      </c>
      <c r="BC47" s="74">
        <f>('Instruction-4YR'!Y47+'RESEARCH 4yr'!Y47+'PUBLIC SERVICE 4yr'!Y47+'ASptISptSSv 4yr'!Y47+'PLANT OPER MAIN 4yr'!Y47+'SCHOLAR FELLOW 4yr'!Y47+'All Other 4yr'!Y47)-Y47</f>
        <v>0</v>
      </c>
      <c r="BD47" s="74">
        <f>('Instruction-4YR'!Z47+'RESEARCH 4yr'!Z47+'PUBLIC SERVICE 4yr'!Z47+'ASptISptSSv 4yr'!Z47+'PLANT OPER MAIN 4yr'!Z47+'SCHOLAR FELLOW 4yr'!Z47+'All Other 4yr'!Z47)-Z47</f>
        <v>0</v>
      </c>
      <c r="BE47" s="74">
        <f>('Instruction-4YR'!AA47+'RESEARCH 4yr'!AA47+'PUBLIC SERVICE 4yr'!AA47+'ASptISptSSv 4yr'!AA47+'PLANT OPER MAIN 4yr'!AA47+'SCHOLAR FELLOW 4yr'!AA47+'All Other 4yr'!AA47)-AA47</f>
        <v>0</v>
      </c>
      <c r="BF47" s="74">
        <f>('Instruction-4YR'!AB47+'RESEARCH 4yr'!AB47+'PUBLIC SERVICE 4yr'!AB47+'ASptISptSSv 4yr'!AB47+'PLANT OPER MAIN 4yr'!AB47+'SCHOLAR FELLOW 4yr'!AB47+'All Other 4yr'!AB47)-AB47</f>
        <v>0</v>
      </c>
      <c r="BG47" s="74">
        <f>('Instruction-4YR'!AC47+'RESEARCH 4yr'!AC47+'PUBLIC SERVICE 4yr'!AC47+'ASptISptSSv 4yr'!AC47+'PLANT OPER MAIN 4yr'!AC47+'SCHOLAR FELLOW 4yr'!AC47+'All Other 4yr'!AC47)-AC47</f>
        <v>0</v>
      </c>
      <c r="BH47" s="74">
        <f>('Instruction-4YR'!AD47+'RESEARCH 4yr'!AD47+'PUBLIC SERVICE 4yr'!AD47+'ASptISptSSv 4yr'!AD47+'PLANT OPER MAIN 4yr'!AD47+'SCHOLAR FELLOW 4yr'!AD47+'All Other 4yr'!AD47)-AD47</f>
        <v>0</v>
      </c>
      <c r="BI47" s="74">
        <f>('Instruction-4YR'!AE47+'RESEARCH 4yr'!AE47+'PUBLIC SERVICE 4yr'!AE47+'ASptISptSSv 4yr'!AE47+'PLANT OPER MAIN 4yr'!AE47+'SCHOLAR FELLOW 4yr'!AE47+'All Other 4yr'!AE47)-AE47</f>
        <v>0</v>
      </c>
    </row>
    <row r="48" spans="1:61">
      <c r="A48" s="1" t="s">
        <v>63</v>
      </c>
      <c r="F48" s="41">
        <v>1017731.035</v>
      </c>
      <c r="I48" s="1">
        <v>1206207.0160000001</v>
      </c>
      <c r="K48" s="1">
        <v>1484710.3149999999</v>
      </c>
      <c r="L48" s="1">
        <v>1647179.7220000001</v>
      </c>
      <c r="M48" s="1">
        <v>2277009.358</v>
      </c>
      <c r="N48" s="1">
        <v>1918668.7</v>
      </c>
      <c r="O48" s="1">
        <v>1874746.426</v>
      </c>
      <c r="P48" s="1">
        <v>1961847.196</v>
      </c>
      <c r="Q48" s="1">
        <v>2144713.4920000001</v>
      </c>
      <c r="R48" s="1">
        <v>2240937.8250000002</v>
      </c>
      <c r="S48" s="1">
        <v>2310346.8930000002</v>
      </c>
      <c r="T48" s="1">
        <v>2376849.7919999999</v>
      </c>
      <c r="U48" s="1">
        <v>2435136.7689999999</v>
      </c>
      <c r="V48" s="1">
        <v>2474062.389</v>
      </c>
      <c r="W48" s="1">
        <v>2524357.1030000001</v>
      </c>
      <c r="X48" s="1">
        <v>2657813.2889999999</v>
      </c>
      <c r="Y48" s="1">
        <v>2693548.872</v>
      </c>
      <c r="Z48" s="1">
        <v>2812924.61</v>
      </c>
      <c r="AA48" s="1">
        <v>2914369.5980000002</v>
      </c>
      <c r="AB48" s="1">
        <v>2967587.0410000002</v>
      </c>
      <c r="AC48" s="1">
        <v>3052711.69</v>
      </c>
      <c r="AE48" s="1">
        <v>3124204.6639999999</v>
      </c>
      <c r="AF48" s="74">
        <f>('Instruction-4YR'!B48+'RESEARCH 4yr'!B48+'PUBLIC SERVICE 4yr'!B48+'ASptISptSSv 4yr'!B48+'PLANT OPER MAIN 4yr'!B48+'SCHOLAR FELLOW 4yr'!B48+'All Other 4yr'!B48)-B48</f>
        <v>0</v>
      </c>
      <c r="AG48" s="74">
        <f>('Instruction-4YR'!C48+'RESEARCH 4yr'!C48+'PUBLIC SERVICE 4yr'!C48+'ASptISptSSv 4yr'!C48+'PLANT OPER MAIN 4yr'!C48+'SCHOLAR FELLOW 4yr'!C48+'All Other 4yr'!C48)-C48</f>
        <v>0</v>
      </c>
      <c r="AH48" s="74">
        <f>('Instruction-4YR'!D48+'RESEARCH 4yr'!D48+'PUBLIC SERVICE 4yr'!D48+'ASptISptSSv 4yr'!D48+'PLANT OPER MAIN 4yr'!D48+'SCHOLAR FELLOW 4yr'!D48+'All Other 4yr'!D48)-D48</f>
        <v>0</v>
      </c>
      <c r="AI48" s="74">
        <f>('Instruction-4YR'!E48+'RESEARCH 4yr'!E48+'PUBLIC SERVICE 4yr'!E48+'ASptISptSSv 4yr'!E48+'PLANT OPER MAIN 4yr'!E48+'SCHOLAR FELLOW 4yr'!E48+'All Other 4yr'!E48)-E48</f>
        <v>0</v>
      </c>
      <c r="AJ48" s="74">
        <f>('Instruction-4YR'!F48+'RESEARCH 4yr'!F48+'PUBLIC SERVICE 4yr'!F48+'ASptISptSSv 4yr'!F48+'PLANT OPER MAIN 4yr'!F48+'SCHOLAR FELLOW 4yr'!F48+'All Other 4yr'!F48)-F48</f>
        <v>0</v>
      </c>
      <c r="AK48" s="74">
        <f>('Instruction-4YR'!G48+'RESEARCH 4yr'!G48+'PUBLIC SERVICE 4yr'!G48+'ASptISptSSv 4yr'!G48+'PLANT OPER MAIN 4yr'!G48+'SCHOLAR FELLOW 4yr'!G48+'All Other 4yr'!G48)-G48</f>
        <v>0</v>
      </c>
      <c r="AL48" s="74">
        <f>('Instruction-4YR'!H48+'RESEARCH 4yr'!H48+'PUBLIC SERVICE 4yr'!H48+'ASptISptSSv 4yr'!H48+'PLANT OPER MAIN 4yr'!H48+'SCHOLAR FELLOW 4yr'!H48+'All Other 4yr'!H48)-H48</f>
        <v>0</v>
      </c>
      <c r="AM48" s="74">
        <f>('Instruction-4YR'!I48+'RESEARCH 4yr'!I48+'PUBLIC SERVICE 4yr'!I48+'ASptISptSSv 4yr'!I48+'PLANT OPER MAIN 4yr'!I48+'SCHOLAR FELLOW 4yr'!I48+'All Other 4yr'!I48)-I48</f>
        <v>0</v>
      </c>
      <c r="AN48" s="74">
        <f>('Instruction-4YR'!J48+'RESEARCH 4yr'!J48+'PUBLIC SERVICE 4yr'!J48+'ASptISptSSv 4yr'!J48+'PLANT OPER MAIN 4yr'!J48+'SCHOLAR FELLOW 4yr'!J48+'All Other 4yr'!J48)-J48</f>
        <v>0</v>
      </c>
      <c r="AO48" s="74">
        <f>('Instruction-4YR'!K48+'RESEARCH 4yr'!K48+'PUBLIC SERVICE 4yr'!K48+'ASptISptSSv 4yr'!K48+'PLANT OPER MAIN 4yr'!K48+'SCHOLAR FELLOW 4yr'!K48+'All Other 4yr'!K48)-K48</f>
        <v>0</v>
      </c>
      <c r="AP48" s="74">
        <f>('Instruction-4YR'!L48+'RESEARCH 4yr'!L48+'PUBLIC SERVICE 4yr'!L48+'ASptISptSSv 4yr'!L48+'PLANT OPER MAIN 4yr'!L48+'SCHOLAR FELLOW 4yr'!L48+'All Other 4yr'!L48)-L48</f>
        <v>0</v>
      </c>
      <c r="AQ48" s="74">
        <f>('Instruction-4YR'!M48+'RESEARCH 4yr'!M48+'PUBLIC SERVICE 4yr'!M48+'ASptISptSSv 4yr'!M48+'PLANT OPER MAIN 4yr'!M48+'SCHOLAR FELLOW 4yr'!M48+'All Other 4yr'!M48)-M48</f>
        <v>0</v>
      </c>
      <c r="AR48" s="74">
        <f>('Instruction-4YR'!N48+'RESEARCH 4yr'!N48+'PUBLIC SERVICE 4yr'!N48+'ASptISptSSv 4yr'!N48+'PLANT OPER MAIN 4yr'!N48+'SCHOLAR FELLOW 4yr'!N48+'All Other 4yr'!N48)-N48</f>
        <v>0</v>
      </c>
      <c r="AS48" s="74">
        <f>('Instruction-4YR'!O48+'RESEARCH 4yr'!O48+'PUBLIC SERVICE 4yr'!O48+'ASptISptSSv 4yr'!O48+'PLANT OPER MAIN 4yr'!O48+'SCHOLAR FELLOW 4yr'!O48+'All Other 4yr'!O48)-O48</f>
        <v>0</v>
      </c>
      <c r="AT48" s="74">
        <f>('Instruction-4YR'!P48+'RESEARCH 4yr'!P48+'PUBLIC SERVICE 4yr'!P48+'ASptISptSSv 4yr'!P48+'PLANT OPER MAIN 4yr'!P48+'SCHOLAR FELLOW 4yr'!P48+'All Other 4yr'!P48)-P48</f>
        <v>0</v>
      </c>
      <c r="AU48" s="74">
        <f>('Instruction-4YR'!Q48+'RESEARCH 4yr'!Q48+'PUBLIC SERVICE 4yr'!Q48+'ASptISptSSv 4yr'!Q48+'PLANT OPER MAIN 4yr'!Q48+'SCHOLAR FELLOW 4yr'!Q48+'All Other 4yr'!Q48)-Q48</f>
        <v>0</v>
      </c>
      <c r="AV48" s="74">
        <f>('Instruction-4YR'!R48+'RESEARCH 4yr'!R48+'PUBLIC SERVICE 4yr'!R48+'ASptISptSSv 4yr'!R48+'PLANT OPER MAIN 4yr'!R48+'SCHOLAR FELLOW 4yr'!R48+'All Other 4yr'!R48)-R48</f>
        <v>0</v>
      </c>
      <c r="AW48" s="74">
        <f>('Instruction-4YR'!S48+'RESEARCH 4yr'!S48+'PUBLIC SERVICE 4yr'!S48+'ASptISptSSv 4yr'!S48+'PLANT OPER MAIN 4yr'!S48+'SCHOLAR FELLOW 4yr'!S48+'All Other 4yr'!S48)-S48</f>
        <v>0</v>
      </c>
      <c r="AX48" s="74">
        <f>('Instruction-4YR'!T48+'RESEARCH 4yr'!T48+'PUBLIC SERVICE 4yr'!T48+'ASptISptSSv 4yr'!T48+'PLANT OPER MAIN 4yr'!T48+'SCHOLAR FELLOW 4yr'!T48+'All Other 4yr'!T48)-T48</f>
        <v>0</v>
      </c>
      <c r="AY48" s="74">
        <f>('Instruction-4YR'!U48+'RESEARCH 4yr'!U48+'PUBLIC SERVICE 4yr'!U48+'ASptISptSSv 4yr'!U48+'PLANT OPER MAIN 4yr'!U48+'SCHOLAR FELLOW 4yr'!U48+'All Other 4yr'!U48)-U48</f>
        <v>0</v>
      </c>
      <c r="AZ48" s="74">
        <f>('Instruction-4YR'!V48+'RESEARCH 4yr'!V48+'PUBLIC SERVICE 4yr'!V48+'ASptISptSSv 4yr'!V48+'PLANT OPER MAIN 4yr'!V48+'SCHOLAR FELLOW 4yr'!V48+'All Other 4yr'!V48)-V48</f>
        <v>0</v>
      </c>
      <c r="BA48" s="74">
        <f>('Instruction-4YR'!W48+'RESEARCH 4yr'!W48+'PUBLIC SERVICE 4yr'!W48+'ASptISptSSv 4yr'!W48+'PLANT OPER MAIN 4yr'!W48+'SCHOLAR FELLOW 4yr'!W48+'All Other 4yr'!W48)-W48</f>
        <v>0</v>
      </c>
      <c r="BB48" s="74">
        <f>('Instruction-4YR'!X48+'RESEARCH 4yr'!X48+'PUBLIC SERVICE 4yr'!X48+'ASptISptSSv 4yr'!X48+'PLANT OPER MAIN 4yr'!X48+'SCHOLAR FELLOW 4yr'!X48+'All Other 4yr'!X48)-X48</f>
        <v>0</v>
      </c>
      <c r="BC48" s="74">
        <f>('Instruction-4YR'!Y48+'RESEARCH 4yr'!Y48+'PUBLIC SERVICE 4yr'!Y48+'ASptISptSSv 4yr'!Y48+'PLANT OPER MAIN 4yr'!Y48+'SCHOLAR FELLOW 4yr'!Y48+'All Other 4yr'!Y48)-Y48</f>
        <v>0</v>
      </c>
      <c r="BD48" s="74">
        <f>('Instruction-4YR'!Z48+'RESEARCH 4yr'!Z48+'PUBLIC SERVICE 4yr'!Z48+'ASptISptSSv 4yr'!Z48+'PLANT OPER MAIN 4yr'!Z48+'SCHOLAR FELLOW 4yr'!Z48+'All Other 4yr'!Z48)-Z48</f>
        <v>0</v>
      </c>
      <c r="BE48" s="74">
        <f>('Instruction-4YR'!AA48+'RESEARCH 4yr'!AA48+'PUBLIC SERVICE 4yr'!AA48+'ASptISptSSv 4yr'!AA48+'PLANT OPER MAIN 4yr'!AA48+'SCHOLAR FELLOW 4yr'!AA48+'All Other 4yr'!AA48)-AA48</f>
        <v>0</v>
      </c>
      <c r="BF48" s="74">
        <f>('Instruction-4YR'!AB48+'RESEARCH 4yr'!AB48+'PUBLIC SERVICE 4yr'!AB48+'ASptISptSSv 4yr'!AB48+'PLANT OPER MAIN 4yr'!AB48+'SCHOLAR FELLOW 4yr'!AB48+'All Other 4yr'!AB48)-AB48</f>
        <v>0</v>
      </c>
      <c r="BG48" s="74">
        <f>('Instruction-4YR'!AC48+'RESEARCH 4yr'!AC48+'PUBLIC SERVICE 4yr'!AC48+'ASptISptSSv 4yr'!AC48+'PLANT OPER MAIN 4yr'!AC48+'SCHOLAR FELLOW 4yr'!AC48+'All Other 4yr'!AC48)-AC48</f>
        <v>0</v>
      </c>
      <c r="BH48" s="74">
        <f>('Instruction-4YR'!AD48+'RESEARCH 4yr'!AD48+'PUBLIC SERVICE 4yr'!AD48+'ASptISptSSv 4yr'!AD48+'PLANT OPER MAIN 4yr'!AD48+'SCHOLAR FELLOW 4yr'!AD48+'All Other 4yr'!AD48)-AD48</f>
        <v>0</v>
      </c>
      <c r="BI48" s="74">
        <f>('Instruction-4YR'!AE48+'RESEARCH 4yr'!AE48+'PUBLIC SERVICE 4yr'!AE48+'ASptISptSSv 4yr'!AE48+'PLANT OPER MAIN 4yr'!AE48+'SCHOLAR FELLOW 4yr'!AE48+'All Other 4yr'!AE48)-AE48</f>
        <v>0</v>
      </c>
    </row>
    <row r="49" spans="1:61">
      <c r="A49" s="1" t="s">
        <v>64</v>
      </c>
      <c r="F49" s="41">
        <v>566476.52599999995</v>
      </c>
      <c r="I49" s="1">
        <v>630681.66599999997</v>
      </c>
      <c r="K49" s="1">
        <v>690830.30599999998</v>
      </c>
      <c r="L49" s="1">
        <v>790152.13300000003</v>
      </c>
      <c r="M49" s="1">
        <v>845523.28300000005</v>
      </c>
      <c r="N49" s="1">
        <v>992118.01300000004</v>
      </c>
      <c r="O49" s="1">
        <v>1032591.012</v>
      </c>
      <c r="P49" s="1">
        <v>1062535.0919999999</v>
      </c>
      <c r="Q49" s="1">
        <v>1149462.8119999999</v>
      </c>
      <c r="R49" s="1">
        <v>1216792.0630000001</v>
      </c>
      <c r="S49" s="1">
        <v>1281235.4820000001</v>
      </c>
      <c r="T49" s="1">
        <v>1352417.598</v>
      </c>
      <c r="U49" s="1">
        <v>1042731.888</v>
      </c>
      <c r="V49" s="1">
        <v>1437980.7120000001</v>
      </c>
      <c r="W49" s="1">
        <v>1486258.89</v>
      </c>
      <c r="X49" s="1">
        <v>1523948.946</v>
      </c>
      <c r="Y49" s="1">
        <v>1563094.8370000001</v>
      </c>
      <c r="Z49" s="1">
        <v>1627195.2760000001</v>
      </c>
      <c r="AA49" s="1">
        <v>1692451.2379999999</v>
      </c>
      <c r="AB49" s="1">
        <v>1751033.3970000001</v>
      </c>
      <c r="AC49" s="1">
        <v>1852974.183</v>
      </c>
      <c r="AE49" s="1">
        <v>1943321.7549999999</v>
      </c>
      <c r="AF49" s="74">
        <f>('Instruction-4YR'!B49+'RESEARCH 4yr'!B49+'PUBLIC SERVICE 4yr'!B49+'ASptISptSSv 4yr'!B49+'PLANT OPER MAIN 4yr'!B49+'SCHOLAR FELLOW 4yr'!B49+'All Other 4yr'!B49)-B49</f>
        <v>0</v>
      </c>
      <c r="AG49" s="74">
        <f>('Instruction-4YR'!C49+'RESEARCH 4yr'!C49+'PUBLIC SERVICE 4yr'!C49+'ASptISptSSv 4yr'!C49+'PLANT OPER MAIN 4yr'!C49+'SCHOLAR FELLOW 4yr'!C49+'All Other 4yr'!C49)-C49</f>
        <v>0</v>
      </c>
      <c r="AH49" s="74">
        <f>('Instruction-4YR'!D49+'RESEARCH 4yr'!D49+'PUBLIC SERVICE 4yr'!D49+'ASptISptSSv 4yr'!D49+'PLANT OPER MAIN 4yr'!D49+'SCHOLAR FELLOW 4yr'!D49+'All Other 4yr'!D49)-D49</f>
        <v>0</v>
      </c>
      <c r="AI49" s="74">
        <f>('Instruction-4YR'!E49+'RESEARCH 4yr'!E49+'PUBLIC SERVICE 4yr'!E49+'ASptISptSSv 4yr'!E49+'PLANT OPER MAIN 4yr'!E49+'SCHOLAR FELLOW 4yr'!E49+'All Other 4yr'!E49)-E49</f>
        <v>0</v>
      </c>
      <c r="AJ49" s="74">
        <f>('Instruction-4YR'!F49+'RESEARCH 4yr'!F49+'PUBLIC SERVICE 4yr'!F49+'ASptISptSSv 4yr'!F49+'PLANT OPER MAIN 4yr'!F49+'SCHOLAR FELLOW 4yr'!F49+'All Other 4yr'!F49)-F49</f>
        <v>0</v>
      </c>
      <c r="AK49" s="74">
        <f>('Instruction-4YR'!G49+'RESEARCH 4yr'!G49+'PUBLIC SERVICE 4yr'!G49+'ASptISptSSv 4yr'!G49+'PLANT OPER MAIN 4yr'!G49+'SCHOLAR FELLOW 4yr'!G49+'All Other 4yr'!G49)-G49</f>
        <v>0</v>
      </c>
      <c r="AL49" s="74">
        <f>('Instruction-4YR'!H49+'RESEARCH 4yr'!H49+'PUBLIC SERVICE 4yr'!H49+'ASptISptSSv 4yr'!H49+'PLANT OPER MAIN 4yr'!H49+'SCHOLAR FELLOW 4yr'!H49+'All Other 4yr'!H49)-H49</f>
        <v>0</v>
      </c>
      <c r="AM49" s="74">
        <f>('Instruction-4YR'!I49+'RESEARCH 4yr'!I49+'PUBLIC SERVICE 4yr'!I49+'ASptISptSSv 4yr'!I49+'PLANT OPER MAIN 4yr'!I49+'SCHOLAR FELLOW 4yr'!I49+'All Other 4yr'!I49)-I49</f>
        <v>0</v>
      </c>
      <c r="AN49" s="74">
        <f>('Instruction-4YR'!J49+'RESEARCH 4yr'!J49+'PUBLIC SERVICE 4yr'!J49+'ASptISptSSv 4yr'!J49+'PLANT OPER MAIN 4yr'!J49+'SCHOLAR FELLOW 4yr'!J49+'All Other 4yr'!J49)-J49</f>
        <v>0</v>
      </c>
      <c r="AO49" s="74">
        <f>('Instruction-4YR'!K49+'RESEARCH 4yr'!K49+'PUBLIC SERVICE 4yr'!K49+'ASptISptSSv 4yr'!K49+'PLANT OPER MAIN 4yr'!K49+'SCHOLAR FELLOW 4yr'!K49+'All Other 4yr'!K49)-K49</f>
        <v>0</v>
      </c>
      <c r="AP49" s="74">
        <f>('Instruction-4YR'!L49+'RESEARCH 4yr'!L49+'PUBLIC SERVICE 4yr'!L49+'ASptISptSSv 4yr'!L49+'PLANT OPER MAIN 4yr'!L49+'SCHOLAR FELLOW 4yr'!L49+'All Other 4yr'!L49)-L49</f>
        <v>0</v>
      </c>
      <c r="AQ49" s="74">
        <f>('Instruction-4YR'!M49+'RESEARCH 4yr'!M49+'PUBLIC SERVICE 4yr'!M49+'ASptISptSSv 4yr'!M49+'PLANT OPER MAIN 4yr'!M49+'SCHOLAR FELLOW 4yr'!M49+'All Other 4yr'!M49)-M49</f>
        <v>0</v>
      </c>
      <c r="AR49" s="74">
        <f>('Instruction-4YR'!N49+'RESEARCH 4yr'!N49+'PUBLIC SERVICE 4yr'!N49+'ASptISptSSv 4yr'!N49+'PLANT OPER MAIN 4yr'!N49+'SCHOLAR FELLOW 4yr'!N49+'All Other 4yr'!N49)-N49</f>
        <v>0</v>
      </c>
      <c r="AS49" s="74">
        <f>('Instruction-4YR'!O49+'RESEARCH 4yr'!O49+'PUBLIC SERVICE 4yr'!O49+'ASptISptSSv 4yr'!O49+'PLANT OPER MAIN 4yr'!O49+'SCHOLAR FELLOW 4yr'!O49+'All Other 4yr'!O49)-O49</f>
        <v>0</v>
      </c>
      <c r="AT49" s="74">
        <f>('Instruction-4YR'!P49+'RESEARCH 4yr'!P49+'PUBLIC SERVICE 4yr'!P49+'ASptISptSSv 4yr'!P49+'PLANT OPER MAIN 4yr'!P49+'SCHOLAR FELLOW 4yr'!P49+'All Other 4yr'!P49)-P49</f>
        <v>0</v>
      </c>
      <c r="AU49" s="74">
        <f>('Instruction-4YR'!Q49+'RESEARCH 4yr'!Q49+'PUBLIC SERVICE 4yr'!Q49+'ASptISptSSv 4yr'!Q49+'PLANT OPER MAIN 4yr'!Q49+'SCHOLAR FELLOW 4yr'!Q49+'All Other 4yr'!Q49)-Q49</f>
        <v>0</v>
      </c>
      <c r="AV49" s="74">
        <f>('Instruction-4YR'!R49+'RESEARCH 4yr'!R49+'PUBLIC SERVICE 4yr'!R49+'ASptISptSSv 4yr'!R49+'PLANT OPER MAIN 4yr'!R49+'SCHOLAR FELLOW 4yr'!R49+'All Other 4yr'!R49)-R49</f>
        <v>0</v>
      </c>
      <c r="AW49" s="74">
        <f>('Instruction-4YR'!S49+'RESEARCH 4yr'!S49+'PUBLIC SERVICE 4yr'!S49+'ASptISptSSv 4yr'!S49+'PLANT OPER MAIN 4yr'!S49+'SCHOLAR FELLOW 4yr'!S49+'All Other 4yr'!S49)-S49</f>
        <v>0</v>
      </c>
      <c r="AX49" s="74">
        <f>('Instruction-4YR'!T49+'RESEARCH 4yr'!T49+'PUBLIC SERVICE 4yr'!T49+'ASptISptSSv 4yr'!T49+'PLANT OPER MAIN 4yr'!T49+'SCHOLAR FELLOW 4yr'!T49+'All Other 4yr'!T49)-T49</f>
        <v>0</v>
      </c>
      <c r="AY49" s="74">
        <f>('Instruction-4YR'!U49+'RESEARCH 4yr'!U49+'PUBLIC SERVICE 4yr'!U49+'ASptISptSSv 4yr'!U49+'PLANT OPER MAIN 4yr'!U49+'SCHOLAR FELLOW 4yr'!U49+'All Other 4yr'!U49)-U49</f>
        <v>0</v>
      </c>
      <c r="AZ49" s="74">
        <f>('Instruction-4YR'!V49+'RESEARCH 4yr'!V49+'PUBLIC SERVICE 4yr'!V49+'ASptISptSSv 4yr'!V49+'PLANT OPER MAIN 4yr'!V49+'SCHOLAR FELLOW 4yr'!V49+'All Other 4yr'!V49)-V49</f>
        <v>0</v>
      </c>
      <c r="BA49" s="74">
        <f>('Instruction-4YR'!W49+'RESEARCH 4yr'!W49+'PUBLIC SERVICE 4yr'!W49+'ASptISptSSv 4yr'!W49+'PLANT OPER MAIN 4yr'!W49+'SCHOLAR FELLOW 4yr'!W49+'All Other 4yr'!W49)-W49</f>
        <v>0</v>
      </c>
      <c r="BB49" s="74">
        <f>('Instruction-4YR'!X49+'RESEARCH 4yr'!X49+'PUBLIC SERVICE 4yr'!X49+'ASptISptSSv 4yr'!X49+'PLANT OPER MAIN 4yr'!X49+'SCHOLAR FELLOW 4yr'!X49+'All Other 4yr'!X49)-X49</f>
        <v>0</v>
      </c>
      <c r="BC49" s="74">
        <f>('Instruction-4YR'!Y49+'RESEARCH 4yr'!Y49+'PUBLIC SERVICE 4yr'!Y49+'ASptISptSSv 4yr'!Y49+'PLANT OPER MAIN 4yr'!Y49+'SCHOLAR FELLOW 4yr'!Y49+'All Other 4yr'!Y49)-Y49</f>
        <v>0</v>
      </c>
      <c r="BD49" s="74">
        <f>('Instruction-4YR'!Z49+'RESEARCH 4yr'!Z49+'PUBLIC SERVICE 4yr'!Z49+'ASptISptSSv 4yr'!Z49+'PLANT OPER MAIN 4yr'!Z49+'SCHOLAR FELLOW 4yr'!Z49+'All Other 4yr'!Z49)-Z49</f>
        <v>0</v>
      </c>
      <c r="BE49" s="74">
        <f>('Instruction-4YR'!AA49+'RESEARCH 4yr'!AA49+'PUBLIC SERVICE 4yr'!AA49+'ASptISptSSv 4yr'!AA49+'PLANT OPER MAIN 4yr'!AA49+'SCHOLAR FELLOW 4yr'!AA49+'All Other 4yr'!AA49)-AA49</f>
        <v>0</v>
      </c>
      <c r="BF49" s="74">
        <f>('Instruction-4YR'!AB49+'RESEARCH 4yr'!AB49+'PUBLIC SERVICE 4yr'!AB49+'ASptISptSSv 4yr'!AB49+'PLANT OPER MAIN 4yr'!AB49+'SCHOLAR FELLOW 4yr'!AB49+'All Other 4yr'!AB49)-AB49</f>
        <v>0</v>
      </c>
      <c r="BG49" s="74">
        <f>('Instruction-4YR'!AC49+'RESEARCH 4yr'!AC49+'PUBLIC SERVICE 4yr'!AC49+'ASptISptSSv 4yr'!AC49+'PLANT OPER MAIN 4yr'!AC49+'SCHOLAR FELLOW 4yr'!AC49+'All Other 4yr'!AC49)-AC49</f>
        <v>0</v>
      </c>
      <c r="BH49" s="74">
        <f>('Instruction-4YR'!AD49+'RESEARCH 4yr'!AD49+'PUBLIC SERVICE 4yr'!AD49+'ASptISptSSv 4yr'!AD49+'PLANT OPER MAIN 4yr'!AD49+'SCHOLAR FELLOW 4yr'!AD49+'All Other 4yr'!AD49)-AD49</f>
        <v>0</v>
      </c>
      <c r="BI49" s="74">
        <f>('Instruction-4YR'!AE49+'RESEARCH 4yr'!AE49+'PUBLIC SERVICE 4yr'!AE49+'ASptISptSSv 4yr'!AE49+'PLANT OPER MAIN 4yr'!AE49+'SCHOLAR FELLOW 4yr'!AE49+'All Other 4yr'!AE49)-AE49</f>
        <v>0</v>
      </c>
    </row>
    <row r="50" spans="1:61">
      <c r="A50" s="1" t="s">
        <v>65</v>
      </c>
      <c r="F50" s="41">
        <v>305492.96899999998</v>
      </c>
      <c r="I50" s="1">
        <v>330725.745</v>
      </c>
      <c r="K50" s="1">
        <v>346246.272</v>
      </c>
      <c r="L50" s="1">
        <v>370604.78</v>
      </c>
      <c r="M50" s="1">
        <v>403884.685</v>
      </c>
      <c r="N50" s="1">
        <v>470537.82699999999</v>
      </c>
      <c r="O50" s="1">
        <v>502522.696</v>
      </c>
      <c r="P50" s="1">
        <v>552986.36300000001</v>
      </c>
      <c r="Q50" s="1">
        <v>585124.84299999999</v>
      </c>
      <c r="R50" s="1">
        <v>615502.49300000002</v>
      </c>
      <c r="S50" s="1">
        <v>644290.16099999996</v>
      </c>
      <c r="T50" s="1">
        <v>716527.14800000004</v>
      </c>
      <c r="U50" s="1">
        <v>727335.92</v>
      </c>
      <c r="V50" s="1">
        <v>785252.95200000005</v>
      </c>
      <c r="W50" s="1">
        <v>803142.79299999995</v>
      </c>
      <c r="X50" s="1">
        <v>831014.38399999996</v>
      </c>
      <c r="Y50" s="1">
        <v>853159.98800000001</v>
      </c>
      <c r="Z50" s="1">
        <v>901676.70700000005</v>
      </c>
      <c r="AA50" s="1">
        <v>939408.29099999997</v>
      </c>
      <c r="AB50" s="1">
        <v>973160.647</v>
      </c>
      <c r="AC50" s="1">
        <v>974984.31599999999</v>
      </c>
      <c r="AE50" s="1">
        <v>985806.91399999999</v>
      </c>
      <c r="AF50" s="74">
        <f>('Instruction-4YR'!B50+'RESEARCH 4yr'!B50+'PUBLIC SERVICE 4yr'!B50+'ASptISptSSv 4yr'!B50+'PLANT OPER MAIN 4yr'!B50+'SCHOLAR FELLOW 4yr'!B50+'All Other 4yr'!B50)-B50</f>
        <v>0</v>
      </c>
      <c r="AG50" s="74">
        <f>('Instruction-4YR'!C50+'RESEARCH 4yr'!C50+'PUBLIC SERVICE 4yr'!C50+'ASptISptSSv 4yr'!C50+'PLANT OPER MAIN 4yr'!C50+'SCHOLAR FELLOW 4yr'!C50+'All Other 4yr'!C50)-C50</f>
        <v>0</v>
      </c>
      <c r="AH50" s="74">
        <f>('Instruction-4YR'!D50+'RESEARCH 4yr'!D50+'PUBLIC SERVICE 4yr'!D50+'ASptISptSSv 4yr'!D50+'PLANT OPER MAIN 4yr'!D50+'SCHOLAR FELLOW 4yr'!D50+'All Other 4yr'!D50)-D50</f>
        <v>0</v>
      </c>
      <c r="AI50" s="74">
        <f>('Instruction-4YR'!E50+'RESEARCH 4yr'!E50+'PUBLIC SERVICE 4yr'!E50+'ASptISptSSv 4yr'!E50+'PLANT OPER MAIN 4yr'!E50+'SCHOLAR FELLOW 4yr'!E50+'All Other 4yr'!E50)-E50</f>
        <v>0</v>
      </c>
      <c r="AJ50" s="74">
        <f>('Instruction-4YR'!F50+'RESEARCH 4yr'!F50+'PUBLIC SERVICE 4yr'!F50+'ASptISptSSv 4yr'!F50+'PLANT OPER MAIN 4yr'!F50+'SCHOLAR FELLOW 4yr'!F50+'All Other 4yr'!F50)-F50</f>
        <v>0</v>
      </c>
      <c r="AK50" s="74">
        <f>('Instruction-4YR'!G50+'RESEARCH 4yr'!G50+'PUBLIC SERVICE 4yr'!G50+'ASptISptSSv 4yr'!G50+'PLANT OPER MAIN 4yr'!G50+'SCHOLAR FELLOW 4yr'!G50+'All Other 4yr'!G50)-G50</f>
        <v>0</v>
      </c>
      <c r="AL50" s="74">
        <f>('Instruction-4YR'!H50+'RESEARCH 4yr'!H50+'PUBLIC SERVICE 4yr'!H50+'ASptISptSSv 4yr'!H50+'PLANT OPER MAIN 4yr'!H50+'SCHOLAR FELLOW 4yr'!H50+'All Other 4yr'!H50)-H50</f>
        <v>0</v>
      </c>
      <c r="AM50" s="74">
        <f>('Instruction-4YR'!I50+'RESEARCH 4yr'!I50+'PUBLIC SERVICE 4yr'!I50+'ASptISptSSv 4yr'!I50+'PLANT OPER MAIN 4yr'!I50+'SCHOLAR FELLOW 4yr'!I50+'All Other 4yr'!I50)-I50</f>
        <v>0</v>
      </c>
      <c r="AN50" s="74">
        <f>('Instruction-4YR'!J50+'RESEARCH 4yr'!J50+'PUBLIC SERVICE 4yr'!J50+'ASptISptSSv 4yr'!J50+'PLANT OPER MAIN 4yr'!J50+'SCHOLAR FELLOW 4yr'!J50+'All Other 4yr'!J50)-J50</f>
        <v>0</v>
      </c>
      <c r="AO50" s="74">
        <f>('Instruction-4YR'!K50+'RESEARCH 4yr'!K50+'PUBLIC SERVICE 4yr'!K50+'ASptISptSSv 4yr'!K50+'PLANT OPER MAIN 4yr'!K50+'SCHOLAR FELLOW 4yr'!K50+'All Other 4yr'!K50)-K50</f>
        <v>0</v>
      </c>
      <c r="AP50" s="74">
        <f>('Instruction-4YR'!L50+'RESEARCH 4yr'!L50+'PUBLIC SERVICE 4yr'!L50+'ASptISptSSv 4yr'!L50+'PLANT OPER MAIN 4yr'!L50+'SCHOLAR FELLOW 4yr'!L50+'All Other 4yr'!L50)-L50</f>
        <v>0</v>
      </c>
      <c r="AQ50" s="74">
        <f>('Instruction-4YR'!M50+'RESEARCH 4yr'!M50+'PUBLIC SERVICE 4yr'!M50+'ASptISptSSv 4yr'!M50+'PLANT OPER MAIN 4yr'!M50+'SCHOLAR FELLOW 4yr'!M50+'All Other 4yr'!M50)-M50</f>
        <v>0</v>
      </c>
      <c r="AR50" s="74">
        <f>('Instruction-4YR'!N50+'RESEARCH 4yr'!N50+'PUBLIC SERVICE 4yr'!N50+'ASptISptSSv 4yr'!N50+'PLANT OPER MAIN 4yr'!N50+'SCHOLAR FELLOW 4yr'!N50+'All Other 4yr'!N50)-N50</f>
        <v>0</v>
      </c>
      <c r="AS50" s="74">
        <f>('Instruction-4YR'!O50+'RESEARCH 4yr'!O50+'PUBLIC SERVICE 4yr'!O50+'ASptISptSSv 4yr'!O50+'PLANT OPER MAIN 4yr'!O50+'SCHOLAR FELLOW 4yr'!O50+'All Other 4yr'!O50)-O50</f>
        <v>0</v>
      </c>
      <c r="AT50" s="74">
        <f>('Instruction-4YR'!P50+'RESEARCH 4yr'!P50+'PUBLIC SERVICE 4yr'!P50+'ASptISptSSv 4yr'!P50+'PLANT OPER MAIN 4yr'!P50+'SCHOLAR FELLOW 4yr'!P50+'All Other 4yr'!P50)-P50</f>
        <v>0</v>
      </c>
      <c r="AU50" s="74">
        <f>('Instruction-4YR'!Q50+'RESEARCH 4yr'!Q50+'PUBLIC SERVICE 4yr'!Q50+'ASptISptSSv 4yr'!Q50+'PLANT OPER MAIN 4yr'!Q50+'SCHOLAR FELLOW 4yr'!Q50+'All Other 4yr'!Q50)-Q50</f>
        <v>0</v>
      </c>
      <c r="AV50" s="74">
        <f>('Instruction-4YR'!R50+'RESEARCH 4yr'!R50+'PUBLIC SERVICE 4yr'!R50+'ASptISptSSv 4yr'!R50+'PLANT OPER MAIN 4yr'!R50+'SCHOLAR FELLOW 4yr'!R50+'All Other 4yr'!R50)-R50</f>
        <v>0</v>
      </c>
      <c r="AW50" s="74">
        <f>('Instruction-4YR'!S50+'RESEARCH 4yr'!S50+'PUBLIC SERVICE 4yr'!S50+'ASptISptSSv 4yr'!S50+'PLANT OPER MAIN 4yr'!S50+'SCHOLAR FELLOW 4yr'!S50+'All Other 4yr'!S50)-S50</f>
        <v>0</v>
      </c>
      <c r="AX50" s="74">
        <f>('Instruction-4YR'!T50+'RESEARCH 4yr'!T50+'PUBLIC SERVICE 4yr'!T50+'ASptISptSSv 4yr'!T50+'PLANT OPER MAIN 4yr'!T50+'SCHOLAR FELLOW 4yr'!T50+'All Other 4yr'!T50)-T50</f>
        <v>0</v>
      </c>
      <c r="AY50" s="74">
        <f>('Instruction-4YR'!U50+'RESEARCH 4yr'!U50+'PUBLIC SERVICE 4yr'!U50+'ASptISptSSv 4yr'!U50+'PLANT OPER MAIN 4yr'!U50+'SCHOLAR FELLOW 4yr'!U50+'All Other 4yr'!U50)-U50</f>
        <v>0</v>
      </c>
      <c r="AZ50" s="74">
        <f>('Instruction-4YR'!V50+'RESEARCH 4yr'!V50+'PUBLIC SERVICE 4yr'!V50+'ASptISptSSv 4yr'!V50+'PLANT OPER MAIN 4yr'!V50+'SCHOLAR FELLOW 4yr'!V50+'All Other 4yr'!V50)-V50</f>
        <v>0</v>
      </c>
      <c r="BA50" s="74">
        <f>('Instruction-4YR'!W50+'RESEARCH 4yr'!W50+'PUBLIC SERVICE 4yr'!W50+'ASptISptSSv 4yr'!W50+'PLANT OPER MAIN 4yr'!W50+'SCHOLAR FELLOW 4yr'!W50+'All Other 4yr'!W50)-W50</f>
        <v>0</v>
      </c>
      <c r="BB50" s="74">
        <f>('Instruction-4YR'!X50+'RESEARCH 4yr'!X50+'PUBLIC SERVICE 4yr'!X50+'ASptISptSSv 4yr'!X50+'PLANT OPER MAIN 4yr'!X50+'SCHOLAR FELLOW 4yr'!X50+'All Other 4yr'!X50)-X50</f>
        <v>0</v>
      </c>
      <c r="BC50" s="74">
        <f>('Instruction-4YR'!Y50+'RESEARCH 4yr'!Y50+'PUBLIC SERVICE 4yr'!Y50+'ASptISptSSv 4yr'!Y50+'PLANT OPER MAIN 4yr'!Y50+'SCHOLAR FELLOW 4yr'!Y50+'All Other 4yr'!Y50)-Y50</f>
        <v>0</v>
      </c>
      <c r="BD50" s="74">
        <f>('Instruction-4YR'!Z50+'RESEARCH 4yr'!Z50+'PUBLIC SERVICE 4yr'!Z50+'ASptISptSSv 4yr'!Z50+'PLANT OPER MAIN 4yr'!Z50+'SCHOLAR FELLOW 4yr'!Z50+'All Other 4yr'!Z50)-Z50</f>
        <v>0</v>
      </c>
      <c r="BE50" s="74">
        <f>('Instruction-4YR'!AA50+'RESEARCH 4yr'!AA50+'PUBLIC SERVICE 4yr'!AA50+'ASptISptSSv 4yr'!AA50+'PLANT OPER MAIN 4yr'!AA50+'SCHOLAR FELLOW 4yr'!AA50+'All Other 4yr'!AA50)-AA50</f>
        <v>0</v>
      </c>
      <c r="BF50" s="74">
        <f>('Instruction-4YR'!AB50+'RESEARCH 4yr'!AB50+'PUBLIC SERVICE 4yr'!AB50+'ASptISptSSv 4yr'!AB50+'PLANT OPER MAIN 4yr'!AB50+'SCHOLAR FELLOW 4yr'!AB50+'All Other 4yr'!AB50)-AB50</f>
        <v>0</v>
      </c>
      <c r="BG50" s="74">
        <f>('Instruction-4YR'!AC50+'RESEARCH 4yr'!AC50+'PUBLIC SERVICE 4yr'!AC50+'ASptISptSSv 4yr'!AC50+'PLANT OPER MAIN 4yr'!AC50+'SCHOLAR FELLOW 4yr'!AC50+'All Other 4yr'!AC50)-AC50</f>
        <v>0</v>
      </c>
      <c r="BH50" s="74">
        <f>('Instruction-4YR'!AD50+'RESEARCH 4yr'!AD50+'PUBLIC SERVICE 4yr'!AD50+'ASptISptSSv 4yr'!AD50+'PLANT OPER MAIN 4yr'!AD50+'SCHOLAR FELLOW 4yr'!AD50+'All Other 4yr'!AD50)-AD50</f>
        <v>0</v>
      </c>
      <c r="BI50" s="74">
        <f>('Instruction-4YR'!AE50+'RESEARCH 4yr'!AE50+'PUBLIC SERVICE 4yr'!AE50+'ASptISptSSv 4yr'!AE50+'PLANT OPER MAIN 4yr'!AE50+'SCHOLAR FELLOW 4yr'!AE50+'All Other 4yr'!AE50)-AE50</f>
        <v>0</v>
      </c>
    </row>
    <row r="51" spans="1:61">
      <c r="A51" s="1" t="s">
        <v>66</v>
      </c>
      <c r="F51" s="41">
        <v>2902349.2069999999</v>
      </c>
      <c r="I51" s="1">
        <v>3164579.53</v>
      </c>
      <c r="K51" s="1">
        <v>3447829.8909999998</v>
      </c>
      <c r="L51" s="1">
        <v>3948677.9730000002</v>
      </c>
      <c r="M51" s="1">
        <v>4202145.47</v>
      </c>
      <c r="N51" s="1">
        <v>4788760.625</v>
      </c>
      <c r="O51" s="1">
        <v>5103917.6380000003</v>
      </c>
      <c r="P51" s="1">
        <v>5380408.6380000003</v>
      </c>
      <c r="Q51" s="1">
        <v>5797300.0180000002</v>
      </c>
      <c r="R51" s="1">
        <v>6236871.4139999999</v>
      </c>
      <c r="S51" s="1">
        <v>6582437.2180000003</v>
      </c>
      <c r="T51" s="1">
        <v>6954346.9879999999</v>
      </c>
      <c r="U51" s="1">
        <v>6634363.6469999999</v>
      </c>
      <c r="V51" s="1">
        <v>6803909.8310000002</v>
      </c>
      <c r="W51" s="1">
        <v>7129796.5810000002</v>
      </c>
      <c r="X51" s="1">
        <v>7105463.176</v>
      </c>
      <c r="Y51" s="1">
        <v>7262371.1330000004</v>
      </c>
      <c r="Z51" s="1">
        <v>7410239.1519999998</v>
      </c>
      <c r="AA51" s="1">
        <v>7457250.0460000001</v>
      </c>
      <c r="AB51" s="1">
        <v>7911820.4230000004</v>
      </c>
      <c r="AC51" s="1">
        <v>8437703.25</v>
      </c>
      <c r="AE51" s="1">
        <v>8831931.818</v>
      </c>
      <c r="AF51" s="74">
        <f>('Instruction-4YR'!B51+'RESEARCH 4yr'!B51+'PUBLIC SERVICE 4yr'!B51+'ASptISptSSv 4yr'!B51+'PLANT OPER MAIN 4yr'!B51+'SCHOLAR FELLOW 4yr'!B51+'All Other 4yr'!B51)-B51</f>
        <v>0</v>
      </c>
      <c r="AG51" s="74">
        <f>('Instruction-4YR'!C51+'RESEARCH 4yr'!C51+'PUBLIC SERVICE 4yr'!C51+'ASptISptSSv 4yr'!C51+'PLANT OPER MAIN 4yr'!C51+'SCHOLAR FELLOW 4yr'!C51+'All Other 4yr'!C51)-C51</f>
        <v>0</v>
      </c>
      <c r="AH51" s="74">
        <f>('Instruction-4YR'!D51+'RESEARCH 4yr'!D51+'PUBLIC SERVICE 4yr'!D51+'ASptISptSSv 4yr'!D51+'PLANT OPER MAIN 4yr'!D51+'SCHOLAR FELLOW 4yr'!D51+'All Other 4yr'!D51)-D51</f>
        <v>0</v>
      </c>
      <c r="AI51" s="74">
        <f>('Instruction-4YR'!E51+'RESEARCH 4yr'!E51+'PUBLIC SERVICE 4yr'!E51+'ASptISptSSv 4yr'!E51+'PLANT OPER MAIN 4yr'!E51+'SCHOLAR FELLOW 4yr'!E51+'All Other 4yr'!E51)-E51</f>
        <v>0</v>
      </c>
      <c r="AJ51" s="74">
        <f>('Instruction-4YR'!F51+'RESEARCH 4yr'!F51+'PUBLIC SERVICE 4yr'!F51+'ASptISptSSv 4yr'!F51+'PLANT OPER MAIN 4yr'!F51+'SCHOLAR FELLOW 4yr'!F51+'All Other 4yr'!F51)-F51</f>
        <v>0</v>
      </c>
      <c r="AK51" s="74">
        <f>('Instruction-4YR'!G51+'RESEARCH 4yr'!G51+'PUBLIC SERVICE 4yr'!G51+'ASptISptSSv 4yr'!G51+'PLANT OPER MAIN 4yr'!G51+'SCHOLAR FELLOW 4yr'!G51+'All Other 4yr'!G51)-G51</f>
        <v>0</v>
      </c>
      <c r="AL51" s="74">
        <f>('Instruction-4YR'!H51+'RESEARCH 4yr'!H51+'PUBLIC SERVICE 4yr'!H51+'ASptISptSSv 4yr'!H51+'PLANT OPER MAIN 4yr'!H51+'SCHOLAR FELLOW 4yr'!H51+'All Other 4yr'!H51)-H51</f>
        <v>0</v>
      </c>
      <c r="AM51" s="74">
        <f>('Instruction-4YR'!I51+'RESEARCH 4yr'!I51+'PUBLIC SERVICE 4yr'!I51+'ASptISptSSv 4yr'!I51+'PLANT OPER MAIN 4yr'!I51+'SCHOLAR FELLOW 4yr'!I51+'All Other 4yr'!I51)-I51</f>
        <v>0</v>
      </c>
      <c r="AN51" s="74">
        <f>('Instruction-4YR'!J51+'RESEARCH 4yr'!J51+'PUBLIC SERVICE 4yr'!J51+'ASptISptSSv 4yr'!J51+'PLANT OPER MAIN 4yr'!J51+'SCHOLAR FELLOW 4yr'!J51+'All Other 4yr'!J51)-J51</f>
        <v>0</v>
      </c>
      <c r="AO51" s="74">
        <f>('Instruction-4YR'!K51+'RESEARCH 4yr'!K51+'PUBLIC SERVICE 4yr'!K51+'ASptISptSSv 4yr'!K51+'PLANT OPER MAIN 4yr'!K51+'SCHOLAR FELLOW 4yr'!K51+'All Other 4yr'!K51)-K51</f>
        <v>0</v>
      </c>
      <c r="AP51" s="74">
        <f>('Instruction-4YR'!L51+'RESEARCH 4yr'!L51+'PUBLIC SERVICE 4yr'!L51+'ASptISptSSv 4yr'!L51+'PLANT OPER MAIN 4yr'!L51+'SCHOLAR FELLOW 4yr'!L51+'All Other 4yr'!L51)-L51</f>
        <v>0</v>
      </c>
      <c r="AQ51" s="74">
        <f>('Instruction-4YR'!M51+'RESEARCH 4yr'!M51+'PUBLIC SERVICE 4yr'!M51+'ASptISptSSv 4yr'!M51+'PLANT OPER MAIN 4yr'!M51+'SCHOLAR FELLOW 4yr'!M51+'All Other 4yr'!M51)-M51</f>
        <v>0</v>
      </c>
      <c r="AR51" s="74">
        <f>('Instruction-4YR'!N51+'RESEARCH 4yr'!N51+'PUBLIC SERVICE 4yr'!N51+'ASptISptSSv 4yr'!N51+'PLANT OPER MAIN 4yr'!N51+'SCHOLAR FELLOW 4yr'!N51+'All Other 4yr'!N51)-N51</f>
        <v>0</v>
      </c>
      <c r="AS51" s="74">
        <f>('Instruction-4YR'!O51+'RESEARCH 4yr'!O51+'PUBLIC SERVICE 4yr'!O51+'ASptISptSSv 4yr'!O51+'PLANT OPER MAIN 4yr'!O51+'SCHOLAR FELLOW 4yr'!O51+'All Other 4yr'!O51)-O51</f>
        <v>0</v>
      </c>
      <c r="AT51" s="74">
        <f>('Instruction-4YR'!P51+'RESEARCH 4yr'!P51+'PUBLIC SERVICE 4yr'!P51+'ASptISptSSv 4yr'!P51+'PLANT OPER MAIN 4yr'!P51+'SCHOLAR FELLOW 4yr'!P51+'All Other 4yr'!P51)-P51</f>
        <v>0</v>
      </c>
      <c r="AU51" s="74">
        <f>('Instruction-4YR'!Q51+'RESEARCH 4yr'!Q51+'PUBLIC SERVICE 4yr'!Q51+'ASptISptSSv 4yr'!Q51+'PLANT OPER MAIN 4yr'!Q51+'SCHOLAR FELLOW 4yr'!Q51+'All Other 4yr'!Q51)-Q51</f>
        <v>0</v>
      </c>
      <c r="AV51" s="74">
        <f>('Instruction-4YR'!R51+'RESEARCH 4yr'!R51+'PUBLIC SERVICE 4yr'!R51+'ASptISptSSv 4yr'!R51+'PLANT OPER MAIN 4yr'!R51+'SCHOLAR FELLOW 4yr'!R51+'All Other 4yr'!R51)-R51</f>
        <v>0</v>
      </c>
      <c r="AW51" s="74">
        <f>('Instruction-4YR'!S51+'RESEARCH 4yr'!S51+'PUBLIC SERVICE 4yr'!S51+'ASptISptSSv 4yr'!S51+'PLANT OPER MAIN 4yr'!S51+'SCHOLAR FELLOW 4yr'!S51+'All Other 4yr'!S51)-S51</f>
        <v>0</v>
      </c>
      <c r="AX51" s="74">
        <f>('Instruction-4YR'!T51+'RESEARCH 4yr'!T51+'PUBLIC SERVICE 4yr'!T51+'ASptISptSSv 4yr'!T51+'PLANT OPER MAIN 4yr'!T51+'SCHOLAR FELLOW 4yr'!T51+'All Other 4yr'!T51)-T51</f>
        <v>0</v>
      </c>
      <c r="AY51" s="74">
        <f>('Instruction-4YR'!U51+'RESEARCH 4yr'!U51+'PUBLIC SERVICE 4yr'!U51+'ASptISptSSv 4yr'!U51+'PLANT OPER MAIN 4yr'!U51+'SCHOLAR FELLOW 4yr'!U51+'All Other 4yr'!U51)-U51</f>
        <v>0</v>
      </c>
      <c r="AZ51" s="74">
        <f>('Instruction-4YR'!V51+'RESEARCH 4yr'!V51+'PUBLIC SERVICE 4yr'!V51+'ASptISptSSv 4yr'!V51+'PLANT OPER MAIN 4yr'!V51+'SCHOLAR FELLOW 4yr'!V51+'All Other 4yr'!V51)-V51</f>
        <v>0</v>
      </c>
      <c r="BA51" s="74">
        <f>('Instruction-4YR'!W51+'RESEARCH 4yr'!W51+'PUBLIC SERVICE 4yr'!W51+'ASptISptSSv 4yr'!W51+'PLANT OPER MAIN 4yr'!W51+'SCHOLAR FELLOW 4yr'!W51+'All Other 4yr'!W51)-W51</f>
        <v>0</v>
      </c>
      <c r="BB51" s="74">
        <f>('Instruction-4YR'!X51+'RESEARCH 4yr'!X51+'PUBLIC SERVICE 4yr'!X51+'ASptISptSSv 4yr'!X51+'PLANT OPER MAIN 4yr'!X51+'SCHOLAR FELLOW 4yr'!X51+'All Other 4yr'!X51)-X51</f>
        <v>0</v>
      </c>
      <c r="BC51" s="74">
        <f>('Instruction-4YR'!Y51+'RESEARCH 4yr'!Y51+'PUBLIC SERVICE 4yr'!Y51+'ASptISptSSv 4yr'!Y51+'PLANT OPER MAIN 4yr'!Y51+'SCHOLAR FELLOW 4yr'!Y51+'All Other 4yr'!Y51)-Y51</f>
        <v>0</v>
      </c>
      <c r="BD51" s="74">
        <f>('Instruction-4YR'!Z51+'RESEARCH 4yr'!Z51+'PUBLIC SERVICE 4yr'!Z51+'ASptISptSSv 4yr'!Z51+'PLANT OPER MAIN 4yr'!Z51+'SCHOLAR FELLOW 4yr'!Z51+'All Other 4yr'!Z51)-Z51</f>
        <v>0</v>
      </c>
      <c r="BE51" s="74">
        <f>('Instruction-4YR'!AA51+'RESEARCH 4yr'!AA51+'PUBLIC SERVICE 4yr'!AA51+'ASptISptSSv 4yr'!AA51+'PLANT OPER MAIN 4yr'!AA51+'SCHOLAR FELLOW 4yr'!AA51+'All Other 4yr'!AA51)-AA51</f>
        <v>0</v>
      </c>
      <c r="BF51" s="74">
        <f>('Instruction-4YR'!AB51+'RESEARCH 4yr'!AB51+'PUBLIC SERVICE 4yr'!AB51+'ASptISptSSv 4yr'!AB51+'PLANT OPER MAIN 4yr'!AB51+'SCHOLAR FELLOW 4yr'!AB51+'All Other 4yr'!AB51)-AB51</f>
        <v>0</v>
      </c>
      <c r="BG51" s="74">
        <f>('Instruction-4YR'!AC51+'RESEARCH 4yr'!AC51+'PUBLIC SERVICE 4yr'!AC51+'ASptISptSSv 4yr'!AC51+'PLANT OPER MAIN 4yr'!AC51+'SCHOLAR FELLOW 4yr'!AC51+'All Other 4yr'!AC51)-AC51</f>
        <v>0</v>
      </c>
      <c r="BH51" s="74">
        <f>('Instruction-4YR'!AD51+'RESEARCH 4yr'!AD51+'PUBLIC SERVICE 4yr'!AD51+'ASptISptSSv 4yr'!AD51+'PLANT OPER MAIN 4yr'!AD51+'SCHOLAR FELLOW 4yr'!AD51+'All Other 4yr'!AD51)-AD51</f>
        <v>0</v>
      </c>
      <c r="BI51" s="74">
        <f>('Instruction-4YR'!AE51+'RESEARCH 4yr'!AE51+'PUBLIC SERVICE 4yr'!AE51+'ASptISptSSv 4yr'!AE51+'PLANT OPER MAIN 4yr'!AE51+'SCHOLAR FELLOW 4yr'!AE51+'All Other 4yr'!AE51)-AE51</f>
        <v>0</v>
      </c>
    </row>
    <row r="52" spans="1:61">
      <c r="A52" s="1" t="s">
        <v>67</v>
      </c>
      <c r="F52" s="41">
        <v>208269.31</v>
      </c>
      <c r="I52" s="1">
        <v>236087.348</v>
      </c>
      <c r="K52" s="1">
        <v>245835.57588999998</v>
      </c>
      <c r="L52" s="1">
        <v>300247.94900000002</v>
      </c>
      <c r="M52" s="1">
        <v>318970.929</v>
      </c>
      <c r="N52" s="1">
        <v>352177.50199999998</v>
      </c>
      <c r="O52" s="1">
        <v>374953.489</v>
      </c>
      <c r="P52" s="1">
        <v>390350.37800000003</v>
      </c>
      <c r="Q52" s="1">
        <v>418491.141</v>
      </c>
      <c r="R52" s="1">
        <v>429692.64399999997</v>
      </c>
      <c r="S52" s="1">
        <v>475150.61700000003</v>
      </c>
      <c r="T52" s="1">
        <v>517285.565</v>
      </c>
      <c r="U52" s="1">
        <v>514529.37099999998</v>
      </c>
      <c r="V52" s="1">
        <v>592095.63600000006</v>
      </c>
      <c r="W52" s="1">
        <v>611684.90399999998</v>
      </c>
      <c r="X52" s="1">
        <v>645036.15899999999</v>
      </c>
      <c r="Y52" s="1">
        <v>619747.978</v>
      </c>
      <c r="Z52" s="1">
        <v>643422.56099999999</v>
      </c>
      <c r="AA52" s="1">
        <v>645285.53200000001</v>
      </c>
      <c r="AB52" s="1">
        <v>657654.804</v>
      </c>
      <c r="AC52" s="1">
        <v>696811.16599999997</v>
      </c>
      <c r="AE52" s="1">
        <v>722677.37899999996</v>
      </c>
      <c r="AF52" s="74">
        <f>('Instruction-4YR'!B52+'RESEARCH 4yr'!B52+'PUBLIC SERVICE 4yr'!B52+'ASptISptSSv 4yr'!B52+'PLANT OPER MAIN 4yr'!B52+'SCHOLAR FELLOW 4yr'!B52+'All Other 4yr'!B52)-B52</f>
        <v>0</v>
      </c>
      <c r="AG52" s="74">
        <f>('Instruction-4YR'!C52+'RESEARCH 4yr'!C52+'PUBLIC SERVICE 4yr'!C52+'ASptISptSSv 4yr'!C52+'PLANT OPER MAIN 4yr'!C52+'SCHOLAR FELLOW 4yr'!C52+'All Other 4yr'!C52)-C52</f>
        <v>0</v>
      </c>
      <c r="AH52" s="74">
        <f>('Instruction-4YR'!D52+'RESEARCH 4yr'!D52+'PUBLIC SERVICE 4yr'!D52+'ASptISptSSv 4yr'!D52+'PLANT OPER MAIN 4yr'!D52+'SCHOLAR FELLOW 4yr'!D52+'All Other 4yr'!D52)-D52</f>
        <v>0</v>
      </c>
      <c r="AI52" s="74">
        <f>('Instruction-4YR'!E52+'RESEARCH 4yr'!E52+'PUBLIC SERVICE 4yr'!E52+'ASptISptSSv 4yr'!E52+'PLANT OPER MAIN 4yr'!E52+'SCHOLAR FELLOW 4yr'!E52+'All Other 4yr'!E52)-E52</f>
        <v>0</v>
      </c>
      <c r="AJ52" s="74">
        <f>('Instruction-4YR'!F52+'RESEARCH 4yr'!F52+'PUBLIC SERVICE 4yr'!F52+'ASptISptSSv 4yr'!F52+'PLANT OPER MAIN 4yr'!F52+'SCHOLAR FELLOW 4yr'!F52+'All Other 4yr'!F52)-F52</f>
        <v>0</v>
      </c>
      <c r="AK52" s="74">
        <f>('Instruction-4YR'!G52+'RESEARCH 4yr'!G52+'PUBLIC SERVICE 4yr'!G52+'ASptISptSSv 4yr'!G52+'PLANT OPER MAIN 4yr'!G52+'SCHOLAR FELLOW 4yr'!G52+'All Other 4yr'!G52)-G52</f>
        <v>0</v>
      </c>
      <c r="AL52" s="74">
        <f>('Instruction-4YR'!H52+'RESEARCH 4yr'!H52+'PUBLIC SERVICE 4yr'!H52+'ASptISptSSv 4yr'!H52+'PLANT OPER MAIN 4yr'!H52+'SCHOLAR FELLOW 4yr'!H52+'All Other 4yr'!H52)-H52</f>
        <v>0</v>
      </c>
      <c r="AM52" s="74">
        <f>('Instruction-4YR'!I52+'RESEARCH 4yr'!I52+'PUBLIC SERVICE 4yr'!I52+'ASptISptSSv 4yr'!I52+'PLANT OPER MAIN 4yr'!I52+'SCHOLAR FELLOW 4yr'!I52+'All Other 4yr'!I52)-I52</f>
        <v>0</v>
      </c>
      <c r="AN52" s="74">
        <f>('Instruction-4YR'!J52+'RESEARCH 4yr'!J52+'PUBLIC SERVICE 4yr'!J52+'ASptISptSSv 4yr'!J52+'PLANT OPER MAIN 4yr'!J52+'SCHOLAR FELLOW 4yr'!J52+'All Other 4yr'!J52)-J52</f>
        <v>0</v>
      </c>
      <c r="AO52" s="74">
        <f>('Instruction-4YR'!K52+'RESEARCH 4yr'!K52+'PUBLIC SERVICE 4yr'!K52+'ASptISptSSv 4yr'!K52+'PLANT OPER MAIN 4yr'!K52+'SCHOLAR FELLOW 4yr'!K52+'All Other 4yr'!K52)-K52</f>
        <v>0</v>
      </c>
      <c r="AP52" s="74">
        <f>('Instruction-4YR'!L52+'RESEARCH 4yr'!L52+'PUBLIC SERVICE 4yr'!L52+'ASptISptSSv 4yr'!L52+'PLANT OPER MAIN 4yr'!L52+'SCHOLAR FELLOW 4yr'!L52+'All Other 4yr'!L52)-L52</f>
        <v>0</v>
      </c>
      <c r="AQ52" s="74">
        <f>('Instruction-4YR'!M52+'RESEARCH 4yr'!M52+'PUBLIC SERVICE 4yr'!M52+'ASptISptSSv 4yr'!M52+'PLANT OPER MAIN 4yr'!M52+'SCHOLAR FELLOW 4yr'!M52+'All Other 4yr'!M52)-M52</f>
        <v>0</v>
      </c>
      <c r="AR52" s="74">
        <f>('Instruction-4YR'!N52+'RESEARCH 4yr'!N52+'PUBLIC SERVICE 4yr'!N52+'ASptISptSSv 4yr'!N52+'PLANT OPER MAIN 4yr'!N52+'SCHOLAR FELLOW 4yr'!N52+'All Other 4yr'!N52)-N52</f>
        <v>0</v>
      </c>
      <c r="AS52" s="74">
        <f>('Instruction-4YR'!O52+'RESEARCH 4yr'!O52+'PUBLIC SERVICE 4yr'!O52+'ASptISptSSv 4yr'!O52+'PLANT OPER MAIN 4yr'!O52+'SCHOLAR FELLOW 4yr'!O52+'All Other 4yr'!O52)-O52</f>
        <v>0</v>
      </c>
      <c r="AT52" s="74">
        <f>('Instruction-4YR'!P52+'RESEARCH 4yr'!P52+'PUBLIC SERVICE 4yr'!P52+'ASptISptSSv 4yr'!P52+'PLANT OPER MAIN 4yr'!P52+'SCHOLAR FELLOW 4yr'!P52+'All Other 4yr'!P52)-P52</f>
        <v>0</v>
      </c>
      <c r="AU52" s="74">
        <f>('Instruction-4YR'!Q52+'RESEARCH 4yr'!Q52+'PUBLIC SERVICE 4yr'!Q52+'ASptISptSSv 4yr'!Q52+'PLANT OPER MAIN 4yr'!Q52+'SCHOLAR FELLOW 4yr'!Q52+'All Other 4yr'!Q52)-Q52</f>
        <v>0</v>
      </c>
      <c r="AV52" s="74">
        <f>('Instruction-4YR'!R52+'RESEARCH 4yr'!R52+'PUBLIC SERVICE 4yr'!R52+'ASptISptSSv 4yr'!R52+'PLANT OPER MAIN 4yr'!R52+'SCHOLAR FELLOW 4yr'!R52+'All Other 4yr'!R52)-R52</f>
        <v>0</v>
      </c>
      <c r="AW52" s="74">
        <f>('Instruction-4YR'!S52+'RESEARCH 4yr'!S52+'PUBLIC SERVICE 4yr'!S52+'ASptISptSSv 4yr'!S52+'PLANT OPER MAIN 4yr'!S52+'SCHOLAR FELLOW 4yr'!S52+'All Other 4yr'!S52)-S52</f>
        <v>0</v>
      </c>
      <c r="AX52" s="74">
        <f>('Instruction-4YR'!T52+'RESEARCH 4yr'!T52+'PUBLIC SERVICE 4yr'!T52+'ASptISptSSv 4yr'!T52+'PLANT OPER MAIN 4yr'!T52+'SCHOLAR FELLOW 4yr'!T52+'All Other 4yr'!T52)-T52</f>
        <v>0</v>
      </c>
      <c r="AY52" s="74">
        <f>('Instruction-4YR'!U52+'RESEARCH 4yr'!U52+'PUBLIC SERVICE 4yr'!U52+'ASptISptSSv 4yr'!U52+'PLANT OPER MAIN 4yr'!U52+'SCHOLAR FELLOW 4yr'!U52+'All Other 4yr'!U52)-U52</f>
        <v>0</v>
      </c>
      <c r="AZ52" s="74">
        <f>('Instruction-4YR'!V52+'RESEARCH 4yr'!V52+'PUBLIC SERVICE 4yr'!V52+'ASptISptSSv 4yr'!V52+'PLANT OPER MAIN 4yr'!V52+'SCHOLAR FELLOW 4yr'!V52+'All Other 4yr'!V52)-V52</f>
        <v>0</v>
      </c>
      <c r="BA52" s="74">
        <f>('Instruction-4YR'!W52+'RESEARCH 4yr'!W52+'PUBLIC SERVICE 4yr'!W52+'ASptISptSSv 4yr'!W52+'PLANT OPER MAIN 4yr'!W52+'SCHOLAR FELLOW 4yr'!W52+'All Other 4yr'!W52)-W52</f>
        <v>0</v>
      </c>
      <c r="BB52" s="74">
        <f>('Instruction-4YR'!X52+'RESEARCH 4yr'!X52+'PUBLIC SERVICE 4yr'!X52+'ASptISptSSv 4yr'!X52+'PLANT OPER MAIN 4yr'!X52+'SCHOLAR FELLOW 4yr'!X52+'All Other 4yr'!X52)-X52</f>
        <v>0</v>
      </c>
      <c r="BC52" s="74">
        <f>('Instruction-4YR'!Y52+'RESEARCH 4yr'!Y52+'PUBLIC SERVICE 4yr'!Y52+'ASptISptSSv 4yr'!Y52+'PLANT OPER MAIN 4yr'!Y52+'SCHOLAR FELLOW 4yr'!Y52+'All Other 4yr'!Y52)-Y52</f>
        <v>0</v>
      </c>
      <c r="BD52" s="74">
        <f>('Instruction-4YR'!Z52+'RESEARCH 4yr'!Z52+'PUBLIC SERVICE 4yr'!Z52+'ASptISptSSv 4yr'!Z52+'PLANT OPER MAIN 4yr'!Z52+'SCHOLAR FELLOW 4yr'!Z52+'All Other 4yr'!Z52)-Z52</f>
        <v>0</v>
      </c>
      <c r="BE52" s="74">
        <f>('Instruction-4YR'!AA52+'RESEARCH 4yr'!AA52+'PUBLIC SERVICE 4yr'!AA52+'ASptISptSSv 4yr'!AA52+'PLANT OPER MAIN 4yr'!AA52+'SCHOLAR FELLOW 4yr'!AA52+'All Other 4yr'!AA52)-AA52</f>
        <v>0</v>
      </c>
      <c r="BF52" s="74">
        <f>('Instruction-4YR'!AB52+'RESEARCH 4yr'!AB52+'PUBLIC SERVICE 4yr'!AB52+'ASptISptSSv 4yr'!AB52+'PLANT OPER MAIN 4yr'!AB52+'SCHOLAR FELLOW 4yr'!AB52+'All Other 4yr'!AB52)-AB52</f>
        <v>0</v>
      </c>
      <c r="BG52" s="74">
        <f>('Instruction-4YR'!AC52+'RESEARCH 4yr'!AC52+'PUBLIC SERVICE 4yr'!AC52+'ASptISptSSv 4yr'!AC52+'PLANT OPER MAIN 4yr'!AC52+'SCHOLAR FELLOW 4yr'!AC52+'All Other 4yr'!AC52)-AC52</f>
        <v>0</v>
      </c>
      <c r="BH52" s="74">
        <f>('Instruction-4YR'!AD52+'RESEARCH 4yr'!AD52+'PUBLIC SERVICE 4yr'!AD52+'ASptISptSSv 4yr'!AD52+'PLANT OPER MAIN 4yr'!AD52+'SCHOLAR FELLOW 4yr'!AD52+'All Other 4yr'!AD52)-AD52</f>
        <v>0</v>
      </c>
      <c r="BI52" s="74">
        <f>('Instruction-4YR'!AE52+'RESEARCH 4yr'!AE52+'PUBLIC SERVICE 4yr'!AE52+'ASptISptSSv 4yr'!AE52+'PLANT OPER MAIN 4yr'!AE52+'SCHOLAR FELLOW 4yr'!AE52+'All Other 4yr'!AE52)-AE52</f>
        <v>0</v>
      </c>
    </row>
    <row r="53" spans="1:61">
      <c r="A53" s="23" t="s">
        <v>68</v>
      </c>
      <c r="B53" s="23"/>
      <c r="C53" s="23"/>
      <c r="D53" s="23"/>
      <c r="E53" s="23"/>
      <c r="F53" s="44">
        <v>1746639.0759999999</v>
      </c>
      <c r="G53" s="23"/>
      <c r="H53" s="23"/>
      <c r="I53" s="23">
        <v>1913881.9269999999</v>
      </c>
      <c r="J53" s="23"/>
      <c r="K53" s="23">
        <v>2028908.5319999999</v>
      </c>
      <c r="L53" s="23">
        <v>2461042.733</v>
      </c>
      <c r="M53" s="23">
        <v>2678928.6690000002</v>
      </c>
      <c r="N53" s="23">
        <v>2596426.7370000002</v>
      </c>
      <c r="O53" s="23">
        <v>2746927.9750000001</v>
      </c>
      <c r="P53" s="23">
        <v>2957774.1</v>
      </c>
      <c r="Q53" s="23">
        <v>3051822.0789999999</v>
      </c>
      <c r="R53" s="23">
        <v>3169107.1290000002</v>
      </c>
      <c r="S53" s="23">
        <v>3423237.6579999998</v>
      </c>
      <c r="T53" s="23">
        <v>3630570.0610000002</v>
      </c>
      <c r="U53" s="23">
        <v>3864452.9010000001</v>
      </c>
      <c r="V53" s="23">
        <v>3817014.3769999999</v>
      </c>
      <c r="W53" s="23">
        <v>3971137.966</v>
      </c>
      <c r="X53" s="23">
        <v>4000914.5780000002</v>
      </c>
      <c r="Y53" s="23">
        <v>4058402.84</v>
      </c>
      <c r="Z53" s="23">
        <v>4250544.1380000003</v>
      </c>
      <c r="AA53" s="23">
        <v>4282825.0049999999</v>
      </c>
      <c r="AB53" s="23">
        <v>4450291.6459999997</v>
      </c>
      <c r="AC53" s="23">
        <v>4523187.8310000002</v>
      </c>
      <c r="AD53" s="23"/>
      <c r="AE53" s="23">
        <v>4973378.6380000003</v>
      </c>
      <c r="AF53" s="74">
        <f>('Instruction-4YR'!B53+'RESEARCH 4yr'!B53+'PUBLIC SERVICE 4yr'!B53+'ASptISptSSv 4yr'!B53+'PLANT OPER MAIN 4yr'!B53+'SCHOLAR FELLOW 4yr'!B53+'All Other 4yr'!B53)-B53</f>
        <v>0</v>
      </c>
      <c r="AG53" s="74">
        <f>('Instruction-4YR'!C53+'RESEARCH 4yr'!C53+'PUBLIC SERVICE 4yr'!C53+'ASptISptSSv 4yr'!C53+'PLANT OPER MAIN 4yr'!C53+'SCHOLAR FELLOW 4yr'!C53+'All Other 4yr'!C53)-C53</f>
        <v>0</v>
      </c>
      <c r="AH53" s="74">
        <f>('Instruction-4YR'!D53+'RESEARCH 4yr'!D53+'PUBLIC SERVICE 4yr'!D53+'ASptISptSSv 4yr'!D53+'PLANT OPER MAIN 4yr'!D53+'SCHOLAR FELLOW 4yr'!D53+'All Other 4yr'!D53)-D53</f>
        <v>0</v>
      </c>
      <c r="AI53" s="74">
        <f>('Instruction-4YR'!E53+'RESEARCH 4yr'!E53+'PUBLIC SERVICE 4yr'!E53+'ASptISptSSv 4yr'!E53+'PLANT OPER MAIN 4yr'!E53+'SCHOLAR FELLOW 4yr'!E53+'All Other 4yr'!E53)-E53</f>
        <v>0</v>
      </c>
      <c r="AJ53" s="74">
        <f>('Instruction-4YR'!F53+'RESEARCH 4yr'!F53+'PUBLIC SERVICE 4yr'!F53+'ASptISptSSv 4yr'!F53+'PLANT OPER MAIN 4yr'!F53+'SCHOLAR FELLOW 4yr'!F53+'All Other 4yr'!F53)-F53</f>
        <v>0</v>
      </c>
      <c r="AK53" s="74">
        <f>('Instruction-4YR'!G53+'RESEARCH 4yr'!G53+'PUBLIC SERVICE 4yr'!G53+'ASptISptSSv 4yr'!G53+'PLANT OPER MAIN 4yr'!G53+'SCHOLAR FELLOW 4yr'!G53+'All Other 4yr'!G53)-G53</f>
        <v>0</v>
      </c>
      <c r="AL53" s="74">
        <f>('Instruction-4YR'!H53+'RESEARCH 4yr'!H53+'PUBLIC SERVICE 4yr'!H53+'ASptISptSSv 4yr'!H53+'PLANT OPER MAIN 4yr'!H53+'SCHOLAR FELLOW 4yr'!H53+'All Other 4yr'!H53)-H53</f>
        <v>0</v>
      </c>
      <c r="AM53" s="74">
        <f>('Instruction-4YR'!I53+'RESEARCH 4yr'!I53+'PUBLIC SERVICE 4yr'!I53+'ASptISptSSv 4yr'!I53+'PLANT OPER MAIN 4yr'!I53+'SCHOLAR FELLOW 4yr'!I53+'All Other 4yr'!I53)-I53</f>
        <v>0</v>
      </c>
      <c r="AN53" s="74">
        <f>('Instruction-4YR'!J53+'RESEARCH 4yr'!J53+'PUBLIC SERVICE 4yr'!J53+'ASptISptSSv 4yr'!J53+'PLANT OPER MAIN 4yr'!J53+'SCHOLAR FELLOW 4yr'!J53+'All Other 4yr'!J53)-J53</f>
        <v>0</v>
      </c>
      <c r="AO53" s="74">
        <f>('Instruction-4YR'!K53+'RESEARCH 4yr'!K53+'PUBLIC SERVICE 4yr'!K53+'ASptISptSSv 4yr'!K53+'PLANT OPER MAIN 4yr'!K53+'SCHOLAR FELLOW 4yr'!K53+'All Other 4yr'!K53)-K53</f>
        <v>0</v>
      </c>
      <c r="AP53" s="74">
        <f>('Instruction-4YR'!L53+'RESEARCH 4yr'!L53+'PUBLIC SERVICE 4yr'!L53+'ASptISptSSv 4yr'!L53+'PLANT OPER MAIN 4yr'!L53+'SCHOLAR FELLOW 4yr'!L53+'All Other 4yr'!L53)-L53</f>
        <v>0</v>
      </c>
      <c r="AQ53" s="74">
        <f>('Instruction-4YR'!M53+'RESEARCH 4yr'!M53+'PUBLIC SERVICE 4yr'!M53+'ASptISptSSv 4yr'!M53+'PLANT OPER MAIN 4yr'!M53+'SCHOLAR FELLOW 4yr'!M53+'All Other 4yr'!M53)-M53</f>
        <v>0</v>
      </c>
      <c r="AR53" s="74">
        <f>('Instruction-4YR'!N53+'RESEARCH 4yr'!N53+'PUBLIC SERVICE 4yr'!N53+'ASptISptSSv 4yr'!N53+'PLANT OPER MAIN 4yr'!N53+'SCHOLAR FELLOW 4yr'!N53+'All Other 4yr'!N53)-N53</f>
        <v>0</v>
      </c>
      <c r="AS53" s="74">
        <f>('Instruction-4YR'!O53+'RESEARCH 4yr'!O53+'PUBLIC SERVICE 4yr'!O53+'ASptISptSSv 4yr'!O53+'PLANT OPER MAIN 4yr'!O53+'SCHOLAR FELLOW 4yr'!O53+'All Other 4yr'!O53)-O53</f>
        <v>0</v>
      </c>
      <c r="AT53" s="74">
        <f>('Instruction-4YR'!P53+'RESEARCH 4yr'!P53+'PUBLIC SERVICE 4yr'!P53+'ASptISptSSv 4yr'!P53+'PLANT OPER MAIN 4yr'!P53+'SCHOLAR FELLOW 4yr'!P53+'All Other 4yr'!P53)-P53</f>
        <v>0</v>
      </c>
      <c r="AU53" s="74">
        <f>('Instruction-4YR'!Q53+'RESEARCH 4yr'!Q53+'PUBLIC SERVICE 4yr'!Q53+'ASptISptSSv 4yr'!Q53+'PLANT OPER MAIN 4yr'!Q53+'SCHOLAR FELLOW 4yr'!Q53+'All Other 4yr'!Q53)-Q53</f>
        <v>0</v>
      </c>
      <c r="AV53" s="74">
        <f>('Instruction-4YR'!R53+'RESEARCH 4yr'!R53+'PUBLIC SERVICE 4yr'!R53+'ASptISptSSv 4yr'!R53+'PLANT OPER MAIN 4yr'!R53+'SCHOLAR FELLOW 4yr'!R53+'All Other 4yr'!R53)-R53</f>
        <v>0</v>
      </c>
      <c r="AW53" s="74">
        <f>('Instruction-4YR'!S53+'RESEARCH 4yr'!S53+'PUBLIC SERVICE 4yr'!S53+'ASptISptSSv 4yr'!S53+'PLANT OPER MAIN 4yr'!S53+'SCHOLAR FELLOW 4yr'!S53+'All Other 4yr'!S53)-S53</f>
        <v>0</v>
      </c>
      <c r="AX53" s="74">
        <f>('Instruction-4YR'!T53+'RESEARCH 4yr'!T53+'PUBLIC SERVICE 4yr'!T53+'ASptISptSSv 4yr'!T53+'PLANT OPER MAIN 4yr'!T53+'SCHOLAR FELLOW 4yr'!T53+'All Other 4yr'!T53)-T53</f>
        <v>0</v>
      </c>
      <c r="AY53" s="74">
        <f>('Instruction-4YR'!U53+'RESEARCH 4yr'!U53+'PUBLIC SERVICE 4yr'!U53+'ASptISptSSv 4yr'!U53+'PLANT OPER MAIN 4yr'!U53+'SCHOLAR FELLOW 4yr'!U53+'All Other 4yr'!U53)-U53</f>
        <v>0</v>
      </c>
      <c r="AZ53" s="74">
        <f>('Instruction-4YR'!V53+'RESEARCH 4yr'!V53+'PUBLIC SERVICE 4yr'!V53+'ASptISptSSv 4yr'!V53+'PLANT OPER MAIN 4yr'!V53+'SCHOLAR FELLOW 4yr'!V53+'All Other 4yr'!V53)-V53</f>
        <v>0</v>
      </c>
      <c r="BA53" s="74">
        <f>('Instruction-4YR'!W53+'RESEARCH 4yr'!W53+'PUBLIC SERVICE 4yr'!W53+'ASptISptSSv 4yr'!W53+'PLANT OPER MAIN 4yr'!W53+'SCHOLAR FELLOW 4yr'!W53+'All Other 4yr'!W53)-W53</f>
        <v>0</v>
      </c>
      <c r="BB53" s="74">
        <f>('Instruction-4YR'!X53+'RESEARCH 4yr'!X53+'PUBLIC SERVICE 4yr'!X53+'ASptISptSSv 4yr'!X53+'PLANT OPER MAIN 4yr'!X53+'SCHOLAR FELLOW 4yr'!X53+'All Other 4yr'!X53)-X53</f>
        <v>0</v>
      </c>
      <c r="BC53" s="74">
        <f>('Instruction-4YR'!Y53+'RESEARCH 4yr'!Y53+'PUBLIC SERVICE 4yr'!Y53+'ASptISptSSv 4yr'!Y53+'PLANT OPER MAIN 4yr'!Y53+'SCHOLAR FELLOW 4yr'!Y53+'All Other 4yr'!Y53)-Y53</f>
        <v>0</v>
      </c>
      <c r="BD53" s="74">
        <f>('Instruction-4YR'!Z53+'RESEARCH 4yr'!Z53+'PUBLIC SERVICE 4yr'!Z53+'ASptISptSSv 4yr'!Z53+'PLANT OPER MAIN 4yr'!Z53+'SCHOLAR FELLOW 4yr'!Z53+'All Other 4yr'!Z53)-Z53</f>
        <v>0</v>
      </c>
      <c r="BE53" s="74">
        <f>('Instruction-4YR'!AA53+'RESEARCH 4yr'!AA53+'PUBLIC SERVICE 4yr'!AA53+'ASptISptSSv 4yr'!AA53+'PLANT OPER MAIN 4yr'!AA53+'SCHOLAR FELLOW 4yr'!AA53+'All Other 4yr'!AA53)-AA53</f>
        <v>0</v>
      </c>
      <c r="BF53" s="74">
        <f>('Instruction-4YR'!AB53+'RESEARCH 4yr'!AB53+'PUBLIC SERVICE 4yr'!AB53+'ASptISptSSv 4yr'!AB53+'PLANT OPER MAIN 4yr'!AB53+'SCHOLAR FELLOW 4yr'!AB53+'All Other 4yr'!AB53)-AB53</f>
        <v>0</v>
      </c>
      <c r="BG53" s="74">
        <f>('Instruction-4YR'!AC53+'RESEARCH 4yr'!AC53+'PUBLIC SERVICE 4yr'!AC53+'ASptISptSSv 4yr'!AC53+'PLANT OPER MAIN 4yr'!AC53+'SCHOLAR FELLOW 4yr'!AC53+'All Other 4yr'!AC53)-AC53</f>
        <v>0</v>
      </c>
      <c r="BH53" s="74">
        <f>('Instruction-4YR'!AD53+'RESEARCH 4yr'!AD53+'PUBLIC SERVICE 4yr'!AD53+'ASptISptSSv 4yr'!AD53+'PLANT OPER MAIN 4yr'!AD53+'SCHOLAR FELLOW 4yr'!AD53+'All Other 4yr'!AD53)-AD53</f>
        <v>0</v>
      </c>
      <c r="BI53" s="74">
        <f>('Instruction-4YR'!AE53+'RESEARCH 4yr'!AE53+'PUBLIC SERVICE 4yr'!AE53+'ASptISptSSv 4yr'!AE53+'PLANT OPER MAIN 4yr'!AE53+'SCHOLAR FELLOW 4yr'!AE53+'All Other 4yr'!AE53)-AE53</f>
        <v>0</v>
      </c>
    </row>
    <row r="54" spans="1:61">
      <c r="A54" s="7" t="s">
        <v>69</v>
      </c>
      <c r="B54" s="47">
        <f>SUM(B56:B64)</f>
        <v>0</v>
      </c>
      <c r="C54" s="47">
        <f t="shared" ref="C54:AE54" si="16">SUM(C56:C64)</f>
        <v>0</v>
      </c>
      <c r="D54" s="47">
        <f t="shared" si="16"/>
        <v>0</v>
      </c>
      <c r="E54" s="47">
        <f t="shared" si="16"/>
        <v>0</v>
      </c>
      <c r="F54" s="47">
        <f t="shared" si="16"/>
        <v>9809798.5979999974</v>
      </c>
      <c r="G54" s="47">
        <f t="shared" si="16"/>
        <v>0</v>
      </c>
      <c r="H54" s="47">
        <f t="shared" si="16"/>
        <v>0</v>
      </c>
      <c r="I54" s="47">
        <f t="shared" si="16"/>
        <v>11488428.529000001</v>
      </c>
      <c r="J54" s="47">
        <f t="shared" si="16"/>
        <v>0</v>
      </c>
      <c r="K54" s="47">
        <f t="shared" si="16"/>
        <v>13303187.537999997</v>
      </c>
      <c r="L54" s="47">
        <f t="shared" si="16"/>
        <v>14355691.305000002</v>
      </c>
      <c r="M54" s="47">
        <f t="shared" si="16"/>
        <v>14729611.147</v>
      </c>
      <c r="N54" s="47">
        <f t="shared" si="16"/>
        <v>14604227.084000001</v>
      </c>
      <c r="O54" s="47">
        <f t="shared" si="16"/>
        <v>13552764.840999998</v>
      </c>
      <c r="P54" s="47">
        <f t="shared" si="16"/>
        <v>14410979.005000001</v>
      </c>
      <c r="Q54" s="47">
        <f t="shared" si="16"/>
        <v>17423564.274</v>
      </c>
      <c r="R54" s="47">
        <f t="shared" si="16"/>
        <v>17896992.756999999</v>
      </c>
      <c r="S54" s="47">
        <f t="shared" si="16"/>
        <v>19274531.454999998</v>
      </c>
      <c r="T54" s="47">
        <f t="shared" si="16"/>
        <v>20457165.549000002</v>
      </c>
      <c r="U54" s="47">
        <f t="shared" si="16"/>
        <v>19286260.318999998</v>
      </c>
      <c r="V54" s="47">
        <f t="shared" si="16"/>
        <v>21906760.593999997</v>
      </c>
      <c r="W54" s="47">
        <f t="shared" si="16"/>
        <v>23343123.076000001</v>
      </c>
      <c r="X54" s="47">
        <f t="shared" si="16"/>
        <v>23466354.151999999</v>
      </c>
      <c r="Y54" s="47">
        <f t="shared" si="16"/>
        <v>22862763.078999996</v>
      </c>
      <c r="Z54" s="47">
        <f t="shared" si="16"/>
        <v>24571034.355999999</v>
      </c>
      <c r="AA54" s="47">
        <f t="shared" si="16"/>
        <v>25408557.356000002</v>
      </c>
      <c r="AB54" s="47">
        <f t="shared" si="16"/>
        <v>27636300.696000002</v>
      </c>
      <c r="AC54" s="47">
        <f t="shared" si="16"/>
        <v>28686583.206999999</v>
      </c>
      <c r="AD54" s="47">
        <f t="shared" si="16"/>
        <v>0</v>
      </c>
      <c r="AE54" s="47">
        <f t="shared" si="16"/>
        <v>30658401.014000002</v>
      </c>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row>
    <row r="55" spans="1:61">
      <c r="A55" s="7" t="s">
        <v>97</v>
      </c>
      <c r="Y55" s="1">
        <v>0</v>
      </c>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row>
    <row r="56" spans="1:61">
      <c r="A56" s="1" t="s">
        <v>70</v>
      </c>
      <c r="F56" s="41">
        <v>623975.47699999996</v>
      </c>
      <c r="I56" s="1">
        <v>755227.08799999999</v>
      </c>
      <c r="K56" s="1">
        <v>758835.92099999997</v>
      </c>
      <c r="L56" s="1">
        <v>989442.17500000005</v>
      </c>
      <c r="M56" s="1">
        <v>1008456.02</v>
      </c>
      <c r="N56" s="1">
        <v>1346676.8770000001</v>
      </c>
      <c r="O56" s="1">
        <v>1458470.645</v>
      </c>
      <c r="P56" s="1">
        <v>1509608.0759999999</v>
      </c>
      <c r="Q56" s="1">
        <v>1754806.423</v>
      </c>
      <c r="R56" s="1">
        <v>1763148.3319999999</v>
      </c>
      <c r="S56" s="1">
        <v>1833829.851</v>
      </c>
      <c r="T56" s="1">
        <v>1978363.412</v>
      </c>
      <c r="U56" s="1">
        <v>1839676.64</v>
      </c>
      <c r="V56" s="1">
        <v>1830287.564</v>
      </c>
      <c r="W56" s="1">
        <v>1953061.365</v>
      </c>
      <c r="X56" s="1">
        <v>1922807.1089999999</v>
      </c>
      <c r="Y56" s="1">
        <v>1983598.4450000001</v>
      </c>
      <c r="Z56" s="1">
        <v>2117590.4219999998</v>
      </c>
      <c r="AA56" s="1">
        <v>2266547.5619999999</v>
      </c>
      <c r="AB56" s="1">
        <v>2364156.9479999999</v>
      </c>
      <c r="AC56" s="1">
        <v>2534658.321</v>
      </c>
      <c r="AE56" s="1">
        <v>2772545.449</v>
      </c>
      <c r="AF56" s="74">
        <f>('Instruction-4YR'!B56+'RESEARCH 4yr'!B56+'PUBLIC SERVICE 4yr'!B56+'ASptISptSSv 4yr'!B56+'PLANT OPER MAIN 4yr'!B56+'SCHOLAR FELLOW 4yr'!B56+'All Other 4yr'!B56)-B56</f>
        <v>0</v>
      </c>
      <c r="AG56" s="74">
        <f>('Instruction-4YR'!C56+'RESEARCH 4yr'!C56+'PUBLIC SERVICE 4yr'!C56+'ASptISptSSv 4yr'!C56+'PLANT OPER MAIN 4yr'!C56+'SCHOLAR FELLOW 4yr'!C56+'All Other 4yr'!C56)-C56</f>
        <v>0</v>
      </c>
      <c r="AH56" s="74">
        <f>('Instruction-4YR'!D56+'RESEARCH 4yr'!D56+'PUBLIC SERVICE 4yr'!D56+'ASptISptSSv 4yr'!D56+'PLANT OPER MAIN 4yr'!D56+'SCHOLAR FELLOW 4yr'!D56+'All Other 4yr'!D56)-D56</f>
        <v>0</v>
      </c>
      <c r="AI56" s="74">
        <f>('Instruction-4YR'!E56+'RESEARCH 4yr'!E56+'PUBLIC SERVICE 4yr'!E56+'ASptISptSSv 4yr'!E56+'PLANT OPER MAIN 4yr'!E56+'SCHOLAR FELLOW 4yr'!E56+'All Other 4yr'!E56)-E56</f>
        <v>0</v>
      </c>
      <c r="AJ56" s="74">
        <f>('Instruction-4YR'!F56+'RESEARCH 4yr'!F56+'PUBLIC SERVICE 4yr'!F56+'ASptISptSSv 4yr'!F56+'PLANT OPER MAIN 4yr'!F56+'SCHOLAR FELLOW 4yr'!F56+'All Other 4yr'!F56)-F56</f>
        <v>0</v>
      </c>
      <c r="AK56" s="74">
        <f>('Instruction-4YR'!G56+'RESEARCH 4yr'!G56+'PUBLIC SERVICE 4yr'!G56+'ASptISptSSv 4yr'!G56+'PLANT OPER MAIN 4yr'!G56+'SCHOLAR FELLOW 4yr'!G56+'All Other 4yr'!G56)-G56</f>
        <v>0</v>
      </c>
      <c r="AL56" s="74">
        <f>('Instruction-4YR'!H56+'RESEARCH 4yr'!H56+'PUBLIC SERVICE 4yr'!H56+'ASptISptSSv 4yr'!H56+'PLANT OPER MAIN 4yr'!H56+'SCHOLAR FELLOW 4yr'!H56+'All Other 4yr'!H56)-H56</f>
        <v>0</v>
      </c>
      <c r="AM56" s="74">
        <f>('Instruction-4YR'!I56+'RESEARCH 4yr'!I56+'PUBLIC SERVICE 4yr'!I56+'ASptISptSSv 4yr'!I56+'PLANT OPER MAIN 4yr'!I56+'SCHOLAR FELLOW 4yr'!I56+'All Other 4yr'!I56)-I56</f>
        <v>0</v>
      </c>
      <c r="AN56" s="74">
        <f>('Instruction-4YR'!J56+'RESEARCH 4yr'!J56+'PUBLIC SERVICE 4yr'!J56+'ASptISptSSv 4yr'!J56+'PLANT OPER MAIN 4yr'!J56+'SCHOLAR FELLOW 4yr'!J56+'All Other 4yr'!J56)-J56</f>
        <v>0</v>
      </c>
      <c r="AO56" s="74">
        <f>('Instruction-4YR'!K56+'RESEARCH 4yr'!K56+'PUBLIC SERVICE 4yr'!K56+'ASptISptSSv 4yr'!K56+'PLANT OPER MAIN 4yr'!K56+'SCHOLAR FELLOW 4yr'!K56+'All Other 4yr'!K56)-K56</f>
        <v>0</v>
      </c>
      <c r="AP56" s="74">
        <f>('Instruction-4YR'!L56+'RESEARCH 4yr'!L56+'PUBLIC SERVICE 4yr'!L56+'ASptISptSSv 4yr'!L56+'PLANT OPER MAIN 4yr'!L56+'SCHOLAR FELLOW 4yr'!L56+'All Other 4yr'!L56)-L56</f>
        <v>0</v>
      </c>
      <c r="AQ56" s="74">
        <f>('Instruction-4YR'!M56+'RESEARCH 4yr'!M56+'PUBLIC SERVICE 4yr'!M56+'ASptISptSSv 4yr'!M56+'PLANT OPER MAIN 4yr'!M56+'SCHOLAR FELLOW 4yr'!M56+'All Other 4yr'!M56)-M56</f>
        <v>0</v>
      </c>
      <c r="AR56" s="74">
        <f>('Instruction-4YR'!N56+'RESEARCH 4yr'!N56+'PUBLIC SERVICE 4yr'!N56+'ASptISptSSv 4yr'!N56+'PLANT OPER MAIN 4yr'!N56+'SCHOLAR FELLOW 4yr'!N56+'All Other 4yr'!N56)-N56</f>
        <v>0</v>
      </c>
      <c r="AS56" s="74">
        <f>('Instruction-4YR'!O56+'RESEARCH 4yr'!O56+'PUBLIC SERVICE 4yr'!O56+'ASptISptSSv 4yr'!O56+'PLANT OPER MAIN 4yr'!O56+'SCHOLAR FELLOW 4yr'!O56+'All Other 4yr'!O56)-O56</f>
        <v>0</v>
      </c>
      <c r="AT56" s="74">
        <f>('Instruction-4YR'!P56+'RESEARCH 4yr'!P56+'PUBLIC SERVICE 4yr'!P56+'ASptISptSSv 4yr'!P56+'PLANT OPER MAIN 4yr'!P56+'SCHOLAR FELLOW 4yr'!P56+'All Other 4yr'!P56)-P56</f>
        <v>0</v>
      </c>
      <c r="AU56" s="74">
        <f>('Instruction-4YR'!Q56+'RESEARCH 4yr'!Q56+'PUBLIC SERVICE 4yr'!Q56+'ASptISptSSv 4yr'!Q56+'PLANT OPER MAIN 4yr'!Q56+'SCHOLAR FELLOW 4yr'!Q56+'All Other 4yr'!Q56)-Q56</f>
        <v>0</v>
      </c>
      <c r="AV56" s="74">
        <f>('Instruction-4YR'!R56+'RESEARCH 4yr'!R56+'PUBLIC SERVICE 4yr'!R56+'ASptISptSSv 4yr'!R56+'PLANT OPER MAIN 4yr'!R56+'SCHOLAR FELLOW 4yr'!R56+'All Other 4yr'!R56)-R56</f>
        <v>0</v>
      </c>
      <c r="AW56" s="74">
        <f>('Instruction-4YR'!S56+'RESEARCH 4yr'!S56+'PUBLIC SERVICE 4yr'!S56+'ASptISptSSv 4yr'!S56+'PLANT OPER MAIN 4yr'!S56+'SCHOLAR FELLOW 4yr'!S56+'All Other 4yr'!S56)-S56</f>
        <v>0</v>
      </c>
      <c r="AX56" s="74">
        <f>('Instruction-4YR'!T56+'RESEARCH 4yr'!T56+'PUBLIC SERVICE 4yr'!T56+'ASptISptSSv 4yr'!T56+'PLANT OPER MAIN 4yr'!T56+'SCHOLAR FELLOW 4yr'!T56+'All Other 4yr'!T56)-T56</f>
        <v>0</v>
      </c>
      <c r="AY56" s="74">
        <f>('Instruction-4YR'!U56+'RESEARCH 4yr'!U56+'PUBLIC SERVICE 4yr'!U56+'ASptISptSSv 4yr'!U56+'PLANT OPER MAIN 4yr'!U56+'SCHOLAR FELLOW 4yr'!U56+'All Other 4yr'!U56)-U56</f>
        <v>0</v>
      </c>
      <c r="AZ56" s="74">
        <f>('Instruction-4YR'!V56+'RESEARCH 4yr'!V56+'PUBLIC SERVICE 4yr'!V56+'ASptISptSSv 4yr'!V56+'PLANT OPER MAIN 4yr'!V56+'SCHOLAR FELLOW 4yr'!V56+'All Other 4yr'!V56)-V56</f>
        <v>0</v>
      </c>
      <c r="BA56" s="74">
        <f>('Instruction-4YR'!W56+'RESEARCH 4yr'!W56+'PUBLIC SERVICE 4yr'!W56+'ASptISptSSv 4yr'!W56+'PLANT OPER MAIN 4yr'!W56+'SCHOLAR FELLOW 4yr'!W56+'All Other 4yr'!W56)-W56</f>
        <v>0</v>
      </c>
      <c r="BB56" s="74">
        <f>('Instruction-4YR'!X56+'RESEARCH 4yr'!X56+'PUBLIC SERVICE 4yr'!X56+'ASptISptSSv 4yr'!X56+'PLANT OPER MAIN 4yr'!X56+'SCHOLAR FELLOW 4yr'!X56+'All Other 4yr'!X56)-X56</f>
        <v>0</v>
      </c>
      <c r="BC56" s="74">
        <f>('Instruction-4YR'!Y56+'RESEARCH 4yr'!Y56+'PUBLIC SERVICE 4yr'!Y56+'ASptISptSSv 4yr'!Y56+'PLANT OPER MAIN 4yr'!Y56+'SCHOLAR FELLOW 4yr'!Y56+'All Other 4yr'!Y56)-Y56</f>
        <v>0</v>
      </c>
      <c r="BD56" s="74">
        <f>('Instruction-4YR'!Z56+'RESEARCH 4yr'!Z56+'PUBLIC SERVICE 4yr'!Z56+'ASptISptSSv 4yr'!Z56+'PLANT OPER MAIN 4yr'!Z56+'SCHOLAR FELLOW 4yr'!Z56+'All Other 4yr'!Z56)-Z56</f>
        <v>0</v>
      </c>
      <c r="BE56" s="74">
        <f>('Instruction-4YR'!AA56+'RESEARCH 4yr'!AA56+'PUBLIC SERVICE 4yr'!AA56+'ASptISptSSv 4yr'!AA56+'PLANT OPER MAIN 4yr'!AA56+'SCHOLAR FELLOW 4yr'!AA56+'All Other 4yr'!AA56)-AA56</f>
        <v>0</v>
      </c>
      <c r="BF56" s="74">
        <f>('Instruction-4YR'!AB56+'RESEARCH 4yr'!AB56+'PUBLIC SERVICE 4yr'!AB56+'ASptISptSSv 4yr'!AB56+'PLANT OPER MAIN 4yr'!AB56+'SCHOLAR FELLOW 4yr'!AB56+'All Other 4yr'!AB56)-AB56</f>
        <v>0</v>
      </c>
      <c r="BG56" s="74">
        <f>('Instruction-4YR'!AC56+'RESEARCH 4yr'!AC56+'PUBLIC SERVICE 4yr'!AC56+'ASptISptSSv 4yr'!AC56+'PLANT OPER MAIN 4yr'!AC56+'SCHOLAR FELLOW 4yr'!AC56+'All Other 4yr'!AC56)-AC56</f>
        <v>0</v>
      </c>
      <c r="BH56" s="74">
        <f>('Instruction-4YR'!AD56+'RESEARCH 4yr'!AD56+'PUBLIC SERVICE 4yr'!AD56+'ASptISptSSv 4yr'!AD56+'PLANT OPER MAIN 4yr'!AD56+'SCHOLAR FELLOW 4yr'!AD56+'All Other 4yr'!AD56)-AD56</f>
        <v>0</v>
      </c>
      <c r="BI56" s="74">
        <f>('Instruction-4YR'!AE56+'RESEARCH 4yr'!AE56+'PUBLIC SERVICE 4yr'!AE56+'ASptISptSSv 4yr'!AE56+'PLANT OPER MAIN 4yr'!AE56+'SCHOLAR FELLOW 4yr'!AE56+'All Other 4yr'!AE56)-AE56</f>
        <v>0</v>
      </c>
    </row>
    <row r="57" spans="1:61">
      <c r="A57" s="1" t="s">
        <v>71</v>
      </c>
      <c r="F57" s="41">
        <v>282933.28600000002</v>
      </c>
      <c r="I57" s="1">
        <v>305907.20899999997</v>
      </c>
      <c r="K57" s="1">
        <v>349688.99300000002</v>
      </c>
      <c r="L57" s="1">
        <v>393778.03700000001</v>
      </c>
      <c r="M57" s="1">
        <v>424684.15100000001</v>
      </c>
      <c r="N57" s="1">
        <v>482622.78600000002</v>
      </c>
      <c r="O57" s="1">
        <v>515466.1</v>
      </c>
      <c r="P57" s="1">
        <v>539611.41899999999</v>
      </c>
      <c r="Q57" s="1">
        <v>554059.05599999998</v>
      </c>
      <c r="R57" s="1">
        <v>571236.94200000004</v>
      </c>
      <c r="S57" s="1">
        <v>595952.42700000003</v>
      </c>
      <c r="T57" s="1">
        <v>632047.27599999995</v>
      </c>
      <c r="U57" s="1">
        <v>653245.10199999996</v>
      </c>
      <c r="V57" s="1">
        <v>658914.39</v>
      </c>
      <c r="W57" s="1">
        <v>680930.87199999997</v>
      </c>
      <c r="X57" s="1">
        <v>684057.26100000006</v>
      </c>
      <c r="Y57" s="1">
        <v>673576.61699999997</v>
      </c>
      <c r="Z57" s="1">
        <v>684136.81</v>
      </c>
      <c r="AA57" s="1">
        <v>684183.68700000003</v>
      </c>
      <c r="AB57" s="1">
        <v>705731.37100000004</v>
      </c>
      <c r="AC57" s="1">
        <v>729716.60699999996</v>
      </c>
      <c r="AE57" s="1">
        <v>781832.51399999997</v>
      </c>
      <c r="AF57" s="74">
        <f>('Instruction-4YR'!B57+'RESEARCH 4yr'!B57+'PUBLIC SERVICE 4yr'!B57+'ASptISptSSv 4yr'!B57+'PLANT OPER MAIN 4yr'!B57+'SCHOLAR FELLOW 4yr'!B57+'All Other 4yr'!B57)-B57</f>
        <v>0</v>
      </c>
      <c r="AG57" s="74">
        <f>('Instruction-4YR'!C57+'RESEARCH 4yr'!C57+'PUBLIC SERVICE 4yr'!C57+'ASptISptSSv 4yr'!C57+'PLANT OPER MAIN 4yr'!C57+'SCHOLAR FELLOW 4yr'!C57+'All Other 4yr'!C57)-C57</f>
        <v>0</v>
      </c>
      <c r="AH57" s="74">
        <f>('Instruction-4YR'!D57+'RESEARCH 4yr'!D57+'PUBLIC SERVICE 4yr'!D57+'ASptISptSSv 4yr'!D57+'PLANT OPER MAIN 4yr'!D57+'SCHOLAR FELLOW 4yr'!D57+'All Other 4yr'!D57)-D57</f>
        <v>0</v>
      </c>
      <c r="AI57" s="74">
        <f>('Instruction-4YR'!E57+'RESEARCH 4yr'!E57+'PUBLIC SERVICE 4yr'!E57+'ASptISptSSv 4yr'!E57+'PLANT OPER MAIN 4yr'!E57+'SCHOLAR FELLOW 4yr'!E57+'All Other 4yr'!E57)-E57</f>
        <v>0</v>
      </c>
      <c r="AJ57" s="74">
        <f>('Instruction-4YR'!F57+'RESEARCH 4yr'!F57+'PUBLIC SERVICE 4yr'!F57+'ASptISptSSv 4yr'!F57+'PLANT OPER MAIN 4yr'!F57+'SCHOLAR FELLOW 4yr'!F57+'All Other 4yr'!F57)-F57</f>
        <v>0</v>
      </c>
      <c r="AK57" s="74">
        <f>('Instruction-4YR'!G57+'RESEARCH 4yr'!G57+'PUBLIC SERVICE 4yr'!G57+'ASptISptSSv 4yr'!G57+'PLANT OPER MAIN 4yr'!G57+'SCHOLAR FELLOW 4yr'!G57+'All Other 4yr'!G57)-G57</f>
        <v>0</v>
      </c>
      <c r="AL57" s="74">
        <f>('Instruction-4YR'!H57+'RESEARCH 4yr'!H57+'PUBLIC SERVICE 4yr'!H57+'ASptISptSSv 4yr'!H57+'PLANT OPER MAIN 4yr'!H57+'SCHOLAR FELLOW 4yr'!H57+'All Other 4yr'!H57)-H57</f>
        <v>0</v>
      </c>
      <c r="AM57" s="74">
        <f>('Instruction-4YR'!I57+'RESEARCH 4yr'!I57+'PUBLIC SERVICE 4yr'!I57+'ASptISptSSv 4yr'!I57+'PLANT OPER MAIN 4yr'!I57+'SCHOLAR FELLOW 4yr'!I57+'All Other 4yr'!I57)-I57</f>
        <v>0</v>
      </c>
      <c r="AN57" s="74">
        <f>('Instruction-4YR'!J57+'RESEARCH 4yr'!J57+'PUBLIC SERVICE 4yr'!J57+'ASptISptSSv 4yr'!J57+'PLANT OPER MAIN 4yr'!J57+'SCHOLAR FELLOW 4yr'!J57+'All Other 4yr'!J57)-J57</f>
        <v>0</v>
      </c>
      <c r="AO57" s="74">
        <f>('Instruction-4YR'!K57+'RESEARCH 4yr'!K57+'PUBLIC SERVICE 4yr'!K57+'ASptISptSSv 4yr'!K57+'PLANT OPER MAIN 4yr'!K57+'SCHOLAR FELLOW 4yr'!K57+'All Other 4yr'!K57)-K57</f>
        <v>0</v>
      </c>
      <c r="AP57" s="74">
        <f>('Instruction-4YR'!L57+'RESEARCH 4yr'!L57+'PUBLIC SERVICE 4yr'!L57+'ASptISptSSv 4yr'!L57+'PLANT OPER MAIN 4yr'!L57+'SCHOLAR FELLOW 4yr'!L57+'All Other 4yr'!L57)-L57</f>
        <v>0</v>
      </c>
      <c r="AQ57" s="74">
        <f>('Instruction-4YR'!M57+'RESEARCH 4yr'!M57+'PUBLIC SERVICE 4yr'!M57+'ASptISptSSv 4yr'!M57+'PLANT OPER MAIN 4yr'!M57+'SCHOLAR FELLOW 4yr'!M57+'All Other 4yr'!M57)-M57</f>
        <v>0</v>
      </c>
      <c r="AR57" s="74">
        <f>('Instruction-4YR'!N57+'RESEARCH 4yr'!N57+'PUBLIC SERVICE 4yr'!N57+'ASptISptSSv 4yr'!N57+'PLANT OPER MAIN 4yr'!N57+'SCHOLAR FELLOW 4yr'!N57+'All Other 4yr'!N57)-N57</f>
        <v>0</v>
      </c>
      <c r="AS57" s="74">
        <f>('Instruction-4YR'!O57+'RESEARCH 4yr'!O57+'PUBLIC SERVICE 4yr'!O57+'ASptISptSSv 4yr'!O57+'PLANT OPER MAIN 4yr'!O57+'SCHOLAR FELLOW 4yr'!O57+'All Other 4yr'!O57)-O57</f>
        <v>0</v>
      </c>
      <c r="AT57" s="74">
        <f>('Instruction-4YR'!P57+'RESEARCH 4yr'!P57+'PUBLIC SERVICE 4yr'!P57+'ASptISptSSv 4yr'!P57+'PLANT OPER MAIN 4yr'!P57+'SCHOLAR FELLOW 4yr'!P57+'All Other 4yr'!P57)-P57</f>
        <v>0</v>
      </c>
      <c r="AU57" s="74">
        <f>('Instruction-4YR'!Q57+'RESEARCH 4yr'!Q57+'PUBLIC SERVICE 4yr'!Q57+'ASptISptSSv 4yr'!Q57+'PLANT OPER MAIN 4yr'!Q57+'SCHOLAR FELLOW 4yr'!Q57+'All Other 4yr'!Q57)-Q57</f>
        <v>0</v>
      </c>
      <c r="AV57" s="74">
        <f>('Instruction-4YR'!R57+'RESEARCH 4yr'!R57+'PUBLIC SERVICE 4yr'!R57+'ASptISptSSv 4yr'!R57+'PLANT OPER MAIN 4yr'!R57+'SCHOLAR FELLOW 4yr'!R57+'All Other 4yr'!R57)-R57</f>
        <v>0</v>
      </c>
      <c r="AW57" s="74">
        <f>('Instruction-4YR'!S57+'RESEARCH 4yr'!S57+'PUBLIC SERVICE 4yr'!S57+'ASptISptSSv 4yr'!S57+'PLANT OPER MAIN 4yr'!S57+'SCHOLAR FELLOW 4yr'!S57+'All Other 4yr'!S57)-S57</f>
        <v>0</v>
      </c>
      <c r="AX57" s="74">
        <f>('Instruction-4YR'!T57+'RESEARCH 4yr'!T57+'PUBLIC SERVICE 4yr'!T57+'ASptISptSSv 4yr'!T57+'PLANT OPER MAIN 4yr'!T57+'SCHOLAR FELLOW 4yr'!T57+'All Other 4yr'!T57)-T57</f>
        <v>0</v>
      </c>
      <c r="AY57" s="74">
        <f>('Instruction-4YR'!U57+'RESEARCH 4yr'!U57+'PUBLIC SERVICE 4yr'!U57+'ASptISptSSv 4yr'!U57+'PLANT OPER MAIN 4yr'!U57+'SCHOLAR FELLOW 4yr'!U57+'All Other 4yr'!U57)-U57</f>
        <v>0</v>
      </c>
      <c r="AZ57" s="74">
        <f>('Instruction-4YR'!V57+'RESEARCH 4yr'!V57+'PUBLIC SERVICE 4yr'!V57+'ASptISptSSv 4yr'!V57+'PLANT OPER MAIN 4yr'!V57+'SCHOLAR FELLOW 4yr'!V57+'All Other 4yr'!V57)-V57</f>
        <v>0</v>
      </c>
      <c r="BA57" s="74">
        <f>('Instruction-4YR'!W57+'RESEARCH 4yr'!W57+'PUBLIC SERVICE 4yr'!W57+'ASptISptSSv 4yr'!W57+'PLANT OPER MAIN 4yr'!W57+'SCHOLAR FELLOW 4yr'!W57+'All Other 4yr'!W57)-W57</f>
        <v>0</v>
      </c>
      <c r="BB57" s="74">
        <f>('Instruction-4YR'!X57+'RESEARCH 4yr'!X57+'PUBLIC SERVICE 4yr'!X57+'ASptISptSSv 4yr'!X57+'PLANT OPER MAIN 4yr'!X57+'SCHOLAR FELLOW 4yr'!X57+'All Other 4yr'!X57)-X57</f>
        <v>0</v>
      </c>
      <c r="BC57" s="74">
        <f>('Instruction-4YR'!Y57+'RESEARCH 4yr'!Y57+'PUBLIC SERVICE 4yr'!Y57+'ASptISptSSv 4yr'!Y57+'PLANT OPER MAIN 4yr'!Y57+'SCHOLAR FELLOW 4yr'!Y57+'All Other 4yr'!Y57)-Y57</f>
        <v>0</v>
      </c>
      <c r="BD57" s="74">
        <f>('Instruction-4YR'!Z57+'RESEARCH 4yr'!Z57+'PUBLIC SERVICE 4yr'!Z57+'ASptISptSSv 4yr'!Z57+'PLANT OPER MAIN 4yr'!Z57+'SCHOLAR FELLOW 4yr'!Z57+'All Other 4yr'!Z57)-Z57</f>
        <v>0</v>
      </c>
      <c r="BE57" s="74">
        <f>('Instruction-4YR'!AA57+'RESEARCH 4yr'!AA57+'PUBLIC SERVICE 4yr'!AA57+'ASptISptSSv 4yr'!AA57+'PLANT OPER MAIN 4yr'!AA57+'SCHOLAR FELLOW 4yr'!AA57+'All Other 4yr'!AA57)-AA57</f>
        <v>0</v>
      </c>
      <c r="BF57" s="74">
        <f>('Instruction-4YR'!AB57+'RESEARCH 4yr'!AB57+'PUBLIC SERVICE 4yr'!AB57+'ASptISptSSv 4yr'!AB57+'PLANT OPER MAIN 4yr'!AB57+'SCHOLAR FELLOW 4yr'!AB57+'All Other 4yr'!AB57)-AB57</f>
        <v>0</v>
      </c>
      <c r="BG57" s="74">
        <f>('Instruction-4YR'!AC57+'RESEARCH 4yr'!AC57+'PUBLIC SERVICE 4yr'!AC57+'ASptISptSSv 4yr'!AC57+'PLANT OPER MAIN 4yr'!AC57+'SCHOLAR FELLOW 4yr'!AC57+'All Other 4yr'!AC57)-AC57</f>
        <v>0</v>
      </c>
      <c r="BH57" s="74">
        <f>('Instruction-4YR'!AD57+'RESEARCH 4yr'!AD57+'PUBLIC SERVICE 4yr'!AD57+'ASptISptSSv 4yr'!AD57+'PLANT OPER MAIN 4yr'!AD57+'SCHOLAR FELLOW 4yr'!AD57+'All Other 4yr'!AD57)-AD57</f>
        <v>0</v>
      </c>
      <c r="BI57" s="74">
        <f>('Instruction-4YR'!AE57+'RESEARCH 4yr'!AE57+'PUBLIC SERVICE 4yr'!AE57+'ASptISptSSv 4yr'!AE57+'PLANT OPER MAIN 4yr'!AE57+'SCHOLAR FELLOW 4yr'!AE57+'All Other 4yr'!AE57)-AE57</f>
        <v>0</v>
      </c>
    </row>
    <row r="58" spans="1:61">
      <c r="A58" s="1" t="s">
        <v>72</v>
      </c>
      <c r="F58" s="41">
        <v>956528.09</v>
      </c>
      <c r="I58" s="1">
        <v>1089490.453</v>
      </c>
      <c r="K58" s="1">
        <v>1226513.0120000001</v>
      </c>
      <c r="L58" s="1">
        <v>1536888.665</v>
      </c>
      <c r="M58" s="1">
        <v>1655649.0209999999</v>
      </c>
      <c r="N58" s="1">
        <v>1797045.7109999999</v>
      </c>
      <c r="O58" s="1">
        <v>1806385.4080000001</v>
      </c>
      <c r="P58" s="1">
        <v>1922909.9439999999</v>
      </c>
      <c r="Q58" s="1">
        <v>2312762.8319999999</v>
      </c>
      <c r="R58" s="1">
        <v>2484774.75</v>
      </c>
      <c r="S58" s="1">
        <v>2635348.5129999998</v>
      </c>
      <c r="T58" s="1">
        <v>2716558.0269999998</v>
      </c>
      <c r="U58" s="1">
        <v>1994890.9850000001</v>
      </c>
      <c r="V58" s="1">
        <v>2949058.2030000002</v>
      </c>
      <c r="W58" s="1">
        <v>3160234.196</v>
      </c>
      <c r="X58" s="1">
        <v>3175585.5589999999</v>
      </c>
      <c r="Y58" s="1">
        <v>3294263.443</v>
      </c>
      <c r="Z58" s="1">
        <v>3485156.4160000002</v>
      </c>
      <c r="AA58" s="1">
        <v>3514215.1310000001</v>
      </c>
      <c r="AB58" s="1">
        <v>3904504.9980000001</v>
      </c>
      <c r="AC58" s="1">
        <v>3978724.4369999999</v>
      </c>
      <c r="AE58" s="1">
        <v>4217053.8039999995</v>
      </c>
      <c r="AF58" s="74">
        <f>('Instruction-4YR'!B58+'RESEARCH 4yr'!B58+'PUBLIC SERVICE 4yr'!B58+'ASptISptSSv 4yr'!B58+'PLANT OPER MAIN 4yr'!B58+'SCHOLAR FELLOW 4yr'!B58+'All Other 4yr'!B58)-B58</f>
        <v>0</v>
      </c>
      <c r="AG58" s="74">
        <f>('Instruction-4YR'!C58+'RESEARCH 4yr'!C58+'PUBLIC SERVICE 4yr'!C58+'ASptISptSSv 4yr'!C58+'PLANT OPER MAIN 4yr'!C58+'SCHOLAR FELLOW 4yr'!C58+'All Other 4yr'!C58)-C58</f>
        <v>0</v>
      </c>
      <c r="AH58" s="74">
        <f>('Instruction-4YR'!D58+'RESEARCH 4yr'!D58+'PUBLIC SERVICE 4yr'!D58+'ASptISptSSv 4yr'!D58+'PLANT OPER MAIN 4yr'!D58+'SCHOLAR FELLOW 4yr'!D58+'All Other 4yr'!D58)-D58</f>
        <v>0</v>
      </c>
      <c r="AI58" s="74">
        <f>('Instruction-4YR'!E58+'RESEARCH 4yr'!E58+'PUBLIC SERVICE 4yr'!E58+'ASptISptSSv 4yr'!E58+'PLANT OPER MAIN 4yr'!E58+'SCHOLAR FELLOW 4yr'!E58+'All Other 4yr'!E58)-E58</f>
        <v>0</v>
      </c>
      <c r="AJ58" s="74">
        <f>('Instruction-4YR'!F58+'RESEARCH 4yr'!F58+'PUBLIC SERVICE 4yr'!F58+'ASptISptSSv 4yr'!F58+'PLANT OPER MAIN 4yr'!F58+'SCHOLAR FELLOW 4yr'!F58+'All Other 4yr'!F58)-F58</f>
        <v>0</v>
      </c>
      <c r="AK58" s="74">
        <f>('Instruction-4YR'!G58+'RESEARCH 4yr'!G58+'PUBLIC SERVICE 4yr'!G58+'ASptISptSSv 4yr'!G58+'PLANT OPER MAIN 4yr'!G58+'SCHOLAR FELLOW 4yr'!G58+'All Other 4yr'!G58)-G58</f>
        <v>0</v>
      </c>
      <c r="AL58" s="74">
        <f>('Instruction-4YR'!H58+'RESEARCH 4yr'!H58+'PUBLIC SERVICE 4yr'!H58+'ASptISptSSv 4yr'!H58+'PLANT OPER MAIN 4yr'!H58+'SCHOLAR FELLOW 4yr'!H58+'All Other 4yr'!H58)-H58</f>
        <v>0</v>
      </c>
      <c r="AM58" s="74">
        <f>('Instruction-4YR'!I58+'RESEARCH 4yr'!I58+'PUBLIC SERVICE 4yr'!I58+'ASptISptSSv 4yr'!I58+'PLANT OPER MAIN 4yr'!I58+'SCHOLAR FELLOW 4yr'!I58+'All Other 4yr'!I58)-I58</f>
        <v>0</v>
      </c>
      <c r="AN58" s="74">
        <f>('Instruction-4YR'!J58+'RESEARCH 4yr'!J58+'PUBLIC SERVICE 4yr'!J58+'ASptISptSSv 4yr'!J58+'PLANT OPER MAIN 4yr'!J58+'SCHOLAR FELLOW 4yr'!J58+'All Other 4yr'!J58)-J58</f>
        <v>0</v>
      </c>
      <c r="AO58" s="74">
        <f>('Instruction-4YR'!K58+'RESEARCH 4yr'!K58+'PUBLIC SERVICE 4yr'!K58+'ASptISptSSv 4yr'!K58+'PLANT OPER MAIN 4yr'!K58+'SCHOLAR FELLOW 4yr'!K58+'All Other 4yr'!K58)-K58</f>
        <v>0</v>
      </c>
      <c r="AP58" s="74">
        <f>('Instruction-4YR'!L58+'RESEARCH 4yr'!L58+'PUBLIC SERVICE 4yr'!L58+'ASptISptSSv 4yr'!L58+'PLANT OPER MAIN 4yr'!L58+'SCHOLAR FELLOW 4yr'!L58+'All Other 4yr'!L58)-L58</f>
        <v>0</v>
      </c>
      <c r="AQ58" s="74">
        <f>('Instruction-4YR'!M58+'RESEARCH 4yr'!M58+'PUBLIC SERVICE 4yr'!M58+'ASptISptSSv 4yr'!M58+'PLANT OPER MAIN 4yr'!M58+'SCHOLAR FELLOW 4yr'!M58+'All Other 4yr'!M58)-M58</f>
        <v>0</v>
      </c>
      <c r="AR58" s="74">
        <f>('Instruction-4YR'!N58+'RESEARCH 4yr'!N58+'PUBLIC SERVICE 4yr'!N58+'ASptISptSSv 4yr'!N58+'PLANT OPER MAIN 4yr'!N58+'SCHOLAR FELLOW 4yr'!N58+'All Other 4yr'!N58)-N58</f>
        <v>0</v>
      </c>
      <c r="AS58" s="74">
        <f>('Instruction-4YR'!O58+'RESEARCH 4yr'!O58+'PUBLIC SERVICE 4yr'!O58+'ASptISptSSv 4yr'!O58+'PLANT OPER MAIN 4yr'!O58+'SCHOLAR FELLOW 4yr'!O58+'All Other 4yr'!O58)-O58</f>
        <v>0</v>
      </c>
      <c r="AT58" s="74">
        <f>('Instruction-4YR'!P58+'RESEARCH 4yr'!P58+'PUBLIC SERVICE 4yr'!P58+'ASptISptSSv 4yr'!P58+'PLANT OPER MAIN 4yr'!P58+'SCHOLAR FELLOW 4yr'!P58+'All Other 4yr'!P58)-P58</f>
        <v>0</v>
      </c>
      <c r="AU58" s="74">
        <f>('Instruction-4YR'!Q58+'RESEARCH 4yr'!Q58+'PUBLIC SERVICE 4yr'!Q58+'ASptISptSSv 4yr'!Q58+'PLANT OPER MAIN 4yr'!Q58+'SCHOLAR FELLOW 4yr'!Q58+'All Other 4yr'!Q58)-Q58</f>
        <v>0</v>
      </c>
      <c r="AV58" s="74">
        <f>('Instruction-4YR'!R58+'RESEARCH 4yr'!R58+'PUBLIC SERVICE 4yr'!R58+'ASptISptSSv 4yr'!R58+'PLANT OPER MAIN 4yr'!R58+'SCHOLAR FELLOW 4yr'!R58+'All Other 4yr'!R58)-R58</f>
        <v>0</v>
      </c>
      <c r="AW58" s="74">
        <f>('Instruction-4YR'!S58+'RESEARCH 4yr'!S58+'PUBLIC SERVICE 4yr'!S58+'ASptISptSSv 4yr'!S58+'PLANT OPER MAIN 4yr'!S58+'SCHOLAR FELLOW 4yr'!S58+'All Other 4yr'!S58)-S58</f>
        <v>0</v>
      </c>
      <c r="AX58" s="74">
        <f>('Instruction-4YR'!T58+'RESEARCH 4yr'!T58+'PUBLIC SERVICE 4yr'!T58+'ASptISptSSv 4yr'!T58+'PLANT OPER MAIN 4yr'!T58+'SCHOLAR FELLOW 4yr'!T58+'All Other 4yr'!T58)-T58</f>
        <v>0</v>
      </c>
      <c r="AY58" s="74">
        <f>('Instruction-4YR'!U58+'RESEARCH 4yr'!U58+'PUBLIC SERVICE 4yr'!U58+'ASptISptSSv 4yr'!U58+'PLANT OPER MAIN 4yr'!U58+'SCHOLAR FELLOW 4yr'!U58+'All Other 4yr'!U58)-U58</f>
        <v>0</v>
      </c>
      <c r="AZ58" s="74">
        <f>('Instruction-4YR'!V58+'RESEARCH 4yr'!V58+'PUBLIC SERVICE 4yr'!V58+'ASptISptSSv 4yr'!V58+'PLANT OPER MAIN 4yr'!V58+'SCHOLAR FELLOW 4yr'!V58+'All Other 4yr'!V58)-V58</f>
        <v>0</v>
      </c>
      <c r="BA58" s="74">
        <f>('Instruction-4YR'!W58+'RESEARCH 4yr'!W58+'PUBLIC SERVICE 4yr'!W58+'ASptISptSSv 4yr'!W58+'PLANT OPER MAIN 4yr'!W58+'SCHOLAR FELLOW 4yr'!W58+'All Other 4yr'!W58)-W58</f>
        <v>0</v>
      </c>
      <c r="BB58" s="74">
        <f>('Instruction-4YR'!X58+'RESEARCH 4yr'!X58+'PUBLIC SERVICE 4yr'!X58+'ASptISptSSv 4yr'!X58+'PLANT OPER MAIN 4yr'!X58+'SCHOLAR FELLOW 4yr'!X58+'All Other 4yr'!X58)-X58</f>
        <v>0</v>
      </c>
      <c r="BC58" s="74">
        <f>('Instruction-4YR'!Y58+'RESEARCH 4yr'!Y58+'PUBLIC SERVICE 4yr'!Y58+'ASptISptSSv 4yr'!Y58+'PLANT OPER MAIN 4yr'!Y58+'SCHOLAR FELLOW 4yr'!Y58+'All Other 4yr'!Y58)-Y58</f>
        <v>0</v>
      </c>
      <c r="BD58" s="74">
        <f>('Instruction-4YR'!Z58+'RESEARCH 4yr'!Z58+'PUBLIC SERVICE 4yr'!Z58+'ASptISptSSv 4yr'!Z58+'PLANT OPER MAIN 4yr'!Z58+'SCHOLAR FELLOW 4yr'!Z58+'All Other 4yr'!Z58)-Z58</f>
        <v>0</v>
      </c>
      <c r="BE58" s="74">
        <f>('Instruction-4YR'!AA58+'RESEARCH 4yr'!AA58+'PUBLIC SERVICE 4yr'!AA58+'ASptISptSSv 4yr'!AA58+'PLANT OPER MAIN 4yr'!AA58+'SCHOLAR FELLOW 4yr'!AA58+'All Other 4yr'!AA58)-AA58</f>
        <v>0</v>
      </c>
      <c r="BF58" s="74">
        <f>('Instruction-4YR'!AB58+'RESEARCH 4yr'!AB58+'PUBLIC SERVICE 4yr'!AB58+'ASptISptSSv 4yr'!AB58+'PLANT OPER MAIN 4yr'!AB58+'SCHOLAR FELLOW 4yr'!AB58+'All Other 4yr'!AB58)-AB58</f>
        <v>0</v>
      </c>
      <c r="BG58" s="74">
        <f>('Instruction-4YR'!AC58+'RESEARCH 4yr'!AC58+'PUBLIC SERVICE 4yr'!AC58+'ASptISptSSv 4yr'!AC58+'PLANT OPER MAIN 4yr'!AC58+'SCHOLAR FELLOW 4yr'!AC58+'All Other 4yr'!AC58)-AC58</f>
        <v>0</v>
      </c>
      <c r="BH58" s="74">
        <f>('Instruction-4YR'!AD58+'RESEARCH 4yr'!AD58+'PUBLIC SERVICE 4yr'!AD58+'ASptISptSSv 4yr'!AD58+'PLANT OPER MAIN 4yr'!AD58+'SCHOLAR FELLOW 4yr'!AD58+'All Other 4yr'!AD58)-AD58</f>
        <v>0</v>
      </c>
      <c r="BI58" s="74">
        <f>('Instruction-4YR'!AE58+'RESEARCH 4yr'!AE58+'PUBLIC SERVICE 4yr'!AE58+'ASptISptSSv 4yr'!AE58+'PLANT OPER MAIN 4yr'!AE58+'SCHOLAR FELLOW 4yr'!AE58+'All Other 4yr'!AE58)-AE58</f>
        <v>0</v>
      </c>
    </row>
    <row r="59" spans="1:61">
      <c r="A59" s="1" t="s">
        <v>73</v>
      </c>
      <c r="F59" s="41">
        <v>238283.30300000001</v>
      </c>
      <c r="I59" s="1">
        <v>281373.109</v>
      </c>
      <c r="K59" s="1">
        <v>304859.12199999997</v>
      </c>
      <c r="L59" s="1">
        <v>356371.84700000001</v>
      </c>
      <c r="M59" s="1">
        <v>381359.74300000002</v>
      </c>
      <c r="N59" s="1">
        <v>455929.77500000002</v>
      </c>
      <c r="O59" s="1">
        <v>472059.82199999999</v>
      </c>
      <c r="P59" s="1">
        <v>504509.69400000002</v>
      </c>
      <c r="Q59" s="1">
        <v>523719.16800000001</v>
      </c>
      <c r="R59" s="1">
        <v>554941.28200000001</v>
      </c>
      <c r="S59" s="1">
        <v>578862.72600000002</v>
      </c>
      <c r="T59" s="1">
        <v>592384.91</v>
      </c>
      <c r="U59" s="1">
        <v>594858.42500000005</v>
      </c>
      <c r="V59" s="1">
        <v>631733.85699999996</v>
      </c>
      <c r="W59" s="1">
        <v>693596.36</v>
      </c>
      <c r="X59" s="1">
        <v>691738.42200000002</v>
      </c>
      <c r="Y59" s="1">
        <v>702371.18599999999</v>
      </c>
      <c r="Z59" s="1">
        <v>704235.23199999996</v>
      </c>
      <c r="AA59" s="1">
        <v>740965.15700000001</v>
      </c>
      <c r="AB59" s="1">
        <v>793444.96900000004</v>
      </c>
      <c r="AC59" s="1">
        <v>795821.34499999997</v>
      </c>
      <c r="AE59" s="1">
        <v>835360.78799999994</v>
      </c>
      <c r="AF59" s="74">
        <f>('Instruction-4YR'!B59+'RESEARCH 4yr'!B59+'PUBLIC SERVICE 4yr'!B59+'ASptISptSSv 4yr'!B59+'PLANT OPER MAIN 4yr'!B59+'SCHOLAR FELLOW 4yr'!B59+'All Other 4yr'!B59)-B59</f>
        <v>0</v>
      </c>
      <c r="AG59" s="74">
        <f>('Instruction-4YR'!C59+'RESEARCH 4yr'!C59+'PUBLIC SERVICE 4yr'!C59+'ASptISptSSv 4yr'!C59+'PLANT OPER MAIN 4yr'!C59+'SCHOLAR FELLOW 4yr'!C59+'All Other 4yr'!C59)-C59</f>
        <v>0</v>
      </c>
      <c r="AH59" s="74">
        <f>('Instruction-4YR'!D59+'RESEARCH 4yr'!D59+'PUBLIC SERVICE 4yr'!D59+'ASptISptSSv 4yr'!D59+'PLANT OPER MAIN 4yr'!D59+'SCHOLAR FELLOW 4yr'!D59+'All Other 4yr'!D59)-D59</f>
        <v>0</v>
      </c>
      <c r="AI59" s="74">
        <f>('Instruction-4YR'!E59+'RESEARCH 4yr'!E59+'PUBLIC SERVICE 4yr'!E59+'ASptISptSSv 4yr'!E59+'PLANT OPER MAIN 4yr'!E59+'SCHOLAR FELLOW 4yr'!E59+'All Other 4yr'!E59)-E59</f>
        <v>0</v>
      </c>
      <c r="AJ59" s="74">
        <f>('Instruction-4YR'!F59+'RESEARCH 4yr'!F59+'PUBLIC SERVICE 4yr'!F59+'ASptISptSSv 4yr'!F59+'PLANT OPER MAIN 4yr'!F59+'SCHOLAR FELLOW 4yr'!F59+'All Other 4yr'!F59)-F59</f>
        <v>0</v>
      </c>
      <c r="AK59" s="74">
        <f>('Instruction-4YR'!G59+'RESEARCH 4yr'!G59+'PUBLIC SERVICE 4yr'!G59+'ASptISptSSv 4yr'!G59+'PLANT OPER MAIN 4yr'!G59+'SCHOLAR FELLOW 4yr'!G59+'All Other 4yr'!G59)-G59</f>
        <v>0</v>
      </c>
      <c r="AL59" s="74">
        <f>('Instruction-4YR'!H59+'RESEARCH 4yr'!H59+'PUBLIC SERVICE 4yr'!H59+'ASptISptSSv 4yr'!H59+'PLANT OPER MAIN 4yr'!H59+'SCHOLAR FELLOW 4yr'!H59+'All Other 4yr'!H59)-H59</f>
        <v>0</v>
      </c>
      <c r="AM59" s="74">
        <f>('Instruction-4YR'!I59+'RESEARCH 4yr'!I59+'PUBLIC SERVICE 4yr'!I59+'ASptISptSSv 4yr'!I59+'PLANT OPER MAIN 4yr'!I59+'SCHOLAR FELLOW 4yr'!I59+'All Other 4yr'!I59)-I59</f>
        <v>0</v>
      </c>
      <c r="AN59" s="74">
        <f>('Instruction-4YR'!J59+'RESEARCH 4yr'!J59+'PUBLIC SERVICE 4yr'!J59+'ASptISptSSv 4yr'!J59+'PLANT OPER MAIN 4yr'!J59+'SCHOLAR FELLOW 4yr'!J59+'All Other 4yr'!J59)-J59</f>
        <v>0</v>
      </c>
      <c r="AO59" s="74">
        <f>('Instruction-4YR'!K59+'RESEARCH 4yr'!K59+'PUBLIC SERVICE 4yr'!K59+'ASptISptSSv 4yr'!K59+'PLANT OPER MAIN 4yr'!K59+'SCHOLAR FELLOW 4yr'!K59+'All Other 4yr'!K59)-K59</f>
        <v>0</v>
      </c>
      <c r="AP59" s="74">
        <f>('Instruction-4YR'!L59+'RESEARCH 4yr'!L59+'PUBLIC SERVICE 4yr'!L59+'ASptISptSSv 4yr'!L59+'PLANT OPER MAIN 4yr'!L59+'SCHOLAR FELLOW 4yr'!L59+'All Other 4yr'!L59)-L59</f>
        <v>0</v>
      </c>
      <c r="AQ59" s="74">
        <f>('Instruction-4YR'!M59+'RESEARCH 4yr'!M59+'PUBLIC SERVICE 4yr'!M59+'ASptISptSSv 4yr'!M59+'PLANT OPER MAIN 4yr'!M59+'SCHOLAR FELLOW 4yr'!M59+'All Other 4yr'!M59)-M59</f>
        <v>0</v>
      </c>
      <c r="AR59" s="74">
        <f>('Instruction-4YR'!N59+'RESEARCH 4yr'!N59+'PUBLIC SERVICE 4yr'!N59+'ASptISptSSv 4yr'!N59+'PLANT OPER MAIN 4yr'!N59+'SCHOLAR FELLOW 4yr'!N59+'All Other 4yr'!N59)-N59</f>
        <v>0</v>
      </c>
      <c r="AS59" s="74">
        <f>('Instruction-4YR'!O59+'RESEARCH 4yr'!O59+'PUBLIC SERVICE 4yr'!O59+'ASptISptSSv 4yr'!O59+'PLANT OPER MAIN 4yr'!O59+'SCHOLAR FELLOW 4yr'!O59+'All Other 4yr'!O59)-O59</f>
        <v>0</v>
      </c>
      <c r="AT59" s="74">
        <f>('Instruction-4YR'!P59+'RESEARCH 4yr'!P59+'PUBLIC SERVICE 4yr'!P59+'ASptISptSSv 4yr'!P59+'PLANT OPER MAIN 4yr'!P59+'SCHOLAR FELLOW 4yr'!P59+'All Other 4yr'!P59)-P59</f>
        <v>0</v>
      </c>
      <c r="AU59" s="74">
        <f>('Instruction-4YR'!Q59+'RESEARCH 4yr'!Q59+'PUBLIC SERVICE 4yr'!Q59+'ASptISptSSv 4yr'!Q59+'PLANT OPER MAIN 4yr'!Q59+'SCHOLAR FELLOW 4yr'!Q59+'All Other 4yr'!Q59)-Q59</f>
        <v>0</v>
      </c>
      <c r="AV59" s="74">
        <f>('Instruction-4YR'!R59+'RESEARCH 4yr'!R59+'PUBLIC SERVICE 4yr'!R59+'ASptISptSSv 4yr'!R59+'PLANT OPER MAIN 4yr'!R59+'SCHOLAR FELLOW 4yr'!R59+'All Other 4yr'!R59)-R59</f>
        <v>0</v>
      </c>
      <c r="AW59" s="74">
        <f>('Instruction-4YR'!S59+'RESEARCH 4yr'!S59+'PUBLIC SERVICE 4yr'!S59+'ASptISptSSv 4yr'!S59+'PLANT OPER MAIN 4yr'!S59+'SCHOLAR FELLOW 4yr'!S59+'All Other 4yr'!S59)-S59</f>
        <v>0</v>
      </c>
      <c r="AX59" s="74">
        <f>('Instruction-4YR'!T59+'RESEARCH 4yr'!T59+'PUBLIC SERVICE 4yr'!T59+'ASptISptSSv 4yr'!T59+'PLANT OPER MAIN 4yr'!T59+'SCHOLAR FELLOW 4yr'!T59+'All Other 4yr'!T59)-T59</f>
        <v>0</v>
      </c>
      <c r="AY59" s="74">
        <f>('Instruction-4YR'!U59+'RESEARCH 4yr'!U59+'PUBLIC SERVICE 4yr'!U59+'ASptISptSSv 4yr'!U59+'PLANT OPER MAIN 4yr'!U59+'SCHOLAR FELLOW 4yr'!U59+'All Other 4yr'!U59)-U59</f>
        <v>0</v>
      </c>
      <c r="AZ59" s="74">
        <f>('Instruction-4YR'!V59+'RESEARCH 4yr'!V59+'PUBLIC SERVICE 4yr'!V59+'ASptISptSSv 4yr'!V59+'PLANT OPER MAIN 4yr'!V59+'SCHOLAR FELLOW 4yr'!V59+'All Other 4yr'!V59)-V59</f>
        <v>0</v>
      </c>
      <c r="BA59" s="74">
        <f>('Instruction-4YR'!W59+'RESEARCH 4yr'!W59+'PUBLIC SERVICE 4yr'!W59+'ASptISptSSv 4yr'!W59+'PLANT OPER MAIN 4yr'!W59+'SCHOLAR FELLOW 4yr'!W59+'All Other 4yr'!W59)-W59</f>
        <v>0</v>
      </c>
      <c r="BB59" s="74">
        <f>('Instruction-4YR'!X59+'RESEARCH 4yr'!X59+'PUBLIC SERVICE 4yr'!X59+'ASptISptSSv 4yr'!X59+'PLANT OPER MAIN 4yr'!X59+'SCHOLAR FELLOW 4yr'!X59+'All Other 4yr'!X59)-X59</f>
        <v>0</v>
      </c>
      <c r="BC59" s="74">
        <f>('Instruction-4YR'!Y59+'RESEARCH 4yr'!Y59+'PUBLIC SERVICE 4yr'!Y59+'ASptISptSSv 4yr'!Y59+'PLANT OPER MAIN 4yr'!Y59+'SCHOLAR FELLOW 4yr'!Y59+'All Other 4yr'!Y59)-Y59</f>
        <v>0</v>
      </c>
      <c r="BD59" s="74">
        <f>('Instruction-4YR'!Z59+'RESEARCH 4yr'!Z59+'PUBLIC SERVICE 4yr'!Z59+'ASptISptSSv 4yr'!Z59+'PLANT OPER MAIN 4yr'!Z59+'SCHOLAR FELLOW 4yr'!Z59+'All Other 4yr'!Z59)-Z59</f>
        <v>0</v>
      </c>
      <c r="BE59" s="74">
        <f>('Instruction-4YR'!AA59+'RESEARCH 4yr'!AA59+'PUBLIC SERVICE 4yr'!AA59+'ASptISptSSv 4yr'!AA59+'PLANT OPER MAIN 4yr'!AA59+'SCHOLAR FELLOW 4yr'!AA59+'All Other 4yr'!AA59)-AA59</f>
        <v>0</v>
      </c>
      <c r="BF59" s="74">
        <f>('Instruction-4YR'!AB59+'RESEARCH 4yr'!AB59+'PUBLIC SERVICE 4yr'!AB59+'ASptISptSSv 4yr'!AB59+'PLANT OPER MAIN 4yr'!AB59+'SCHOLAR FELLOW 4yr'!AB59+'All Other 4yr'!AB59)-AB59</f>
        <v>0</v>
      </c>
      <c r="BG59" s="74">
        <f>('Instruction-4YR'!AC59+'RESEARCH 4yr'!AC59+'PUBLIC SERVICE 4yr'!AC59+'ASptISptSSv 4yr'!AC59+'PLANT OPER MAIN 4yr'!AC59+'SCHOLAR FELLOW 4yr'!AC59+'All Other 4yr'!AC59)-AC59</f>
        <v>0</v>
      </c>
      <c r="BH59" s="74">
        <f>('Instruction-4YR'!AD59+'RESEARCH 4yr'!AD59+'PUBLIC SERVICE 4yr'!AD59+'ASptISptSSv 4yr'!AD59+'PLANT OPER MAIN 4yr'!AD59+'SCHOLAR FELLOW 4yr'!AD59+'All Other 4yr'!AD59)-AD59</f>
        <v>0</v>
      </c>
      <c r="BI59" s="74">
        <f>('Instruction-4YR'!AE59+'RESEARCH 4yr'!AE59+'PUBLIC SERVICE 4yr'!AE59+'ASptISptSSv 4yr'!AE59+'PLANT OPER MAIN 4yr'!AE59+'SCHOLAR FELLOW 4yr'!AE59+'All Other 4yr'!AE59)-AE59</f>
        <v>0</v>
      </c>
    </row>
    <row r="60" spans="1:61">
      <c r="A60" s="1" t="s">
        <v>74</v>
      </c>
      <c r="F60" s="41">
        <v>946904.94099999999</v>
      </c>
      <c r="I60" s="1">
        <v>1131435.4269999999</v>
      </c>
      <c r="K60" s="1">
        <v>2086503.9509999999</v>
      </c>
      <c r="L60" s="1">
        <v>1522874.804</v>
      </c>
      <c r="M60" s="1">
        <v>1655674.2379999999</v>
      </c>
      <c r="N60" s="1">
        <v>1841931.3319999999</v>
      </c>
      <c r="O60" s="1">
        <v>1920621.94</v>
      </c>
      <c r="P60" s="1">
        <v>1943437.834</v>
      </c>
      <c r="Q60" s="1">
        <v>3500518.8250000002</v>
      </c>
      <c r="R60" s="1">
        <v>3666201.6690000002</v>
      </c>
      <c r="S60" s="1">
        <v>3792877.659</v>
      </c>
      <c r="T60" s="1">
        <v>3984484.6310000001</v>
      </c>
      <c r="U60" s="1">
        <v>3489525.8220000002</v>
      </c>
      <c r="V60" s="1">
        <v>4264083.2970000003</v>
      </c>
      <c r="W60" s="1">
        <v>4433665.5379999997</v>
      </c>
      <c r="X60" s="1">
        <v>4608729.9239999996</v>
      </c>
      <c r="Y60" s="1">
        <v>4066836.4920000001</v>
      </c>
      <c r="Z60" s="1">
        <v>5023202</v>
      </c>
      <c r="AA60" s="1">
        <v>5164755.12</v>
      </c>
      <c r="AB60" s="1">
        <v>5403337.2300000004</v>
      </c>
      <c r="AC60" s="1">
        <v>5994301.0049999999</v>
      </c>
      <c r="AE60" s="1">
        <v>6682991.0369999995</v>
      </c>
      <c r="AF60" s="74">
        <f>('Instruction-4YR'!B60+'RESEARCH 4yr'!B60+'PUBLIC SERVICE 4yr'!B60+'ASptISptSSv 4yr'!B60+'PLANT OPER MAIN 4yr'!B60+'SCHOLAR FELLOW 4yr'!B60+'All Other 4yr'!B60)-B60</f>
        <v>0</v>
      </c>
      <c r="AG60" s="74">
        <f>('Instruction-4YR'!C60+'RESEARCH 4yr'!C60+'PUBLIC SERVICE 4yr'!C60+'ASptISptSSv 4yr'!C60+'PLANT OPER MAIN 4yr'!C60+'SCHOLAR FELLOW 4yr'!C60+'All Other 4yr'!C60)-C60</f>
        <v>0</v>
      </c>
      <c r="AH60" s="74">
        <f>('Instruction-4YR'!D60+'RESEARCH 4yr'!D60+'PUBLIC SERVICE 4yr'!D60+'ASptISptSSv 4yr'!D60+'PLANT OPER MAIN 4yr'!D60+'SCHOLAR FELLOW 4yr'!D60+'All Other 4yr'!D60)-D60</f>
        <v>0</v>
      </c>
      <c r="AI60" s="74">
        <f>('Instruction-4YR'!E60+'RESEARCH 4yr'!E60+'PUBLIC SERVICE 4yr'!E60+'ASptISptSSv 4yr'!E60+'PLANT OPER MAIN 4yr'!E60+'SCHOLAR FELLOW 4yr'!E60+'All Other 4yr'!E60)-E60</f>
        <v>0</v>
      </c>
      <c r="AJ60" s="74">
        <f>('Instruction-4YR'!F60+'RESEARCH 4yr'!F60+'PUBLIC SERVICE 4yr'!F60+'ASptISptSSv 4yr'!F60+'PLANT OPER MAIN 4yr'!F60+'SCHOLAR FELLOW 4yr'!F60+'All Other 4yr'!F60)-F60</f>
        <v>0</v>
      </c>
      <c r="AK60" s="74">
        <f>('Instruction-4YR'!G60+'RESEARCH 4yr'!G60+'PUBLIC SERVICE 4yr'!G60+'ASptISptSSv 4yr'!G60+'PLANT OPER MAIN 4yr'!G60+'SCHOLAR FELLOW 4yr'!G60+'All Other 4yr'!G60)-G60</f>
        <v>0</v>
      </c>
      <c r="AL60" s="74">
        <f>('Instruction-4YR'!H60+'RESEARCH 4yr'!H60+'PUBLIC SERVICE 4yr'!H60+'ASptISptSSv 4yr'!H60+'PLANT OPER MAIN 4yr'!H60+'SCHOLAR FELLOW 4yr'!H60+'All Other 4yr'!H60)-H60</f>
        <v>0</v>
      </c>
      <c r="AM60" s="74">
        <f>('Instruction-4YR'!I60+'RESEARCH 4yr'!I60+'PUBLIC SERVICE 4yr'!I60+'ASptISptSSv 4yr'!I60+'PLANT OPER MAIN 4yr'!I60+'SCHOLAR FELLOW 4yr'!I60+'All Other 4yr'!I60)-I60</f>
        <v>0</v>
      </c>
      <c r="AN60" s="74">
        <f>('Instruction-4YR'!J60+'RESEARCH 4yr'!J60+'PUBLIC SERVICE 4yr'!J60+'ASptISptSSv 4yr'!J60+'PLANT OPER MAIN 4yr'!J60+'SCHOLAR FELLOW 4yr'!J60+'All Other 4yr'!J60)-J60</f>
        <v>0</v>
      </c>
      <c r="AO60" s="74">
        <f>('Instruction-4YR'!K60+'RESEARCH 4yr'!K60+'PUBLIC SERVICE 4yr'!K60+'ASptISptSSv 4yr'!K60+'PLANT OPER MAIN 4yr'!K60+'SCHOLAR FELLOW 4yr'!K60+'All Other 4yr'!K60)-K60</f>
        <v>0</v>
      </c>
      <c r="AP60" s="74">
        <f>('Instruction-4YR'!L60+'RESEARCH 4yr'!L60+'PUBLIC SERVICE 4yr'!L60+'ASptISptSSv 4yr'!L60+'PLANT OPER MAIN 4yr'!L60+'SCHOLAR FELLOW 4yr'!L60+'All Other 4yr'!L60)-L60</f>
        <v>0</v>
      </c>
      <c r="AQ60" s="74">
        <f>('Instruction-4YR'!M60+'RESEARCH 4yr'!M60+'PUBLIC SERVICE 4yr'!M60+'ASptISptSSv 4yr'!M60+'PLANT OPER MAIN 4yr'!M60+'SCHOLAR FELLOW 4yr'!M60+'All Other 4yr'!M60)-M60</f>
        <v>0</v>
      </c>
      <c r="AR60" s="74">
        <f>('Instruction-4YR'!N60+'RESEARCH 4yr'!N60+'PUBLIC SERVICE 4yr'!N60+'ASptISptSSv 4yr'!N60+'PLANT OPER MAIN 4yr'!N60+'SCHOLAR FELLOW 4yr'!N60+'All Other 4yr'!N60)-N60</f>
        <v>0</v>
      </c>
      <c r="AS60" s="74">
        <f>('Instruction-4YR'!O60+'RESEARCH 4yr'!O60+'PUBLIC SERVICE 4yr'!O60+'ASptISptSSv 4yr'!O60+'PLANT OPER MAIN 4yr'!O60+'SCHOLAR FELLOW 4yr'!O60+'All Other 4yr'!O60)-O60</f>
        <v>0</v>
      </c>
      <c r="AT60" s="74">
        <f>('Instruction-4YR'!P60+'RESEARCH 4yr'!P60+'PUBLIC SERVICE 4yr'!P60+'ASptISptSSv 4yr'!P60+'PLANT OPER MAIN 4yr'!P60+'SCHOLAR FELLOW 4yr'!P60+'All Other 4yr'!P60)-P60</f>
        <v>0</v>
      </c>
      <c r="AU60" s="74">
        <f>('Instruction-4YR'!Q60+'RESEARCH 4yr'!Q60+'PUBLIC SERVICE 4yr'!Q60+'ASptISptSSv 4yr'!Q60+'PLANT OPER MAIN 4yr'!Q60+'SCHOLAR FELLOW 4yr'!Q60+'All Other 4yr'!Q60)-Q60</f>
        <v>0</v>
      </c>
      <c r="AV60" s="74">
        <f>('Instruction-4YR'!R60+'RESEARCH 4yr'!R60+'PUBLIC SERVICE 4yr'!R60+'ASptISptSSv 4yr'!R60+'PLANT OPER MAIN 4yr'!R60+'SCHOLAR FELLOW 4yr'!R60+'All Other 4yr'!R60)-R60</f>
        <v>0</v>
      </c>
      <c r="AW60" s="74">
        <f>('Instruction-4YR'!S60+'RESEARCH 4yr'!S60+'PUBLIC SERVICE 4yr'!S60+'ASptISptSSv 4yr'!S60+'PLANT OPER MAIN 4yr'!S60+'SCHOLAR FELLOW 4yr'!S60+'All Other 4yr'!S60)-S60</f>
        <v>0</v>
      </c>
      <c r="AX60" s="74">
        <f>('Instruction-4YR'!T60+'RESEARCH 4yr'!T60+'PUBLIC SERVICE 4yr'!T60+'ASptISptSSv 4yr'!T60+'PLANT OPER MAIN 4yr'!T60+'SCHOLAR FELLOW 4yr'!T60+'All Other 4yr'!T60)-T60</f>
        <v>0</v>
      </c>
      <c r="AY60" s="74">
        <f>('Instruction-4YR'!U60+'RESEARCH 4yr'!U60+'PUBLIC SERVICE 4yr'!U60+'ASptISptSSv 4yr'!U60+'PLANT OPER MAIN 4yr'!U60+'SCHOLAR FELLOW 4yr'!U60+'All Other 4yr'!U60)-U60</f>
        <v>0</v>
      </c>
      <c r="AZ60" s="74">
        <f>('Instruction-4YR'!V60+'RESEARCH 4yr'!V60+'PUBLIC SERVICE 4yr'!V60+'ASptISptSSv 4yr'!V60+'PLANT OPER MAIN 4yr'!V60+'SCHOLAR FELLOW 4yr'!V60+'All Other 4yr'!V60)-V60</f>
        <v>0</v>
      </c>
      <c r="BA60" s="74">
        <f>('Instruction-4YR'!W60+'RESEARCH 4yr'!W60+'PUBLIC SERVICE 4yr'!W60+'ASptISptSSv 4yr'!W60+'PLANT OPER MAIN 4yr'!W60+'SCHOLAR FELLOW 4yr'!W60+'All Other 4yr'!W60)-W60</f>
        <v>0</v>
      </c>
      <c r="BB60" s="74">
        <f>('Instruction-4YR'!X60+'RESEARCH 4yr'!X60+'PUBLIC SERVICE 4yr'!X60+'ASptISptSSv 4yr'!X60+'PLANT OPER MAIN 4yr'!X60+'SCHOLAR FELLOW 4yr'!X60+'All Other 4yr'!X60)-X60</f>
        <v>0</v>
      </c>
      <c r="BC60" s="74">
        <f>('Instruction-4YR'!Y60+'RESEARCH 4yr'!Y60+'PUBLIC SERVICE 4yr'!Y60+'ASptISptSSv 4yr'!Y60+'PLANT OPER MAIN 4yr'!Y60+'SCHOLAR FELLOW 4yr'!Y60+'All Other 4yr'!Y60)-Y60</f>
        <v>0</v>
      </c>
      <c r="BD60" s="74">
        <f>('Instruction-4YR'!Z60+'RESEARCH 4yr'!Z60+'PUBLIC SERVICE 4yr'!Z60+'ASptISptSSv 4yr'!Z60+'PLANT OPER MAIN 4yr'!Z60+'SCHOLAR FELLOW 4yr'!Z60+'All Other 4yr'!Z60)-Z60</f>
        <v>0</v>
      </c>
      <c r="BE60" s="74">
        <f>('Instruction-4YR'!AA60+'RESEARCH 4yr'!AA60+'PUBLIC SERVICE 4yr'!AA60+'ASptISptSSv 4yr'!AA60+'PLANT OPER MAIN 4yr'!AA60+'SCHOLAR FELLOW 4yr'!AA60+'All Other 4yr'!AA60)-AA60</f>
        <v>0</v>
      </c>
      <c r="BF60" s="74">
        <f>('Instruction-4YR'!AB60+'RESEARCH 4yr'!AB60+'PUBLIC SERVICE 4yr'!AB60+'ASptISptSSv 4yr'!AB60+'PLANT OPER MAIN 4yr'!AB60+'SCHOLAR FELLOW 4yr'!AB60+'All Other 4yr'!AB60)-AB60</f>
        <v>0</v>
      </c>
      <c r="BG60" s="74">
        <f>('Instruction-4YR'!AC60+'RESEARCH 4yr'!AC60+'PUBLIC SERVICE 4yr'!AC60+'ASptISptSSv 4yr'!AC60+'PLANT OPER MAIN 4yr'!AC60+'SCHOLAR FELLOW 4yr'!AC60+'All Other 4yr'!AC60)-AC60</f>
        <v>0</v>
      </c>
      <c r="BH60" s="74">
        <f>('Instruction-4YR'!AD60+'RESEARCH 4yr'!AD60+'PUBLIC SERVICE 4yr'!AD60+'ASptISptSSv 4yr'!AD60+'PLANT OPER MAIN 4yr'!AD60+'SCHOLAR FELLOW 4yr'!AD60+'All Other 4yr'!AD60)-AD60</f>
        <v>0</v>
      </c>
      <c r="BI60" s="74">
        <f>('Instruction-4YR'!AE60+'RESEARCH 4yr'!AE60+'PUBLIC SERVICE 4yr'!AE60+'ASptISptSSv 4yr'!AE60+'PLANT OPER MAIN 4yr'!AE60+'SCHOLAR FELLOW 4yr'!AE60+'All Other 4yr'!AE60)-AE60</f>
        <v>0</v>
      </c>
    </row>
    <row r="61" spans="1:61">
      <c r="A61" s="1" t="s">
        <v>75</v>
      </c>
      <c r="F61" s="41">
        <v>3504727.4</v>
      </c>
      <c r="I61" s="1">
        <v>4191857.9810000001</v>
      </c>
      <c r="K61" s="1">
        <v>4573188.5199999996</v>
      </c>
      <c r="L61" s="1">
        <v>4730096.9859999996</v>
      </c>
      <c r="M61" s="1">
        <v>5135078.2750000004</v>
      </c>
      <c r="N61" s="1">
        <v>5535254.9040000001</v>
      </c>
      <c r="O61" s="1">
        <v>5154955.8250000002</v>
      </c>
      <c r="P61" s="1">
        <v>5707801.4910000004</v>
      </c>
      <c r="Q61" s="1">
        <v>6462140.6859999998</v>
      </c>
      <c r="R61" s="1">
        <v>6408519.892</v>
      </c>
      <c r="S61" s="1">
        <v>7215844.8049999997</v>
      </c>
      <c r="T61" s="1">
        <v>7727028.5180000002</v>
      </c>
      <c r="U61" s="1">
        <v>7851198.9369999999</v>
      </c>
      <c r="V61" s="1">
        <v>8537628.0889999997</v>
      </c>
      <c r="W61" s="1">
        <v>9278980.9379999992</v>
      </c>
      <c r="X61" s="1">
        <v>9182938.5710000005</v>
      </c>
      <c r="Y61" s="1">
        <v>8898774.8790000007</v>
      </c>
      <c r="Z61" s="1">
        <v>9217335.5140000004</v>
      </c>
      <c r="AA61" s="1">
        <v>9688410.1040000003</v>
      </c>
      <c r="AB61" s="1">
        <v>10982253.346999999</v>
      </c>
      <c r="AC61" s="1">
        <v>11057853.945</v>
      </c>
      <c r="AE61" s="1">
        <v>11661917.300000001</v>
      </c>
      <c r="AF61" s="74">
        <f>('Instruction-4YR'!B61+'RESEARCH 4yr'!B61+'PUBLIC SERVICE 4yr'!B61+'ASptISptSSv 4yr'!B61+'PLANT OPER MAIN 4yr'!B61+'SCHOLAR FELLOW 4yr'!B61+'All Other 4yr'!B61)-B61</f>
        <v>0</v>
      </c>
      <c r="AG61" s="74">
        <f>('Instruction-4YR'!C61+'RESEARCH 4yr'!C61+'PUBLIC SERVICE 4yr'!C61+'ASptISptSSv 4yr'!C61+'PLANT OPER MAIN 4yr'!C61+'SCHOLAR FELLOW 4yr'!C61+'All Other 4yr'!C61)-C61</f>
        <v>0</v>
      </c>
      <c r="AH61" s="74">
        <f>('Instruction-4YR'!D61+'RESEARCH 4yr'!D61+'PUBLIC SERVICE 4yr'!D61+'ASptISptSSv 4yr'!D61+'PLANT OPER MAIN 4yr'!D61+'SCHOLAR FELLOW 4yr'!D61+'All Other 4yr'!D61)-D61</f>
        <v>0</v>
      </c>
      <c r="AI61" s="74">
        <f>('Instruction-4YR'!E61+'RESEARCH 4yr'!E61+'PUBLIC SERVICE 4yr'!E61+'ASptISptSSv 4yr'!E61+'PLANT OPER MAIN 4yr'!E61+'SCHOLAR FELLOW 4yr'!E61+'All Other 4yr'!E61)-E61</f>
        <v>0</v>
      </c>
      <c r="AJ61" s="74">
        <f>('Instruction-4YR'!F61+'RESEARCH 4yr'!F61+'PUBLIC SERVICE 4yr'!F61+'ASptISptSSv 4yr'!F61+'PLANT OPER MAIN 4yr'!F61+'SCHOLAR FELLOW 4yr'!F61+'All Other 4yr'!F61)-F61</f>
        <v>0</v>
      </c>
      <c r="AK61" s="74">
        <f>('Instruction-4YR'!G61+'RESEARCH 4yr'!G61+'PUBLIC SERVICE 4yr'!G61+'ASptISptSSv 4yr'!G61+'PLANT OPER MAIN 4yr'!G61+'SCHOLAR FELLOW 4yr'!G61+'All Other 4yr'!G61)-G61</f>
        <v>0</v>
      </c>
      <c r="AL61" s="74">
        <f>('Instruction-4YR'!H61+'RESEARCH 4yr'!H61+'PUBLIC SERVICE 4yr'!H61+'ASptISptSSv 4yr'!H61+'PLANT OPER MAIN 4yr'!H61+'SCHOLAR FELLOW 4yr'!H61+'All Other 4yr'!H61)-H61</f>
        <v>0</v>
      </c>
      <c r="AM61" s="74">
        <f>('Instruction-4YR'!I61+'RESEARCH 4yr'!I61+'PUBLIC SERVICE 4yr'!I61+'ASptISptSSv 4yr'!I61+'PLANT OPER MAIN 4yr'!I61+'SCHOLAR FELLOW 4yr'!I61+'All Other 4yr'!I61)-I61</f>
        <v>0</v>
      </c>
      <c r="AN61" s="74">
        <f>('Instruction-4YR'!J61+'RESEARCH 4yr'!J61+'PUBLIC SERVICE 4yr'!J61+'ASptISptSSv 4yr'!J61+'PLANT OPER MAIN 4yr'!J61+'SCHOLAR FELLOW 4yr'!J61+'All Other 4yr'!J61)-J61</f>
        <v>0</v>
      </c>
      <c r="AO61" s="74">
        <f>('Instruction-4YR'!K61+'RESEARCH 4yr'!K61+'PUBLIC SERVICE 4yr'!K61+'ASptISptSSv 4yr'!K61+'PLANT OPER MAIN 4yr'!K61+'SCHOLAR FELLOW 4yr'!K61+'All Other 4yr'!K61)-K61</f>
        <v>0</v>
      </c>
      <c r="AP61" s="74">
        <f>('Instruction-4YR'!L61+'RESEARCH 4yr'!L61+'PUBLIC SERVICE 4yr'!L61+'ASptISptSSv 4yr'!L61+'PLANT OPER MAIN 4yr'!L61+'SCHOLAR FELLOW 4yr'!L61+'All Other 4yr'!L61)-L61</f>
        <v>0</v>
      </c>
      <c r="AQ61" s="74">
        <f>('Instruction-4YR'!M61+'RESEARCH 4yr'!M61+'PUBLIC SERVICE 4yr'!M61+'ASptISptSSv 4yr'!M61+'PLANT OPER MAIN 4yr'!M61+'SCHOLAR FELLOW 4yr'!M61+'All Other 4yr'!M61)-M61</f>
        <v>0</v>
      </c>
      <c r="AR61" s="74">
        <f>('Instruction-4YR'!N61+'RESEARCH 4yr'!N61+'PUBLIC SERVICE 4yr'!N61+'ASptISptSSv 4yr'!N61+'PLANT OPER MAIN 4yr'!N61+'SCHOLAR FELLOW 4yr'!N61+'All Other 4yr'!N61)-N61</f>
        <v>0</v>
      </c>
      <c r="AS61" s="74">
        <f>('Instruction-4YR'!O61+'RESEARCH 4yr'!O61+'PUBLIC SERVICE 4yr'!O61+'ASptISptSSv 4yr'!O61+'PLANT OPER MAIN 4yr'!O61+'SCHOLAR FELLOW 4yr'!O61+'All Other 4yr'!O61)-O61</f>
        <v>0</v>
      </c>
      <c r="AT61" s="74">
        <f>('Instruction-4YR'!P61+'RESEARCH 4yr'!P61+'PUBLIC SERVICE 4yr'!P61+'ASptISptSSv 4yr'!P61+'PLANT OPER MAIN 4yr'!P61+'SCHOLAR FELLOW 4yr'!P61+'All Other 4yr'!P61)-P61</f>
        <v>0</v>
      </c>
      <c r="AU61" s="74">
        <f>('Instruction-4YR'!Q61+'RESEARCH 4yr'!Q61+'PUBLIC SERVICE 4yr'!Q61+'ASptISptSSv 4yr'!Q61+'PLANT OPER MAIN 4yr'!Q61+'SCHOLAR FELLOW 4yr'!Q61+'All Other 4yr'!Q61)-Q61</f>
        <v>0</v>
      </c>
      <c r="AV61" s="74">
        <f>('Instruction-4YR'!R61+'RESEARCH 4yr'!R61+'PUBLIC SERVICE 4yr'!R61+'ASptISptSSv 4yr'!R61+'PLANT OPER MAIN 4yr'!R61+'SCHOLAR FELLOW 4yr'!R61+'All Other 4yr'!R61)-R61</f>
        <v>0</v>
      </c>
      <c r="AW61" s="74">
        <f>('Instruction-4YR'!S61+'RESEARCH 4yr'!S61+'PUBLIC SERVICE 4yr'!S61+'ASptISptSSv 4yr'!S61+'PLANT OPER MAIN 4yr'!S61+'SCHOLAR FELLOW 4yr'!S61+'All Other 4yr'!S61)-S61</f>
        <v>0</v>
      </c>
      <c r="AX61" s="74">
        <f>('Instruction-4YR'!T61+'RESEARCH 4yr'!T61+'PUBLIC SERVICE 4yr'!T61+'ASptISptSSv 4yr'!T61+'PLANT OPER MAIN 4yr'!T61+'SCHOLAR FELLOW 4yr'!T61+'All Other 4yr'!T61)-T61</f>
        <v>0</v>
      </c>
      <c r="AY61" s="74">
        <f>('Instruction-4YR'!U61+'RESEARCH 4yr'!U61+'PUBLIC SERVICE 4yr'!U61+'ASptISptSSv 4yr'!U61+'PLANT OPER MAIN 4yr'!U61+'SCHOLAR FELLOW 4yr'!U61+'All Other 4yr'!U61)-U61</f>
        <v>0</v>
      </c>
      <c r="AZ61" s="74">
        <f>('Instruction-4YR'!V61+'RESEARCH 4yr'!V61+'PUBLIC SERVICE 4yr'!V61+'ASptISptSSv 4yr'!V61+'PLANT OPER MAIN 4yr'!V61+'SCHOLAR FELLOW 4yr'!V61+'All Other 4yr'!V61)-V61</f>
        <v>0</v>
      </c>
      <c r="BA61" s="74">
        <f>('Instruction-4YR'!W61+'RESEARCH 4yr'!W61+'PUBLIC SERVICE 4yr'!W61+'ASptISptSSv 4yr'!W61+'PLANT OPER MAIN 4yr'!W61+'SCHOLAR FELLOW 4yr'!W61+'All Other 4yr'!W61)-W61</f>
        <v>0</v>
      </c>
      <c r="BB61" s="74">
        <f>('Instruction-4YR'!X61+'RESEARCH 4yr'!X61+'PUBLIC SERVICE 4yr'!X61+'ASptISptSSv 4yr'!X61+'PLANT OPER MAIN 4yr'!X61+'SCHOLAR FELLOW 4yr'!X61+'All Other 4yr'!X61)-X61</f>
        <v>0</v>
      </c>
      <c r="BC61" s="74">
        <f>('Instruction-4YR'!Y61+'RESEARCH 4yr'!Y61+'PUBLIC SERVICE 4yr'!Y61+'ASptISptSSv 4yr'!Y61+'PLANT OPER MAIN 4yr'!Y61+'SCHOLAR FELLOW 4yr'!Y61+'All Other 4yr'!Y61)-Y61</f>
        <v>0</v>
      </c>
      <c r="BD61" s="74">
        <f>('Instruction-4YR'!Z61+'RESEARCH 4yr'!Z61+'PUBLIC SERVICE 4yr'!Z61+'ASptISptSSv 4yr'!Z61+'PLANT OPER MAIN 4yr'!Z61+'SCHOLAR FELLOW 4yr'!Z61+'All Other 4yr'!Z61)-Z61</f>
        <v>0</v>
      </c>
      <c r="BE61" s="74">
        <f>('Instruction-4YR'!AA61+'RESEARCH 4yr'!AA61+'PUBLIC SERVICE 4yr'!AA61+'ASptISptSSv 4yr'!AA61+'PLANT OPER MAIN 4yr'!AA61+'SCHOLAR FELLOW 4yr'!AA61+'All Other 4yr'!AA61)-AA61</f>
        <v>0</v>
      </c>
      <c r="BF61" s="74">
        <f>('Instruction-4YR'!AB61+'RESEARCH 4yr'!AB61+'PUBLIC SERVICE 4yr'!AB61+'ASptISptSSv 4yr'!AB61+'PLANT OPER MAIN 4yr'!AB61+'SCHOLAR FELLOW 4yr'!AB61+'All Other 4yr'!AB61)-AB61</f>
        <v>0</v>
      </c>
      <c r="BG61" s="74">
        <f>('Instruction-4YR'!AC61+'RESEARCH 4yr'!AC61+'PUBLIC SERVICE 4yr'!AC61+'ASptISptSSv 4yr'!AC61+'PLANT OPER MAIN 4yr'!AC61+'SCHOLAR FELLOW 4yr'!AC61+'All Other 4yr'!AC61)-AC61</f>
        <v>0</v>
      </c>
      <c r="BH61" s="74">
        <f>('Instruction-4YR'!AD61+'RESEARCH 4yr'!AD61+'PUBLIC SERVICE 4yr'!AD61+'ASptISptSSv 4yr'!AD61+'PLANT OPER MAIN 4yr'!AD61+'SCHOLAR FELLOW 4yr'!AD61+'All Other 4yr'!AD61)-AD61</f>
        <v>0</v>
      </c>
      <c r="BI61" s="74">
        <f>('Instruction-4YR'!AE61+'RESEARCH 4yr'!AE61+'PUBLIC SERVICE 4yr'!AE61+'ASptISptSSv 4yr'!AE61+'PLANT OPER MAIN 4yr'!AE61+'SCHOLAR FELLOW 4yr'!AE61+'All Other 4yr'!AE61)-AE61</f>
        <v>0</v>
      </c>
    </row>
    <row r="62" spans="1:61">
      <c r="A62" s="1" t="s">
        <v>76</v>
      </c>
      <c r="F62" s="41">
        <v>2789770.5639999998</v>
      </c>
      <c r="I62" s="1">
        <v>3201077.389</v>
      </c>
      <c r="K62" s="1">
        <v>3425473.4929999998</v>
      </c>
      <c r="L62" s="1">
        <v>4144197.7379999999</v>
      </c>
      <c r="M62" s="1">
        <v>3774262.2209999999</v>
      </c>
      <c r="N62" s="1">
        <v>2372578.9759999998</v>
      </c>
      <c r="O62" s="1">
        <v>1349289.155</v>
      </c>
      <c r="P62" s="1">
        <v>1392719.7439999999</v>
      </c>
      <c r="Q62" s="1">
        <v>1388807.7779999999</v>
      </c>
      <c r="R62" s="1">
        <v>1448366.128</v>
      </c>
      <c r="S62" s="1">
        <v>1554470.3770000001</v>
      </c>
      <c r="T62" s="1">
        <v>1647382.0830000001</v>
      </c>
      <c r="U62" s="1">
        <v>1708879.389</v>
      </c>
      <c r="V62" s="1">
        <v>1786210.3319999999</v>
      </c>
      <c r="W62" s="1">
        <v>1840754.257</v>
      </c>
      <c r="X62" s="1">
        <v>1851922.79</v>
      </c>
      <c r="Y62" s="1">
        <v>1890099.7039999999</v>
      </c>
      <c r="Z62" s="1">
        <v>1944962.371</v>
      </c>
      <c r="AA62" s="1">
        <v>1957414.166</v>
      </c>
      <c r="AB62" s="1">
        <v>2001400.3870000001</v>
      </c>
      <c r="AC62" s="1">
        <v>2049087.666</v>
      </c>
      <c r="AE62" s="1">
        <v>2074204.3319999999</v>
      </c>
      <c r="AF62" s="74">
        <f>('Instruction-4YR'!B62+'RESEARCH 4yr'!B62+'PUBLIC SERVICE 4yr'!B62+'ASptISptSSv 4yr'!B62+'PLANT OPER MAIN 4yr'!B62+'SCHOLAR FELLOW 4yr'!B62+'All Other 4yr'!B62)-B62</f>
        <v>0</v>
      </c>
      <c r="AG62" s="74">
        <f>('Instruction-4YR'!C62+'RESEARCH 4yr'!C62+'PUBLIC SERVICE 4yr'!C62+'ASptISptSSv 4yr'!C62+'PLANT OPER MAIN 4yr'!C62+'SCHOLAR FELLOW 4yr'!C62+'All Other 4yr'!C62)-C62</f>
        <v>0</v>
      </c>
      <c r="AH62" s="74">
        <f>('Instruction-4YR'!D62+'RESEARCH 4yr'!D62+'PUBLIC SERVICE 4yr'!D62+'ASptISptSSv 4yr'!D62+'PLANT OPER MAIN 4yr'!D62+'SCHOLAR FELLOW 4yr'!D62+'All Other 4yr'!D62)-D62</f>
        <v>0</v>
      </c>
      <c r="AI62" s="74">
        <f>('Instruction-4YR'!E62+'RESEARCH 4yr'!E62+'PUBLIC SERVICE 4yr'!E62+'ASptISptSSv 4yr'!E62+'PLANT OPER MAIN 4yr'!E62+'SCHOLAR FELLOW 4yr'!E62+'All Other 4yr'!E62)-E62</f>
        <v>0</v>
      </c>
      <c r="AJ62" s="74">
        <f>('Instruction-4YR'!F62+'RESEARCH 4yr'!F62+'PUBLIC SERVICE 4yr'!F62+'ASptISptSSv 4yr'!F62+'PLANT OPER MAIN 4yr'!F62+'SCHOLAR FELLOW 4yr'!F62+'All Other 4yr'!F62)-F62</f>
        <v>0</v>
      </c>
      <c r="AK62" s="74">
        <f>('Instruction-4YR'!G62+'RESEARCH 4yr'!G62+'PUBLIC SERVICE 4yr'!G62+'ASptISptSSv 4yr'!G62+'PLANT OPER MAIN 4yr'!G62+'SCHOLAR FELLOW 4yr'!G62+'All Other 4yr'!G62)-G62</f>
        <v>0</v>
      </c>
      <c r="AL62" s="74">
        <f>('Instruction-4YR'!H62+'RESEARCH 4yr'!H62+'PUBLIC SERVICE 4yr'!H62+'ASptISptSSv 4yr'!H62+'PLANT OPER MAIN 4yr'!H62+'SCHOLAR FELLOW 4yr'!H62+'All Other 4yr'!H62)-H62</f>
        <v>0</v>
      </c>
      <c r="AM62" s="74">
        <f>('Instruction-4YR'!I62+'RESEARCH 4yr'!I62+'PUBLIC SERVICE 4yr'!I62+'ASptISptSSv 4yr'!I62+'PLANT OPER MAIN 4yr'!I62+'SCHOLAR FELLOW 4yr'!I62+'All Other 4yr'!I62)-I62</f>
        <v>0</v>
      </c>
      <c r="AN62" s="74">
        <f>('Instruction-4YR'!J62+'RESEARCH 4yr'!J62+'PUBLIC SERVICE 4yr'!J62+'ASptISptSSv 4yr'!J62+'PLANT OPER MAIN 4yr'!J62+'SCHOLAR FELLOW 4yr'!J62+'All Other 4yr'!J62)-J62</f>
        <v>0</v>
      </c>
      <c r="AO62" s="74">
        <f>('Instruction-4YR'!K62+'RESEARCH 4yr'!K62+'PUBLIC SERVICE 4yr'!K62+'ASptISptSSv 4yr'!K62+'PLANT OPER MAIN 4yr'!K62+'SCHOLAR FELLOW 4yr'!K62+'All Other 4yr'!K62)-K62</f>
        <v>0</v>
      </c>
      <c r="AP62" s="74">
        <f>('Instruction-4YR'!L62+'RESEARCH 4yr'!L62+'PUBLIC SERVICE 4yr'!L62+'ASptISptSSv 4yr'!L62+'PLANT OPER MAIN 4yr'!L62+'SCHOLAR FELLOW 4yr'!L62+'All Other 4yr'!L62)-L62</f>
        <v>0</v>
      </c>
      <c r="AQ62" s="74">
        <f>('Instruction-4YR'!M62+'RESEARCH 4yr'!M62+'PUBLIC SERVICE 4yr'!M62+'ASptISptSSv 4yr'!M62+'PLANT OPER MAIN 4yr'!M62+'SCHOLAR FELLOW 4yr'!M62+'All Other 4yr'!M62)-M62</f>
        <v>0</v>
      </c>
      <c r="AR62" s="74">
        <f>('Instruction-4YR'!N62+'RESEARCH 4yr'!N62+'PUBLIC SERVICE 4yr'!N62+'ASptISptSSv 4yr'!N62+'PLANT OPER MAIN 4yr'!N62+'SCHOLAR FELLOW 4yr'!N62+'All Other 4yr'!N62)-N62</f>
        <v>0</v>
      </c>
      <c r="AS62" s="74">
        <f>('Instruction-4YR'!O62+'RESEARCH 4yr'!O62+'PUBLIC SERVICE 4yr'!O62+'ASptISptSSv 4yr'!O62+'PLANT OPER MAIN 4yr'!O62+'SCHOLAR FELLOW 4yr'!O62+'All Other 4yr'!O62)-O62</f>
        <v>0</v>
      </c>
      <c r="AT62" s="74">
        <f>('Instruction-4YR'!P62+'RESEARCH 4yr'!P62+'PUBLIC SERVICE 4yr'!P62+'ASptISptSSv 4yr'!P62+'PLANT OPER MAIN 4yr'!P62+'SCHOLAR FELLOW 4yr'!P62+'All Other 4yr'!P62)-P62</f>
        <v>0</v>
      </c>
      <c r="AU62" s="74">
        <f>('Instruction-4YR'!Q62+'RESEARCH 4yr'!Q62+'PUBLIC SERVICE 4yr'!Q62+'ASptISptSSv 4yr'!Q62+'PLANT OPER MAIN 4yr'!Q62+'SCHOLAR FELLOW 4yr'!Q62+'All Other 4yr'!Q62)-Q62</f>
        <v>0</v>
      </c>
      <c r="AV62" s="74">
        <f>('Instruction-4YR'!R62+'RESEARCH 4yr'!R62+'PUBLIC SERVICE 4yr'!R62+'ASptISptSSv 4yr'!R62+'PLANT OPER MAIN 4yr'!R62+'SCHOLAR FELLOW 4yr'!R62+'All Other 4yr'!R62)-R62</f>
        <v>0</v>
      </c>
      <c r="AW62" s="74">
        <f>('Instruction-4YR'!S62+'RESEARCH 4yr'!S62+'PUBLIC SERVICE 4yr'!S62+'ASptISptSSv 4yr'!S62+'PLANT OPER MAIN 4yr'!S62+'SCHOLAR FELLOW 4yr'!S62+'All Other 4yr'!S62)-S62</f>
        <v>0</v>
      </c>
      <c r="AX62" s="74">
        <f>('Instruction-4YR'!T62+'RESEARCH 4yr'!T62+'PUBLIC SERVICE 4yr'!T62+'ASptISptSSv 4yr'!T62+'PLANT OPER MAIN 4yr'!T62+'SCHOLAR FELLOW 4yr'!T62+'All Other 4yr'!T62)-T62</f>
        <v>0</v>
      </c>
      <c r="AY62" s="74">
        <f>('Instruction-4YR'!U62+'RESEARCH 4yr'!U62+'PUBLIC SERVICE 4yr'!U62+'ASptISptSSv 4yr'!U62+'PLANT OPER MAIN 4yr'!U62+'SCHOLAR FELLOW 4yr'!U62+'All Other 4yr'!U62)-U62</f>
        <v>0</v>
      </c>
      <c r="AZ62" s="74">
        <f>('Instruction-4YR'!V62+'RESEARCH 4yr'!V62+'PUBLIC SERVICE 4yr'!V62+'ASptISptSSv 4yr'!V62+'PLANT OPER MAIN 4yr'!V62+'SCHOLAR FELLOW 4yr'!V62+'All Other 4yr'!V62)-V62</f>
        <v>0</v>
      </c>
      <c r="BA62" s="74">
        <f>('Instruction-4YR'!W62+'RESEARCH 4yr'!W62+'PUBLIC SERVICE 4yr'!W62+'ASptISptSSv 4yr'!W62+'PLANT OPER MAIN 4yr'!W62+'SCHOLAR FELLOW 4yr'!W62+'All Other 4yr'!W62)-W62</f>
        <v>0</v>
      </c>
      <c r="BB62" s="74">
        <f>('Instruction-4YR'!X62+'RESEARCH 4yr'!X62+'PUBLIC SERVICE 4yr'!X62+'ASptISptSSv 4yr'!X62+'PLANT OPER MAIN 4yr'!X62+'SCHOLAR FELLOW 4yr'!X62+'All Other 4yr'!X62)-X62</f>
        <v>0</v>
      </c>
      <c r="BC62" s="74">
        <f>('Instruction-4YR'!Y62+'RESEARCH 4yr'!Y62+'PUBLIC SERVICE 4yr'!Y62+'ASptISptSSv 4yr'!Y62+'PLANT OPER MAIN 4yr'!Y62+'SCHOLAR FELLOW 4yr'!Y62+'All Other 4yr'!Y62)-Y62</f>
        <v>0</v>
      </c>
      <c r="BD62" s="74">
        <f>('Instruction-4YR'!Z62+'RESEARCH 4yr'!Z62+'PUBLIC SERVICE 4yr'!Z62+'ASptISptSSv 4yr'!Z62+'PLANT OPER MAIN 4yr'!Z62+'SCHOLAR FELLOW 4yr'!Z62+'All Other 4yr'!Z62)-Z62</f>
        <v>0</v>
      </c>
      <c r="BE62" s="74">
        <f>('Instruction-4YR'!AA62+'RESEARCH 4yr'!AA62+'PUBLIC SERVICE 4yr'!AA62+'ASptISptSSv 4yr'!AA62+'PLANT OPER MAIN 4yr'!AA62+'SCHOLAR FELLOW 4yr'!AA62+'All Other 4yr'!AA62)-AA62</f>
        <v>0</v>
      </c>
      <c r="BF62" s="74">
        <f>('Instruction-4YR'!AB62+'RESEARCH 4yr'!AB62+'PUBLIC SERVICE 4yr'!AB62+'ASptISptSSv 4yr'!AB62+'PLANT OPER MAIN 4yr'!AB62+'SCHOLAR FELLOW 4yr'!AB62+'All Other 4yr'!AB62)-AB62</f>
        <v>0</v>
      </c>
      <c r="BG62" s="74">
        <f>('Instruction-4YR'!AC62+'RESEARCH 4yr'!AC62+'PUBLIC SERVICE 4yr'!AC62+'ASptISptSSv 4yr'!AC62+'PLANT OPER MAIN 4yr'!AC62+'SCHOLAR FELLOW 4yr'!AC62+'All Other 4yr'!AC62)-AC62</f>
        <v>0</v>
      </c>
      <c r="BH62" s="74">
        <f>('Instruction-4YR'!AD62+'RESEARCH 4yr'!AD62+'PUBLIC SERVICE 4yr'!AD62+'ASptISptSSv 4yr'!AD62+'PLANT OPER MAIN 4yr'!AD62+'SCHOLAR FELLOW 4yr'!AD62+'All Other 4yr'!AD62)-AD62</f>
        <v>0</v>
      </c>
      <c r="BI62" s="74">
        <f>('Instruction-4YR'!AE62+'RESEARCH 4yr'!AE62+'PUBLIC SERVICE 4yr'!AE62+'ASptISptSSv 4yr'!AE62+'PLANT OPER MAIN 4yr'!AE62+'SCHOLAR FELLOW 4yr'!AE62+'All Other 4yr'!AE62)-AE62</f>
        <v>0</v>
      </c>
    </row>
    <row r="63" spans="1:61">
      <c r="A63" s="1" t="s">
        <v>77</v>
      </c>
      <c r="F63" s="41">
        <v>219879.93900000001</v>
      </c>
      <c r="I63" s="1">
        <v>251449.99</v>
      </c>
      <c r="K63" s="1">
        <v>270781.44</v>
      </c>
      <c r="L63" s="1">
        <v>314301.15100000001</v>
      </c>
      <c r="M63" s="1">
        <v>334197.96500000003</v>
      </c>
      <c r="N63" s="1">
        <v>352424.41399999999</v>
      </c>
      <c r="O63" s="1">
        <v>390185.35600000003</v>
      </c>
      <c r="P63" s="1">
        <v>400758.152</v>
      </c>
      <c r="Q63" s="1">
        <v>424110.462</v>
      </c>
      <c r="R63" s="1">
        <v>447470.65500000003</v>
      </c>
      <c r="S63" s="1">
        <v>466918.10499999998</v>
      </c>
      <c r="T63" s="1">
        <v>510200.14899999998</v>
      </c>
      <c r="U63" s="1">
        <v>518021.853</v>
      </c>
      <c r="V63" s="1">
        <v>529629.43000000005</v>
      </c>
      <c r="W63" s="1">
        <v>550215.5</v>
      </c>
      <c r="X63" s="1">
        <v>589638.43299999996</v>
      </c>
      <c r="Y63" s="1">
        <v>593166.70900000003</v>
      </c>
      <c r="Z63" s="1">
        <v>616783.22400000005</v>
      </c>
      <c r="AA63" s="1">
        <v>611558.522</v>
      </c>
      <c r="AB63" s="1">
        <v>648313.929</v>
      </c>
      <c r="AC63" s="1">
        <v>676761.45900000003</v>
      </c>
      <c r="AE63" s="1">
        <v>725117.15700000001</v>
      </c>
      <c r="AF63" s="74">
        <f>('Instruction-4YR'!B63+'RESEARCH 4yr'!B63+'PUBLIC SERVICE 4yr'!B63+'ASptISptSSv 4yr'!B63+'PLANT OPER MAIN 4yr'!B63+'SCHOLAR FELLOW 4yr'!B63+'All Other 4yr'!B63)-B63</f>
        <v>0</v>
      </c>
      <c r="AG63" s="74">
        <f>('Instruction-4YR'!C63+'RESEARCH 4yr'!C63+'PUBLIC SERVICE 4yr'!C63+'ASptISptSSv 4yr'!C63+'PLANT OPER MAIN 4yr'!C63+'SCHOLAR FELLOW 4yr'!C63+'All Other 4yr'!C63)-C63</f>
        <v>0</v>
      </c>
      <c r="AH63" s="74">
        <f>('Instruction-4YR'!D63+'RESEARCH 4yr'!D63+'PUBLIC SERVICE 4yr'!D63+'ASptISptSSv 4yr'!D63+'PLANT OPER MAIN 4yr'!D63+'SCHOLAR FELLOW 4yr'!D63+'All Other 4yr'!D63)-D63</f>
        <v>0</v>
      </c>
      <c r="AI63" s="74">
        <f>('Instruction-4YR'!E63+'RESEARCH 4yr'!E63+'PUBLIC SERVICE 4yr'!E63+'ASptISptSSv 4yr'!E63+'PLANT OPER MAIN 4yr'!E63+'SCHOLAR FELLOW 4yr'!E63+'All Other 4yr'!E63)-E63</f>
        <v>0</v>
      </c>
      <c r="AJ63" s="74">
        <f>('Instruction-4YR'!F63+'RESEARCH 4yr'!F63+'PUBLIC SERVICE 4yr'!F63+'ASptISptSSv 4yr'!F63+'PLANT OPER MAIN 4yr'!F63+'SCHOLAR FELLOW 4yr'!F63+'All Other 4yr'!F63)-F63</f>
        <v>0</v>
      </c>
      <c r="AK63" s="74">
        <f>('Instruction-4YR'!G63+'RESEARCH 4yr'!G63+'PUBLIC SERVICE 4yr'!G63+'ASptISptSSv 4yr'!G63+'PLANT OPER MAIN 4yr'!G63+'SCHOLAR FELLOW 4yr'!G63+'All Other 4yr'!G63)-G63</f>
        <v>0</v>
      </c>
      <c r="AL63" s="74">
        <f>('Instruction-4YR'!H63+'RESEARCH 4yr'!H63+'PUBLIC SERVICE 4yr'!H63+'ASptISptSSv 4yr'!H63+'PLANT OPER MAIN 4yr'!H63+'SCHOLAR FELLOW 4yr'!H63+'All Other 4yr'!H63)-H63</f>
        <v>0</v>
      </c>
      <c r="AM63" s="74">
        <f>('Instruction-4YR'!I63+'RESEARCH 4yr'!I63+'PUBLIC SERVICE 4yr'!I63+'ASptISptSSv 4yr'!I63+'PLANT OPER MAIN 4yr'!I63+'SCHOLAR FELLOW 4yr'!I63+'All Other 4yr'!I63)-I63</f>
        <v>0</v>
      </c>
      <c r="AN63" s="74">
        <f>('Instruction-4YR'!J63+'RESEARCH 4yr'!J63+'PUBLIC SERVICE 4yr'!J63+'ASptISptSSv 4yr'!J63+'PLANT OPER MAIN 4yr'!J63+'SCHOLAR FELLOW 4yr'!J63+'All Other 4yr'!J63)-J63</f>
        <v>0</v>
      </c>
      <c r="AO63" s="74">
        <f>('Instruction-4YR'!K63+'RESEARCH 4yr'!K63+'PUBLIC SERVICE 4yr'!K63+'ASptISptSSv 4yr'!K63+'PLANT OPER MAIN 4yr'!K63+'SCHOLAR FELLOW 4yr'!K63+'All Other 4yr'!K63)-K63</f>
        <v>0</v>
      </c>
      <c r="AP63" s="74">
        <f>('Instruction-4YR'!L63+'RESEARCH 4yr'!L63+'PUBLIC SERVICE 4yr'!L63+'ASptISptSSv 4yr'!L63+'PLANT OPER MAIN 4yr'!L63+'SCHOLAR FELLOW 4yr'!L63+'All Other 4yr'!L63)-L63</f>
        <v>0</v>
      </c>
      <c r="AQ63" s="74">
        <f>('Instruction-4YR'!M63+'RESEARCH 4yr'!M63+'PUBLIC SERVICE 4yr'!M63+'ASptISptSSv 4yr'!M63+'PLANT OPER MAIN 4yr'!M63+'SCHOLAR FELLOW 4yr'!M63+'All Other 4yr'!M63)-M63</f>
        <v>0</v>
      </c>
      <c r="AR63" s="74">
        <f>('Instruction-4YR'!N63+'RESEARCH 4yr'!N63+'PUBLIC SERVICE 4yr'!N63+'ASptISptSSv 4yr'!N63+'PLANT OPER MAIN 4yr'!N63+'SCHOLAR FELLOW 4yr'!N63+'All Other 4yr'!N63)-N63</f>
        <v>0</v>
      </c>
      <c r="AS63" s="74">
        <f>('Instruction-4YR'!O63+'RESEARCH 4yr'!O63+'PUBLIC SERVICE 4yr'!O63+'ASptISptSSv 4yr'!O63+'PLANT OPER MAIN 4yr'!O63+'SCHOLAR FELLOW 4yr'!O63+'All Other 4yr'!O63)-O63</f>
        <v>0</v>
      </c>
      <c r="AT63" s="74">
        <f>('Instruction-4YR'!P63+'RESEARCH 4yr'!P63+'PUBLIC SERVICE 4yr'!P63+'ASptISptSSv 4yr'!P63+'PLANT OPER MAIN 4yr'!P63+'SCHOLAR FELLOW 4yr'!P63+'All Other 4yr'!P63)-P63</f>
        <v>0</v>
      </c>
      <c r="AU63" s="74">
        <f>('Instruction-4YR'!Q63+'RESEARCH 4yr'!Q63+'PUBLIC SERVICE 4yr'!Q63+'ASptISptSSv 4yr'!Q63+'PLANT OPER MAIN 4yr'!Q63+'SCHOLAR FELLOW 4yr'!Q63+'All Other 4yr'!Q63)-Q63</f>
        <v>0</v>
      </c>
      <c r="AV63" s="74">
        <f>('Instruction-4YR'!R63+'RESEARCH 4yr'!R63+'PUBLIC SERVICE 4yr'!R63+'ASptISptSSv 4yr'!R63+'PLANT OPER MAIN 4yr'!R63+'SCHOLAR FELLOW 4yr'!R63+'All Other 4yr'!R63)-R63</f>
        <v>0</v>
      </c>
      <c r="AW63" s="74">
        <f>('Instruction-4YR'!S63+'RESEARCH 4yr'!S63+'PUBLIC SERVICE 4yr'!S63+'ASptISptSSv 4yr'!S63+'PLANT OPER MAIN 4yr'!S63+'SCHOLAR FELLOW 4yr'!S63+'All Other 4yr'!S63)-S63</f>
        <v>0</v>
      </c>
      <c r="AX63" s="74">
        <f>('Instruction-4YR'!T63+'RESEARCH 4yr'!T63+'PUBLIC SERVICE 4yr'!T63+'ASptISptSSv 4yr'!T63+'PLANT OPER MAIN 4yr'!T63+'SCHOLAR FELLOW 4yr'!T63+'All Other 4yr'!T63)-T63</f>
        <v>0</v>
      </c>
      <c r="AY63" s="74">
        <f>('Instruction-4YR'!U63+'RESEARCH 4yr'!U63+'PUBLIC SERVICE 4yr'!U63+'ASptISptSSv 4yr'!U63+'PLANT OPER MAIN 4yr'!U63+'SCHOLAR FELLOW 4yr'!U63+'All Other 4yr'!U63)-U63</f>
        <v>0</v>
      </c>
      <c r="AZ63" s="74">
        <f>('Instruction-4YR'!V63+'RESEARCH 4yr'!V63+'PUBLIC SERVICE 4yr'!V63+'ASptISptSSv 4yr'!V63+'PLANT OPER MAIN 4yr'!V63+'SCHOLAR FELLOW 4yr'!V63+'All Other 4yr'!V63)-V63</f>
        <v>0</v>
      </c>
      <c r="BA63" s="74">
        <f>('Instruction-4YR'!W63+'RESEARCH 4yr'!W63+'PUBLIC SERVICE 4yr'!W63+'ASptISptSSv 4yr'!W63+'PLANT OPER MAIN 4yr'!W63+'SCHOLAR FELLOW 4yr'!W63+'All Other 4yr'!W63)-W63</f>
        <v>0</v>
      </c>
      <c r="BB63" s="74">
        <f>('Instruction-4YR'!X63+'RESEARCH 4yr'!X63+'PUBLIC SERVICE 4yr'!X63+'ASptISptSSv 4yr'!X63+'PLANT OPER MAIN 4yr'!X63+'SCHOLAR FELLOW 4yr'!X63+'All Other 4yr'!X63)-X63</f>
        <v>0</v>
      </c>
      <c r="BC63" s="74">
        <f>('Instruction-4YR'!Y63+'RESEARCH 4yr'!Y63+'PUBLIC SERVICE 4yr'!Y63+'ASptISptSSv 4yr'!Y63+'PLANT OPER MAIN 4yr'!Y63+'SCHOLAR FELLOW 4yr'!Y63+'All Other 4yr'!Y63)-Y63</f>
        <v>0</v>
      </c>
      <c r="BD63" s="74">
        <f>('Instruction-4YR'!Z63+'RESEARCH 4yr'!Z63+'PUBLIC SERVICE 4yr'!Z63+'ASptISptSSv 4yr'!Z63+'PLANT OPER MAIN 4yr'!Z63+'SCHOLAR FELLOW 4yr'!Z63+'All Other 4yr'!Z63)-Z63</f>
        <v>0</v>
      </c>
      <c r="BE63" s="74">
        <f>('Instruction-4YR'!AA63+'RESEARCH 4yr'!AA63+'PUBLIC SERVICE 4yr'!AA63+'ASptISptSSv 4yr'!AA63+'PLANT OPER MAIN 4yr'!AA63+'SCHOLAR FELLOW 4yr'!AA63+'All Other 4yr'!AA63)-AA63</f>
        <v>0</v>
      </c>
      <c r="BF63" s="74">
        <f>('Instruction-4YR'!AB63+'RESEARCH 4yr'!AB63+'PUBLIC SERVICE 4yr'!AB63+'ASptISptSSv 4yr'!AB63+'PLANT OPER MAIN 4yr'!AB63+'SCHOLAR FELLOW 4yr'!AB63+'All Other 4yr'!AB63)-AB63</f>
        <v>0</v>
      </c>
      <c r="BG63" s="74">
        <f>('Instruction-4YR'!AC63+'RESEARCH 4yr'!AC63+'PUBLIC SERVICE 4yr'!AC63+'ASptISptSSv 4yr'!AC63+'PLANT OPER MAIN 4yr'!AC63+'SCHOLAR FELLOW 4yr'!AC63+'All Other 4yr'!AC63)-AC63</f>
        <v>0</v>
      </c>
      <c r="BH63" s="74">
        <f>('Instruction-4YR'!AD63+'RESEARCH 4yr'!AD63+'PUBLIC SERVICE 4yr'!AD63+'ASptISptSSv 4yr'!AD63+'PLANT OPER MAIN 4yr'!AD63+'SCHOLAR FELLOW 4yr'!AD63+'All Other 4yr'!AD63)-AD63</f>
        <v>0</v>
      </c>
      <c r="BI63" s="74">
        <f>('Instruction-4YR'!AE63+'RESEARCH 4yr'!AE63+'PUBLIC SERVICE 4yr'!AE63+'ASptISptSSv 4yr'!AE63+'PLANT OPER MAIN 4yr'!AE63+'SCHOLAR FELLOW 4yr'!AE63+'All Other 4yr'!AE63)-AE63</f>
        <v>0</v>
      </c>
    </row>
    <row r="64" spans="1:61">
      <c r="A64" s="23" t="s">
        <v>78</v>
      </c>
      <c r="B64" s="23"/>
      <c r="C64" s="23"/>
      <c r="D64" s="23"/>
      <c r="E64" s="23"/>
      <c r="F64" s="44">
        <v>246795.598</v>
      </c>
      <c r="G64" s="23"/>
      <c r="H64" s="23"/>
      <c r="I64" s="23">
        <v>280609.88299999997</v>
      </c>
      <c r="J64" s="23"/>
      <c r="K64" s="23">
        <v>307343.08600000001</v>
      </c>
      <c r="L64" s="23">
        <v>367739.902</v>
      </c>
      <c r="M64" s="23">
        <v>360249.51299999998</v>
      </c>
      <c r="N64" s="23">
        <v>419762.30900000001</v>
      </c>
      <c r="O64" s="23">
        <v>485330.59</v>
      </c>
      <c r="P64" s="23">
        <v>489622.65100000001</v>
      </c>
      <c r="Q64" s="23">
        <v>502639.04399999999</v>
      </c>
      <c r="R64" s="23">
        <v>552333.10699999996</v>
      </c>
      <c r="S64" s="23">
        <v>600426.99199999997</v>
      </c>
      <c r="T64" s="23">
        <v>668716.54299999995</v>
      </c>
      <c r="U64" s="23">
        <v>635963.16599999997</v>
      </c>
      <c r="V64" s="23">
        <v>719215.43200000003</v>
      </c>
      <c r="W64" s="23">
        <v>751684.05</v>
      </c>
      <c r="X64" s="23">
        <v>758936.08299999998</v>
      </c>
      <c r="Y64" s="23">
        <v>760075.60400000005</v>
      </c>
      <c r="Z64" s="23">
        <v>777632.36699999997</v>
      </c>
      <c r="AA64" s="23">
        <v>780507.90700000001</v>
      </c>
      <c r="AB64" s="23">
        <v>833157.51699999999</v>
      </c>
      <c r="AC64" s="23">
        <v>869658.42200000002</v>
      </c>
      <c r="AD64" s="23"/>
      <c r="AE64" s="23">
        <v>907378.63300000003</v>
      </c>
      <c r="AF64" s="74">
        <f>('Instruction-4YR'!B64+'RESEARCH 4yr'!B64+'PUBLIC SERVICE 4yr'!B64+'ASptISptSSv 4yr'!B64+'PLANT OPER MAIN 4yr'!B64+'SCHOLAR FELLOW 4yr'!B64+'All Other 4yr'!B64)-B64</f>
        <v>0</v>
      </c>
      <c r="AG64" s="74">
        <f>('Instruction-4YR'!C64+'RESEARCH 4yr'!C64+'PUBLIC SERVICE 4yr'!C64+'ASptISptSSv 4yr'!C64+'PLANT OPER MAIN 4yr'!C64+'SCHOLAR FELLOW 4yr'!C64+'All Other 4yr'!C64)-C64</f>
        <v>0</v>
      </c>
      <c r="AH64" s="74">
        <f>('Instruction-4YR'!D64+'RESEARCH 4yr'!D64+'PUBLIC SERVICE 4yr'!D64+'ASptISptSSv 4yr'!D64+'PLANT OPER MAIN 4yr'!D64+'SCHOLAR FELLOW 4yr'!D64+'All Other 4yr'!D64)-D64</f>
        <v>0</v>
      </c>
      <c r="AI64" s="74">
        <f>('Instruction-4YR'!E64+'RESEARCH 4yr'!E64+'PUBLIC SERVICE 4yr'!E64+'ASptISptSSv 4yr'!E64+'PLANT OPER MAIN 4yr'!E64+'SCHOLAR FELLOW 4yr'!E64+'All Other 4yr'!E64)-E64</f>
        <v>0</v>
      </c>
      <c r="AJ64" s="74">
        <f>('Instruction-4YR'!F64+'RESEARCH 4yr'!F64+'PUBLIC SERVICE 4yr'!F64+'ASptISptSSv 4yr'!F64+'PLANT OPER MAIN 4yr'!F64+'SCHOLAR FELLOW 4yr'!F64+'All Other 4yr'!F64)-F64</f>
        <v>0</v>
      </c>
      <c r="AK64" s="74">
        <f>('Instruction-4YR'!G64+'RESEARCH 4yr'!G64+'PUBLIC SERVICE 4yr'!G64+'ASptISptSSv 4yr'!G64+'PLANT OPER MAIN 4yr'!G64+'SCHOLAR FELLOW 4yr'!G64+'All Other 4yr'!G64)-G64</f>
        <v>0</v>
      </c>
      <c r="AL64" s="74">
        <f>('Instruction-4YR'!H64+'RESEARCH 4yr'!H64+'PUBLIC SERVICE 4yr'!H64+'ASptISptSSv 4yr'!H64+'PLANT OPER MAIN 4yr'!H64+'SCHOLAR FELLOW 4yr'!H64+'All Other 4yr'!H64)-H64</f>
        <v>0</v>
      </c>
      <c r="AM64" s="74">
        <f>('Instruction-4YR'!I64+'RESEARCH 4yr'!I64+'PUBLIC SERVICE 4yr'!I64+'ASptISptSSv 4yr'!I64+'PLANT OPER MAIN 4yr'!I64+'SCHOLAR FELLOW 4yr'!I64+'All Other 4yr'!I64)-I64</f>
        <v>0</v>
      </c>
      <c r="AN64" s="74">
        <f>('Instruction-4YR'!J64+'RESEARCH 4yr'!J64+'PUBLIC SERVICE 4yr'!J64+'ASptISptSSv 4yr'!J64+'PLANT OPER MAIN 4yr'!J64+'SCHOLAR FELLOW 4yr'!J64+'All Other 4yr'!J64)-J64</f>
        <v>0</v>
      </c>
      <c r="AO64" s="74">
        <f>('Instruction-4YR'!K64+'RESEARCH 4yr'!K64+'PUBLIC SERVICE 4yr'!K64+'ASptISptSSv 4yr'!K64+'PLANT OPER MAIN 4yr'!K64+'SCHOLAR FELLOW 4yr'!K64+'All Other 4yr'!K64)-K64</f>
        <v>0</v>
      </c>
      <c r="AP64" s="74">
        <f>('Instruction-4YR'!L64+'RESEARCH 4yr'!L64+'PUBLIC SERVICE 4yr'!L64+'ASptISptSSv 4yr'!L64+'PLANT OPER MAIN 4yr'!L64+'SCHOLAR FELLOW 4yr'!L64+'All Other 4yr'!L64)-L64</f>
        <v>0</v>
      </c>
      <c r="AQ64" s="74">
        <f>('Instruction-4YR'!M64+'RESEARCH 4yr'!M64+'PUBLIC SERVICE 4yr'!M64+'ASptISptSSv 4yr'!M64+'PLANT OPER MAIN 4yr'!M64+'SCHOLAR FELLOW 4yr'!M64+'All Other 4yr'!M64)-M64</f>
        <v>0</v>
      </c>
      <c r="AR64" s="74">
        <f>('Instruction-4YR'!N64+'RESEARCH 4yr'!N64+'PUBLIC SERVICE 4yr'!N64+'ASptISptSSv 4yr'!N64+'PLANT OPER MAIN 4yr'!N64+'SCHOLAR FELLOW 4yr'!N64+'All Other 4yr'!N64)-N64</f>
        <v>0</v>
      </c>
      <c r="AS64" s="74">
        <f>('Instruction-4YR'!O64+'RESEARCH 4yr'!O64+'PUBLIC SERVICE 4yr'!O64+'ASptISptSSv 4yr'!O64+'PLANT OPER MAIN 4yr'!O64+'SCHOLAR FELLOW 4yr'!O64+'All Other 4yr'!O64)-O64</f>
        <v>0</v>
      </c>
      <c r="AT64" s="74">
        <f>('Instruction-4YR'!P64+'RESEARCH 4yr'!P64+'PUBLIC SERVICE 4yr'!P64+'ASptISptSSv 4yr'!P64+'PLANT OPER MAIN 4yr'!P64+'SCHOLAR FELLOW 4yr'!P64+'All Other 4yr'!P64)-P64</f>
        <v>0</v>
      </c>
      <c r="AU64" s="74">
        <f>('Instruction-4YR'!Q64+'RESEARCH 4yr'!Q64+'PUBLIC SERVICE 4yr'!Q64+'ASptISptSSv 4yr'!Q64+'PLANT OPER MAIN 4yr'!Q64+'SCHOLAR FELLOW 4yr'!Q64+'All Other 4yr'!Q64)-Q64</f>
        <v>0</v>
      </c>
      <c r="AV64" s="74">
        <f>('Instruction-4YR'!R64+'RESEARCH 4yr'!R64+'PUBLIC SERVICE 4yr'!R64+'ASptISptSSv 4yr'!R64+'PLANT OPER MAIN 4yr'!R64+'SCHOLAR FELLOW 4yr'!R64+'All Other 4yr'!R64)-R64</f>
        <v>0</v>
      </c>
      <c r="AW64" s="74">
        <f>('Instruction-4YR'!S64+'RESEARCH 4yr'!S64+'PUBLIC SERVICE 4yr'!S64+'ASptISptSSv 4yr'!S64+'PLANT OPER MAIN 4yr'!S64+'SCHOLAR FELLOW 4yr'!S64+'All Other 4yr'!S64)-S64</f>
        <v>0</v>
      </c>
      <c r="AX64" s="74">
        <f>('Instruction-4YR'!T64+'RESEARCH 4yr'!T64+'PUBLIC SERVICE 4yr'!T64+'ASptISptSSv 4yr'!T64+'PLANT OPER MAIN 4yr'!T64+'SCHOLAR FELLOW 4yr'!T64+'All Other 4yr'!T64)-T64</f>
        <v>0</v>
      </c>
      <c r="AY64" s="74">
        <f>('Instruction-4YR'!U64+'RESEARCH 4yr'!U64+'PUBLIC SERVICE 4yr'!U64+'ASptISptSSv 4yr'!U64+'PLANT OPER MAIN 4yr'!U64+'SCHOLAR FELLOW 4yr'!U64+'All Other 4yr'!U64)-U64</f>
        <v>0</v>
      </c>
      <c r="AZ64" s="74">
        <f>('Instruction-4YR'!V64+'RESEARCH 4yr'!V64+'PUBLIC SERVICE 4yr'!V64+'ASptISptSSv 4yr'!V64+'PLANT OPER MAIN 4yr'!V64+'SCHOLAR FELLOW 4yr'!V64+'All Other 4yr'!V64)-V64</f>
        <v>0</v>
      </c>
      <c r="BA64" s="74">
        <f>('Instruction-4YR'!W64+'RESEARCH 4yr'!W64+'PUBLIC SERVICE 4yr'!W64+'ASptISptSSv 4yr'!W64+'PLANT OPER MAIN 4yr'!W64+'SCHOLAR FELLOW 4yr'!W64+'All Other 4yr'!W64)-W64</f>
        <v>0</v>
      </c>
      <c r="BB64" s="74">
        <f>('Instruction-4YR'!X64+'RESEARCH 4yr'!X64+'PUBLIC SERVICE 4yr'!X64+'ASptISptSSv 4yr'!X64+'PLANT OPER MAIN 4yr'!X64+'SCHOLAR FELLOW 4yr'!X64+'All Other 4yr'!X64)-X64</f>
        <v>0</v>
      </c>
      <c r="BC64" s="74">
        <f>('Instruction-4YR'!Y64+'RESEARCH 4yr'!Y64+'PUBLIC SERVICE 4yr'!Y64+'ASptISptSSv 4yr'!Y64+'PLANT OPER MAIN 4yr'!Y64+'SCHOLAR FELLOW 4yr'!Y64+'All Other 4yr'!Y64)-Y64</f>
        <v>0</v>
      </c>
      <c r="BD64" s="74">
        <f>('Instruction-4YR'!Z64+'RESEARCH 4yr'!Z64+'PUBLIC SERVICE 4yr'!Z64+'ASptISptSSv 4yr'!Z64+'PLANT OPER MAIN 4yr'!Z64+'SCHOLAR FELLOW 4yr'!Z64+'All Other 4yr'!Z64)-Z64</f>
        <v>0</v>
      </c>
      <c r="BE64" s="74">
        <f>('Instruction-4YR'!AA64+'RESEARCH 4yr'!AA64+'PUBLIC SERVICE 4yr'!AA64+'ASptISptSSv 4yr'!AA64+'PLANT OPER MAIN 4yr'!AA64+'SCHOLAR FELLOW 4yr'!AA64+'All Other 4yr'!AA64)-AA64</f>
        <v>0</v>
      </c>
      <c r="BF64" s="74">
        <f>('Instruction-4YR'!AB64+'RESEARCH 4yr'!AB64+'PUBLIC SERVICE 4yr'!AB64+'ASptISptSSv 4yr'!AB64+'PLANT OPER MAIN 4yr'!AB64+'SCHOLAR FELLOW 4yr'!AB64+'All Other 4yr'!AB64)-AB64</f>
        <v>0</v>
      </c>
      <c r="BG64" s="74">
        <f>('Instruction-4YR'!AC64+'RESEARCH 4yr'!AC64+'PUBLIC SERVICE 4yr'!AC64+'ASptISptSSv 4yr'!AC64+'PLANT OPER MAIN 4yr'!AC64+'SCHOLAR FELLOW 4yr'!AC64+'All Other 4yr'!AC64)-AC64</f>
        <v>0</v>
      </c>
      <c r="BH64" s="74">
        <f>('Instruction-4YR'!AD64+'RESEARCH 4yr'!AD64+'PUBLIC SERVICE 4yr'!AD64+'ASptISptSSv 4yr'!AD64+'PLANT OPER MAIN 4yr'!AD64+'SCHOLAR FELLOW 4yr'!AD64+'All Other 4yr'!AD64)-AD64</f>
        <v>0</v>
      </c>
      <c r="BI64" s="74">
        <f>('Instruction-4YR'!AE64+'RESEARCH 4yr'!AE64+'PUBLIC SERVICE 4yr'!AE64+'ASptISptSSv 4yr'!AE64+'PLANT OPER MAIN 4yr'!AE64+'SCHOLAR FELLOW 4yr'!AE64+'All Other 4yr'!AE64)-AE64</f>
        <v>0</v>
      </c>
    </row>
    <row r="65" spans="1:61">
      <c r="A65" s="45" t="s">
        <v>79</v>
      </c>
      <c r="B65" s="45"/>
      <c r="C65" s="45"/>
      <c r="D65" s="45"/>
      <c r="E65" s="45"/>
      <c r="F65" s="46">
        <v>122258.39200000001</v>
      </c>
      <c r="G65" s="45"/>
      <c r="H65" s="45"/>
      <c r="I65" s="45">
        <v>100218.249</v>
      </c>
      <c r="J65" s="45"/>
      <c r="K65" s="45">
        <v>108317.24954999999</v>
      </c>
      <c r="L65" s="45">
        <v>83706.350000000006</v>
      </c>
      <c r="M65" s="45">
        <v>93698.697</v>
      </c>
      <c r="N65" s="45">
        <v>92109.743000000002</v>
      </c>
      <c r="O65" s="45">
        <v>97401.993000000002</v>
      </c>
      <c r="P65" s="45">
        <v>95970.748000000007</v>
      </c>
      <c r="Q65" s="45">
        <v>102807.22199999999</v>
      </c>
      <c r="R65" s="45">
        <v>117338.73699999999</v>
      </c>
      <c r="S65" s="45">
        <v>128276.976</v>
      </c>
      <c r="T65" s="45">
        <v>116717.073</v>
      </c>
      <c r="U65" s="45">
        <v>131148.83499999999</v>
      </c>
      <c r="V65" s="45">
        <v>127372.939</v>
      </c>
      <c r="W65" s="45">
        <v>159784.302</v>
      </c>
      <c r="X65" s="23">
        <v>154411.19500000001</v>
      </c>
      <c r="Y65" s="23">
        <v>147068.489</v>
      </c>
      <c r="Z65" s="23">
        <v>137144.25599999999</v>
      </c>
      <c r="AA65" s="23">
        <v>144382.95600000001</v>
      </c>
      <c r="AB65" s="23">
        <v>154907.38800000001</v>
      </c>
      <c r="AC65" s="23">
        <v>149134.28099999999</v>
      </c>
      <c r="AD65" s="23"/>
      <c r="AE65" s="23">
        <v>174447.603</v>
      </c>
      <c r="AF65" s="74">
        <f>('Instruction-4YR'!B65+'RESEARCH 4yr'!B65+'PUBLIC SERVICE 4yr'!B65+'ASptISptSSv 4yr'!B65+'PLANT OPER MAIN 4yr'!B65+'SCHOLAR FELLOW 4yr'!B65+'All Other 4yr'!B65)-B65</f>
        <v>0</v>
      </c>
      <c r="AG65" s="74">
        <f>('Instruction-4YR'!C65+'RESEARCH 4yr'!C65+'PUBLIC SERVICE 4yr'!C65+'ASptISptSSv 4yr'!C65+'PLANT OPER MAIN 4yr'!C65+'SCHOLAR FELLOW 4yr'!C65+'All Other 4yr'!C65)-C65</f>
        <v>0</v>
      </c>
      <c r="AH65" s="74">
        <f>('Instruction-4YR'!D65+'RESEARCH 4yr'!D65+'PUBLIC SERVICE 4yr'!D65+'ASptISptSSv 4yr'!D65+'PLANT OPER MAIN 4yr'!D65+'SCHOLAR FELLOW 4yr'!D65+'All Other 4yr'!D65)-D65</f>
        <v>0</v>
      </c>
      <c r="AI65" s="74">
        <f>('Instruction-4YR'!E65+'RESEARCH 4yr'!E65+'PUBLIC SERVICE 4yr'!E65+'ASptISptSSv 4yr'!E65+'PLANT OPER MAIN 4yr'!E65+'SCHOLAR FELLOW 4yr'!E65+'All Other 4yr'!E65)-E65</f>
        <v>0</v>
      </c>
      <c r="AJ65" s="74">
        <f>('Instruction-4YR'!F65+'RESEARCH 4yr'!F65+'PUBLIC SERVICE 4yr'!F65+'ASptISptSSv 4yr'!F65+'PLANT OPER MAIN 4yr'!F65+'SCHOLAR FELLOW 4yr'!F65+'All Other 4yr'!F65)-F65</f>
        <v>0</v>
      </c>
      <c r="AK65" s="74">
        <f>('Instruction-4YR'!G65+'RESEARCH 4yr'!G65+'PUBLIC SERVICE 4yr'!G65+'ASptISptSSv 4yr'!G65+'PLANT OPER MAIN 4yr'!G65+'SCHOLAR FELLOW 4yr'!G65+'All Other 4yr'!G65)-G65</f>
        <v>0</v>
      </c>
      <c r="AL65" s="74">
        <f>('Instruction-4YR'!H65+'RESEARCH 4yr'!H65+'PUBLIC SERVICE 4yr'!H65+'ASptISptSSv 4yr'!H65+'PLANT OPER MAIN 4yr'!H65+'SCHOLAR FELLOW 4yr'!H65+'All Other 4yr'!H65)-H65</f>
        <v>0</v>
      </c>
      <c r="AM65" s="74">
        <f>('Instruction-4YR'!I65+'RESEARCH 4yr'!I65+'PUBLIC SERVICE 4yr'!I65+'ASptISptSSv 4yr'!I65+'PLANT OPER MAIN 4yr'!I65+'SCHOLAR FELLOW 4yr'!I65+'All Other 4yr'!I65)-I65</f>
        <v>0</v>
      </c>
      <c r="AN65" s="74">
        <f>('Instruction-4YR'!J65+'RESEARCH 4yr'!J65+'PUBLIC SERVICE 4yr'!J65+'ASptISptSSv 4yr'!J65+'PLANT OPER MAIN 4yr'!J65+'SCHOLAR FELLOW 4yr'!J65+'All Other 4yr'!J65)-J65</f>
        <v>0</v>
      </c>
      <c r="AO65" s="74">
        <f>('Instruction-4YR'!K65+'RESEARCH 4yr'!K65+'PUBLIC SERVICE 4yr'!K65+'ASptISptSSv 4yr'!K65+'PLANT OPER MAIN 4yr'!K65+'SCHOLAR FELLOW 4yr'!K65+'All Other 4yr'!K65)-K65</f>
        <v>0</v>
      </c>
      <c r="AP65" s="74">
        <f>('Instruction-4YR'!L65+'RESEARCH 4yr'!L65+'PUBLIC SERVICE 4yr'!L65+'ASptISptSSv 4yr'!L65+'PLANT OPER MAIN 4yr'!L65+'SCHOLAR FELLOW 4yr'!L65+'All Other 4yr'!L65)-L65</f>
        <v>0</v>
      </c>
      <c r="AQ65" s="74">
        <f>('Instruction-4YR'!M65+'RESEARCH 4yr'!M65+'PUBLIC SERVICE 4yr'!M65+'ASptISptSSv 4yr'!M65+'PLANT OPER MAIN 4yr'!M65+'SCHOLAR FELLOW 4yr'!M65+'All Other 4yr'!M65)-M65</f>
        <v>0</v>
      </c>
      <c r="AR65" s="74">
        <f>('Instruction-4YR'!N65+'RESEARCH 4yr'!N65+'PUBLIC SERVICE 4yr'!N65+'ASptISptSSv 4yr'!N65+'PLANT OPER MAIN 4yr'!N65+'SCHOLAR FELLOW 4yr'!N65+'All Other 4yr'!N65)-N65</f>
        <v>0</v>
      </c>
      <c r="AS65" s="74">
        <f>('Instruction-4YR'!O65+'RESEARCH 4yr'!O65+'PUBLIC SERVICE 4yr'!O65+'ASptISptSSv 4yr'!O65+'PLANT OPER MAIN 4yr'!O65+'SCHOLAR FELLOW 4yr'!O65+'All Other 4yr'!O65)-O65</f>
        <v>0</v>
      </c>
      <c r="AT65" s="74">
        <f>('Instruction-4YR'!P65+'RESEARCH 4yr'!P65+'PUBLIC SERVICE 4yr'!P65+'ASptISptSSv 4yr'!P65+'PLANT OPER MAIN 4yr'!P65+'SCHOLAR FELLOW 4yr'!P65+'All Other 4yr'!P65)-P65</f>
        <v>0</v>
      </c>
      <c r="AU65" s="74">
        <f>('Instruction-4YR'!Q65+'RESEARCH 4yr'!Q65+'PUBLIC SERVICE 4yr'!Q65+'ASptISptSSv 4yr'!Q65+'PLANT OPER MAIN 4yr'!Q65+'SCHOLAR FELLOW 4yr'!Q65+'All Other 4yr'!Q65)-Q65</f>
        <v>0</v>
      </c>
      <c r="AV65" s="74">
        <f>('Instruction-4YR'!R65+'RESEARCH 4yr'!R65+'PUBLIC SERVICE 4yr'!R65+'ASptISptSSv 4yr'!R65+'PLANT OPER MAIN 4yr'!R65+'SCHOLAR FELLOW 4yr'!R65+'All Other 4yr'!R65)-R65</f>
        <v>0</v>
      </c>
      <c r="AW65" s="74">
        <f>('Instruction-4YR'!S65+'RESEARCH 4yr'!S65+'PUBLIC SERVICE 4yr'!S65+'ASptISptSSv 4yr'!S65+'PLANT OPER MAIN 4yr'!S65+'SCHOLAR FELLOW 4yr'!S65+'All Other 4yr'!S65)-S65</f>
        <v>0</v>
      </c>
      <c r="AX65" s="74">
        <f>('Instruction-4YR'!T65+'RESEARCH 4yr'!T65+'PUBLIC SERVICE 4yr'!T65+'ASptISptSSv 4yr'!T65+'PLANT OPER MAIN 4yr'!T65+'SCHOLAR FELLOW 4yr'!T65+'All Other 4yr'!T65)-T65</f>
        <v>16237.924499999994</v>
      </c>
      <c r="AY65" s="74">
        <f>('Instruction-4YR'!U65+'RESEARCH 4yr'!U65+'PUBLIC SERVICE 4yr'!U65+'ASptISptSSv 4yr'!U65+'PLANT OPER MAIN 4yr'!U65+'SCHOLAR FELLOW 4yr'!U65+'All Other 4yr'!U65)-U65</f>
        <v>0</v>
      </c>
      <c r="AZ65" s="74">
        <f>('Instruction-4YR'!V65+'RESEARCH 4yr'!V65+'PUBLIC SERVICE 4yr'!V65+'ASptISptSSv 4yr'!V65+'PLANT OPER MAIN 4yr'!V65+'SCHOLAR FELLOW 4yr'!V65+'All Other 4yr'!V65)-V65</f>
        <v>0</v>
      </c>
      <c r="BA65" s="74">
        <f>('Instruction-4YR'!W65+'RESEARCH 4yr'!W65+'PUBLIC SERVICE 4yr'!W65+'ASptISptSSv 4yr'!W65+'PLANT OPER MAIN 4yr'!W65+'SCHOLAR FELLOW 4yr'!W65+'All Other 4yr'!W65)-W65</f>
        <v>0</v>
      </c>
      <c r="BB65" s="74">
        <f>('Instruction-4YR'!X65+'RESEARCH 4yr'!X65+'PUBLIC SERVICE 4yr'!X65+'ASptISptSSv 4yr'!X65+'PLANT OPER MAIN 4yr'!X65+'SCHOLAR FELLOW 4yr'!X65+'All Other 4yr'!X65)-X65</f>
        <v>0</v>
      </c>
      <c r="BC65" s="74">
        <f>('Instruction-4YR'!Y65+'RESEARCH 4yr'!Y65+'PUBLIC SERVICE 4yr'!Y65+'ASptISptSSv 4yr'!Y65+'PLANT OPER MAIN 4yr'!Y65+'SCHOLAR FELLOW 4yr'!Y65+'All Other 4yr'!Y65)-Y65</f>
        <v>0</v>
      </c>
      <c r="BD65" s="74">
        <f>('Instruction-4YR'!Z65+'RESEARCH 4yr'!Z65+'PUBLIC SERVICE 4yr'!Z65+'ASptISptSSv 4yr'!Z65+'PLANT OPER MAIN 4yr'!Z65+'SCHOLAR FELLOW 4yr'!Z65+'All Other 4yr'!Z65)-Z65</f>
        <v>0</v>
      </c>
      <c r="BE65" s="74">
        <f>('Instruction-4YR'!AA65+'RESEARCH 4yr'!AA65+'PUBLIC SERVICE 4yr'!AA65+'ASptISptSSv 4yr'!AA65+'PLANT OPER MAIN 4yr'!AA65+'SCHOLAR FELLOW 4yr'!AA65+'All Other 4yr'!AA65)-AA65</f>
        <v>0</v>
      </c>
      <c r="BF65" s="74">
        <f>('Instruction-4YR'!AB65+'RESEARCH 4yr'!AB65+'PUBLIC SERVICE 4yr'!AB65+'ASptISptSSv 4yr'!AB65+'PLANT OPER MAIN 4yr'!AB65+'SCHOLAR FELLOW 4yr'!AB65+'All Other 4yr'!AB65)-AB65</f>
        <v>0</v>
      </c>
      <c r="BG65" s="74">
        <f>('Instruction-4YR'!AC65+'RESEARCH 4yr'!AC65+'PUBLIC SERVICE 4yr'!AC65+'ASptISptSSv 4yr'!AC65+'PLANT OPER MAIN 4yr'!AC65+'SCHOLAR FELLOW 4yr'!AC65+'All Other 4yr'!AC65)-AC65</f>
        <v>0</v>
      </c>
      <c r="BH65" s="74">
        <f>('Instruction-4YR'!AD65+'RESEARCH 4yr'!AD65+'PUBLIC SERVICE 4yr'!AD65+'ASptISptSSv 4yr'!AD65+'PLANT OPER MAIN 4yr'!AD65+'SCHOLAR FELLOW 4yr'!AD65+'All Other 4yr'!AD65)-AD65</f>
        <v>0</v>
      </c>
      <c r="BI65" s="74">
        <f>('Instruction-4YR'!AE65+'RESEARCH 4yr'!AE65+'PUBLIC SERVICE 4yr'!AE65+'ASptISptSSv 4yr'!AE65+'PLANT OPER MAIN 4yr'!AE65+'SCHOLAR FELLOW 4yr'!AE65+'All Other 4yr'!AE65)-AE65</f>
        <v>0</v>
      </c>
    </row>
    <row r="67" spans="1:61">
      <c r="E67" s="1" t="s">
        <v>98</v>
      </c>
      <c r="I67" s="42" t="s">
        <v>99</v>
      </c>
      <c r="J67" s="42" t="s">
        <v>100</v>
      </c>
      <c r="L67" s="1" t="s">
        <v>101</v>
      </c>
      <c r="O67" s="1" t="s">
        <v>99</v>
      </c>
      <c r="P67" s="1" t="s">
        <v>99</v>
      </c>
      <c r="Q67" s="1" t="s">
        <v>99</v>
      </c>
      <c r="R67" s="1" t="s">
        <v>99</v>
      </c>
    </row>
    <row r="68" spans="1:61">
      <c r="I68" s="1" t="s">
        <v>102</v>
      </c>
      <c r="J68" s="1" t="s">
        <v>103</v>
      </c>
      <c r="L68" s="1" t="s">
        <v>104</v>
      </c>
      <c r="O68" s="1" t="s">
        <v>102</v>
      </c>
      <c r="P68" s="1" t="s">
        <v>102</v>
      </c>
      <c r="Q68" s="1" t="s">
        <v>102</v>
      </c>
      <c r="R68" s="1" t="s">
        <v>102</v>
      </c>
    </row>
    <row r="69" spans="1:61">
      <c r="I69" s="1" t="s">
        <v>105</v>
      </c>
      <c r="J69" s="1" t="s">
        <v>106</v>
      </c>
      <c r="O69" s="1" t="s">
        <v>105</v>
      </c>
      <c r="P69" s="1" t="s">
        <v>105</v>
      </c>
      <c r="Q69" s="1" t="s">
        <v>105</v>
      </c>
      <c r="R69" s="1" t="s">
        <v>105</v>
      </c>
    </row>
    <row r="70" spans="1:61">
      <c r="J70" s="1" t="s">
        <v>107</v>
      </c>
    </row>
  </sheetData>
  <phoneticPr fontId="6" type="noConversion"/>
  <pageMargins left="0.5" right="0.5" top="0.5" bottom="0.55000000000000004" header="0.5" footer="0.5"/>
  <pageSetup scale="76" orientation="landscape" verticalDpi="300" r:id="rId1"/>
  <headerFooter alignWithMargins="0">
    <oddFooter>&amp;LSREB Fact Book 1996/1997&amp;CUpdate&amp;R&amp;D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14">
    <tabColor rgb="FF0099FF"/>
  </sheetPr>
  <dimension ref="A1:BI70"/>
  <sheetViews>
    <sheetView zoomScale="98" zoomScaleNormal="98" workbookViewId="0">
      <pane xSplit="1" ySplit="6" topLeftCell="T37" activePane="bottomRight" state="frozen"/>
      <selection pane="topRight" activeCell="B1" sqref="B1"/>
      <selection pane="bottomLeft" activeCell="A7" sqref="A7"/>
      <selection pane="bottomRight" activeCell="AE27" sqref="AE27"/>
    </sheetView>
  </sheetViews>
  <sheetFormatPr defaultColWidth="9.85546875" defaultRowHeight="12.75"/>
  <cols>
    <col min="1" max="1" width="23.42578125" style="43" customWidth="1"/>
    <col min="2" max="32" width="12.42578125" style="1" customWidth="1"/>
    <col min="33" max="35" width="9.85546875" style="1"/>
    <col min="36" max="36" width="13.42578125" style="1" customWidth="1"/>
    <col min="37" max="51" width="9.85546875" style="1"/>
    <col min="52" max="53" width="11.140625" style="1" bestFit="1" customWidth="1"/>
    <col min="54" max="16384" width="9.85546875" style="1"/>
  </cols>
  <sheetData>
    <row r="1" spans="1:61">
      <c r="A1" s="7" t="s">
        <v>94</v>
      </c>
      <c r="D1" s="9"/>
      <c r="E1" s="9"/>
      <c r="AD1" s="1">
        <v>1000</v>
      </c>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row>
    <row r="2" spans="1:61">
      <c r="A2" s="1"/>
      <c r="D2" s="9"/>
      <c r="E2" s="9"/>
      <c r="AF2" s="74" t="s">
        <v>23</v>
      </c>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row>
    <row r="3" spans="1:61">
      <c r="A3" s="1" t="s">
        <v>95</v>
      </c>
      <c r="D3" s="9"/>
      <c r="E3" s="9"/>
      <c r="AB3" s="101" t="s">
        <v>108</v>
      </c>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row>
    <row r="4" spans="1:61" s="32" customFormat="1">
      <c r="A4" s="92"/>
      <c r="B4" s="92">
        <v>1984</v>
      </c>
      <c r="C4" s="92">
        <v>1985</v>
      </c>
      <c r="D4" s="92">
        <v>1986</v>
      </c>
      <c r="E4" s="92">
        <v>1991</v>
      </c>
      <c r="F4" s="92">
        <v>1992</v>
      </c>
      <c r="G4" s="92">
        <v>1993</v>
      </c>
      <c r="H4" s="92">
        <v>1994</v>
      </c>
      <c r="I4" s="92">
        <v>1995</v>
      </c>
      <c r="J4" s="92">
        <v>1996</v>
      </c>
      <c r="K4" s="92">
        <v>1997</v>
      </c>
      <c r="L4" s="92">
        <v>2000</v>
      </c>
      <c r="M4" s="93">
        <v>2001</v>
      </c>
      <c r="N4" s="93">
        <v>2002</v>
      </c>
      <c r="O4" s="93">
        <v>2003</v>
      </c>
      <c r="P4" s="93">
        <v>2004</v>
      </c>
      <c r="Q4" s="92">
        <v>2005</v>
      </c>
      <c r="R4" s="92">
        <v>2006</v>
      </c>
      <c r="S4" s="93">
        <v>2007</v>
      </c>
      <c r="T4" s="93">
        <v>2008</v>
      </c>
      <c r="U4" s="93">
        <v>2009</v>
      </c>
      <c r="V4" s="93">
        <v>2010</v>
      </c>
      <c r="W4" s="93">
        <v>2011</v>
      </c>
      <c r="X4" s="39">
        <v>2012</v>
      </c>
      <c r="Y4" s="39">
        <v>2013</v>
      </c>
      <c r="Z4" s="39">
        <v>2014</v>
      </c>
      <c r="AA4" s="39">
        <v>2015</v>
      </c>
      <c r="AB4" s="96">
        <v>2016</v>
      </c>
      <c r="AC4" s="96">
        <v>2017</v>
      </c>
      <c r="AD4" s="96">
        <v>2018</v>
      </c>
      <c r="AE4" s="96">
        <v>2019</v>
      </c>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row>
    <row r="5" spans="1:61">
      <c r="B5" s="8" t="s">
        <v>109</v>
      </c>
      <c r="C5" s="8" t="s">
        <v>109</v>
      </c>
      <c r="D5" s="8" t="s">
        <v>109</v>
      </c>
      <c r="E5" s="8" t="s">
        <v>109</v>
      </c>
      <c r="F5" s="8" t="s">
        <v>109</v>
      </c>
      <c r="G5" s="8" t="s">
        <v>109</v>
      </c>
      <c r="H5" s="8" t="s">
        <v>109</v>
      </c>
      <c r="I5" s="8" t="s">
        <v>109</v>
      </c>
      <c r="J5" s="8" t="s">
        <v>109</v>
      </c>
      <c r="K5" s="8" t="s">
        <v>109</v>
      </c>
      <c r="L5" s="8" t="s">
        <v>109</v>
      </c>
      <c r="M5" s="8" t="s">
        <v>109</v>
      </c>
      <c r="N5" s="8" t="s">
        <v>109</v>
      </c>
      <c r="O5" s="8" t="s">
        <v>109</v>
      </c>
      <c r="P5" s="8" t="s">
        <v>109</v>
      </c>
      <c r="Q5" s="8" t="s">
        <v>109</v>
      </c>
      <c r="R5" s="8" t="s">
        <v>109</v>
      </c>
      <c r="S5" s="8" t="s">
        <v>109</v>
      </c>
      <c r="T5" s="8" t="s">
        <v>109</v>
      </c>
      <c r="U5" s="8" t="s">
        <v>109</v>
      </c>
      <c r="V5" s="8" t="s">
        <v>109</v>
      </c>
      <c r="W5" s="8" t="s">
        <v>109</v>
      </c>
      <c r="X5" s="8" t="s">
        <v>109</v>
      </c>
      <c r="Y5" s="8" t="s">
        <v>109</v>
      </c>
      <c r="Z5" s="8" t="s">
        <v>109</v>
      </c>
      <c r="AA5" s="8" t="s">
        <v>109</v>
      </c>
      <c r="AB5" s="8" t="s">
        <v>109</v>
      </c>
      <c r="AC5" s="8" t="s">
        <v>109</v>
      </c>
      <c r="AD5" s="8" t="s">
        <v>109</v>
      </c>
      <c r="AE5" s="8" t="s">
        <v>109</v>
      </c>
      <c r="AF5" s="94">
        <f>+B4</f>
        <v>1984</v>
      </c>
      <c r="AG5" s="94">
        <f t="shared" ref="AG5:AX5" si="0">+C4</f>
        <v>1985</v>
      </c>
      <c r="AH5" s="94">
        <f t="shared" si="0"/>
        <v>1986</v>
      </c>
      <c r="AI5" s="94">
        <f t="shared" si="0"/>
        <v>1991</v>
      </c>
      <c r="AJ5" s="94">
        <f t="shared" si="0"/>
        <v>1992</v>
      </c>
      <c r="AK5" s="94">
        <f t="shared" si="0"/>
        <v>1993</v>
      </c>
      <c r="AL5" s="94">
        <f t="shared" si="0"/>
        <v>1994</v>
      </c>
      <c r="AM5" s="94">
        <f t="shared" si="0"/>
        <v>1995</v>
      </c>
      <c r="AN5" s="94">
        <f t="shared" si="0"/>
        <v>1996</v>
      </c>
      <c r="AO5" s="94">
        <f t="shared" si="0"/>
        <v>1997</v>
      </c>
      <c r="AP5" s="94">
        <f t="shared" si="0"/>
        <v>2000</v>
      </c>
      <c r="AQ5" s="94">
        <f t="shared" si="0"/>
        <v>2001</v>
      </c>
      <c r="AR5" s="94">
        <f t="shared" si="0"/>
        <v>2002</v>
      </c>
      <c r="AS5" s="94">
        <f t="shared" si="0"/>
        <v>2003</v>
      </c>
      <c r="AT5" s="94">
        <f t="shared" si="0"/>
        <v>2004</v>
      </c>
      <c r="AU5" s="94">
        <f t="shared" si="0"/>
        <v>2005</v>
      </c>
      <c r="AV5" s="94">
        <f t="shared" si="0"/>
        <v>2006</v>
      </c>
      <c r="AW5" s="94">
        <f t="shared" si="0"/>
        <v>2007</v>
      </c>
      <c r="AX5" s="94">
        <f t="shared" si="0"/>
        <v>2008</v>
      </c>
      <c r="AY5" s="94">
        <f>+U4</f>
        <v>2009</v>
      </c>
      <c r="AZ5" s="94">
        <f>+V4</f>
        <v>2010</v>
      </c>
      <c r="BA5" s="94">
        <f>+W4</f>
        <v>2011</v>
      </c>
      <c r="BB5" s="94">
        <f t="shared" ref="BB5:BC5" si="1">+X4</f>
        <v>2012</v>
      </c>
      <c r="BC5" s="94">
        <f t="shared" si="1"/>
        <v>2013</v>
      </c>
      <c r="BD5" s="94">
        <v>2014</v>
      </c>
      <c r="BE5" s="94">
        <v>2015</v>
      </c>
      <c r="BF5" s="94">
        <v>2016</v>
      </c>
      <c r="BG5" s="94">
        <v>2017</v>
      </c>
      <c r="BH5" s="94">
        <v>2018</v>
      </c>
      <c r="BI5" s="94">
        <v>2019</v>
      </c>
    </row>
    <row r="6" spans="1:61">
      <c r="A6" s="23" t="s">
        <v>24</v>
      </c>
      <c r="B6" s="23">
        <v>9336633</v>
      </c>
      <c r="C6" s="23">
        <v>10134773</v>
      </c>
      <c r="D6" s="23">
        <v>10918160</v>
      </c>
      <c r="E6" s="23">
        <v>16368185.961999999</v>
      </c>
      <c r="F6" s="48">
        <f>+F7+F25+F40+F54+F65</f>
        <v>17095577.778000001</v>
      </c>
      <c r="G6" s="23">
        <v>19011901.892000001</v>
      </c>
      <c r="H6" s="23">
        <v>20225167.780000001</v>
      </c>
      <c r="I6" s="48">
        <f>+I7+I25+I40+I54+I65</f>
        <v>20051797.162999999</v>
      </c>
      <c r="J6" s="23">
        <v>22213995.965999998</v>
      </c>
      <c r="K6" s="48">
        <f t="shared" ref="K6:U6" si="2">+K7+K25+K40+K54+K65</f>
        <v>23354408.553900003</v>
      </c>
      <c r="L6" s="48">
        <f t="shared" si="2"/>
        <v>26280347.176000003</v>
      </c>
      <c r="M6" s="48">
        <f t="shared" si="2"/>
        <v>28981941.023000002</v>
      </c>
      <c r="N6" s="48">
        <f t="shared" si="2"/>
        <v>31212657.851999998</v>
      </c>
      <c r="O6" s="48">
        <f t="shared" si="2"/>
        <v>32729250.809</v>
      </c>
      <c r="P6" s="48">
        <f t="shared" si="2"/>
        <v>34304819.422000006</v>
      </c>
      <c r="Q6" s="48">
        <f t="shared" si="2"/>
        <v>38113909.763000004</v>
      </c>
      <c r="R6" s="48">
        <f t="shared" si="2"/>
        <v>40060038.784000002</v>
      </c>
      <c r="S6" s="48">
        <f t="shared" si="2"/>
        <v>42820741.625</v>
      </c>
      <c r="T6" s="48">
        <f t="shared" si="2"/>
        <v>45848996.329000004</v>
      </c>
      <c r="U6" s="48">
        <f t="shared" si="2"/>
        <v>50070911.740000002</v>
      </c>
      <c r="V6" s="48">
        <f t="shared" ref="V6:W6" si="3">+V7+V25+V40+V54+V65</f>
        <v>56764162.434</v>
      </c>
      <c r="W6" s="48">
        <f t="shared" si="3"/>
        <v>61822612.404000007</v>
      </c>
      <c r="X6" s="48">
        <f t="shared" ref="X6:Y6" si="4">+X7+X25+X40+X54+X65</f>
        <v>61865935.936999999</v>
      </c>
      <c r="Y6" s="48">
        <f t="shared" si="4"/>
        <v>52790947.343000002</v>
      </c>
      <c r="Z6" s="48">
        <f t="shared" ref="Z6:AA6" si="5">+Z7+Z25+Z40+Z54+Z65</f>
        <v>53720403.541000001</v>
      </c>
      <c r="AA6" s="48">
        <f t="shared" si="5"/>
        <v>53995573.766000003</v>
      </c>
      <c r="AB6" s="48">
        <f t="shared" ref="AB6:AE6" si="6">+AB7+AB25+AB40+AB54+AB65</f>
        <v>64215242.425000004</v>
      </c>
      <c r="AC6" s="48">
        <f t="shared" si="6"/>
        <v>64222686.039999999</v>
      </c>
      <c r="AD6" s="48">
        <f t="shared" si="6"/>
        <v>0</v>
      </c>
      <c r="AE6" s="48">
        <f t="shared" si="6"/>
        <v>67605573.054999992</v>
      </c>
      <c r="AF6" s="74">
        <f>('INSTRUCTION-2YR'!B6+'RESEARCH 2yr'!B6+'PUBLIC SERVICE 2yr'!B6+'ASptISptSSv 2yr'!B6+'PLANT OPER MAIN 2yr'!B6+'SCHOLAR FELLOW 2yr'!B6+'All Other 2yr'!B6)-B6</f>
        <v>0</v>
      </c>
      <c r="AG6" s="74">
        <f>('INSTRUCTION-2YR'!C6+'RESEARCH 2yr'!C6+'PUBLIC SERVICE 2yr'!C6+'ASptISptSSv 2yr'!C6+'PLANT OPER MAIN 2yr'!C6+'SCHOLAR FELLOW 2yr'!C6+'All Other 2yr'!C6)-C6</f>
        <v>0</v>
      </c>
      <c r="AH6" s="74">
        <f>('INSTRUCTION-2YR'!D6+'RESEARCH 2yr'!D6+'PUBLIC SERVICE 2yr'!D6+'ASptISptSSv 2yr'!D6+'PLANT OPER MAIN 2yr'!D6+'SCHOLAR FELLOW 2yr'!D6+'All Other 2yr'!D6)-D6</f>
        <v>0</v>
      </c>
      <c r="AI6" s="74">
        <f>('INSTRUCTION-2YR'!E6+'RESEARCH 2yr'!E6+'PUBLIC SERVICE 2yr'!E6+'ASptISptSSv 2yr'!E6+'PLANT OPER MAIN 2yr'!E6+'SCHOLAR FELLOW 2yr'!E6+'All Other 2yr'!E6)-E6</f>
        <v>-0.26999999769032001</v>
      </c>
      <c r="AJ6" s="74">
        <f>('INSTRUCTION-2YR'!F6+'RESEARCH 2yr'!F6+'PUBLIC SERVICE 2yr'!F6+'ASptISptSSv 2yr'!F6+'PLANT OPER MAIN 2yr'!F6+'SCHOLAR FELLOW 2yr'!F6+'All Other 2yr'!F6)-F6</f>
        <v>0</v>
      </c>
      <c r="AK6" s="74">
        <f>('INSTRUCTION-2YR'!G6+'RESEARCH 2yr'!G6+'PUBLIC SERVICE 2yr'!G6+'ASptISptSSv 2yr'!G6+'PLANT OPER MAIN 2yr'!G6+'SCHOLAR FELLOW 2yr'!G6+'All Other 2yr'!G6)-G6</f>
        <v>34447.437999997288</v>
      </c>
      <c r="AL6" s="74">
        <f>('INSTRUCTION-2YR'!H6+'RESEARCH 2yr'!H6+'PUBLIC SERVICE 2yr'!H6+'ASptISptSSv 2yr'!H6+'PLANT OPER MAIN 2yr'!H6+'SCHOLAR FELLOW 2yr'!H6+'All Other 2yr'!H6)-H6</f>
        <v>0</v>
      </c>
      <c r="AM6" s="74">
        <f>('INSTRUCTION-2YR'!I6+'RESEARCH 2yr'!I6+'PUBLIC SERVICE 2yr'!I6+'ASptISptSSv 2yr'!I6+'PLANT OPER MAIN 2yr'!I6+'SCHOLAR FELLOW 2yr'!I6+'All Other 2yr'!I6)-I6</f>
        <v>0</v>
      </c>
      <c r="AN6" s="74">
        <f>('INSTRUCTION-2YR'!J6+'RESEARCH 2yr'!J6+'PUBLIC SERVICE 2yr'!J6+'ASptISptSSv 2yr'!J6+'PLANT OPER MAIN 2yr'!J6+'SCHOLAR FELLOW 2yr'!J6+'All Other 2yr'!J6)-J6</f>
        <v>0</v>
      </c>
      <c r="AO6" s="74">
        <f>('INSTRUCTION-2YR'!K6+'RESEARCH 2yr'!K6+'PUBLIC SERVICE 2yr'!K6+'ASptISptSSv 2yr'!K6+'PLANT OPER MAIN 2yr'!K6+'SCHOLAR FELLOW 2yr'!K6+'All Other 2yr'!K6)-K6</f>
        <v>0</v>
      </c>
      <c r="AP6" s="74">
        <f>('INSTRUCTION-2YR'!L6+'RESEARCH 2yr'!L6+'PUBLIC SERVICE 2yr'!L6+'ASptISptSSv 2yr'!L6+'PLANT OPER MAIN 2yr'!L6+'SCHOLAR FELLOW 2yr'!L6+'All Other 2yr'!L6)-L6</f>
        <v>0</v>
      </c>
      <c r="AQ6" s="74">
        <f>('INSTRUCTION-2YR'!M6+'RESEARCH 2yr'!M6+'PUBLIC SERVICE 2yr'!M6+'ASptISptSSv 2yr'!M6+'PLANT OPER MAIN 2yr'!M6+'SCHOLAR FELLOW 2yr'!M6+'All Other 2yr'!M6)-M6</f>
        <v>0</v>
      </c>
      <c r="AR6" s="74">
        <f>('INSTRUCTION-2YR'!N6+'RESEARCH 2yr'!N6+'PUBLIC SERVICE 2yr'!N6+'ASptISptSSv 2yr'!N6+'PLANT OPER MAIN 2yr'!N6+'SCHOLAR FELLOW 2yr'!N6+'All Other 2yr'!N6)-N6</f>
        <v>0</v>
      </c>
      <c r="AS6" s="74">
        <f>('INSTRUCTION-2YR'!O6+'RESEARCH 2yr'!O6+'PUBLIC SERVICE 2yr'!O6+'ASptISptSSv 2yr'!O6+'PLANT OPER MAIN 2yr'!O6+'SCHOLAR FELLOW 2yr'!O6+'All Other 2yr'!O6)-O6</f>
        <v>0</v>
      </c>
      <c r="AT6" s="74">
        <f>('INSTRUCTION-2YR'!P6+'RESEARCH 2yr'!P6+'PUBLIC SERVICE 2yr'!P6+'ASptISptSSv 2yr'!P6+'PLANT OPER MAIN 2yr'!P6+'SCHOLAR FELLOW 2yr'!P6+'All Other 2yr'!P6)-P6</f>
        <v>0</v>
      </c>
      <c r="AU6" s="74">
        <f>('INSTRUCTION-2YR'!Q6+'RESEARCH 2yr'!Q6+'PUBLIC SERVICE 2yr'!Q6+'ASptISptSSv 2yr'!Q6+'PLANT OPER MAIN 2yr'!Q6+'SCHOLAR FELLOW 2yr'!Q6+'All Other 2yr'!Q6)-Q6</f>
        <v>0</v>
      </c>
      <c r="AV6" s="74">
        <f>('INSTRUCTION-2YR'!R6+'RESEARCH 2yr'!R6+'PUBLIC SERVICE 2yr'!R6+'ASptISptSSv 2yr'!R6+'PLANT OPER MAIN 2yr'!R6+'SCHOLAR FELLOW 2yr'!R6+'All Other 2yr'!R6)-R6</f>
        <v>0</v>
      </c>
      <c r="AW6" s="74">
        <f>('INSTRUCTION-2YR'!S6+'RESEARCH 2yr'!S6+'PUBLIC SERVICE 2yr'!S6+'ASptISptSSv 2yr'!S6+'PLANT OPER MAIN 2yr'!S6+'SCHOLAR FELLOW 2yr'!S6+'All Other 2yr'!S6)-S6</f>
        <v>0</v>
      </c>
      <c r="AX6" s="74">
        <f>('INSTRUCTION-2YR'!T6+'RESEARCH 2yr'!T6+'PUBLIC SERVICE 2yr'!T6+'ASptISptSSv 2yr'!T6+'PLANT OPER MAIN 2yr'!T6+'SCHOLAR FELLOW 2yr'!T6+'All Other 2yr'!T6)-T6</f>
        <v>0</v>
      </c>
      <c r="AY6" s="74">
        <f>('INSTRUCTION-2YR'!U6+'RESEARCH 2yr'!U6+'PUBLIC SERVICE 2yr'!U6+'ASptISptSSv 2yr'!U6+'PLANT OPER MAIN 2yr'!U6+'SCHOLAR FELLOW 2yr'!U6+'All Other 2yr'!U6)-U6</f>
        <v>0</v>
      </c>
      <c r="AZ6" s="74">
        <f>('INSTRUCTION-2YR'!V6+'RESEARCH 2yr'!V6+'PUBLIC SERVICE 2yr'!V6+'ASptISptSSv 2yr'!V6+'PLANT OPER MAIN 2yr'!V6+'SCHOLAR FELLOW 2yr'!V6+'All Other 2yr'!V6)-V6</f>
        <v>0</v>
      </c>
      <c r="BA6" s="74">
        <f>('INSTRUCTION-2YR'!W6+'RESEARCH 2yr'!W6+'PUBLIC SERVICE 2yr'!W6+'ASptISptSSv 2yr'!W6+'PLANT OPER MAIN 2yr'!W6+'SCHOLAR FELLOW 2yr'!W6+'All Other 2yr'!W6)-W6</f>
        <v>0</v>
      </c>
      <c r="BB6" s="74">
        <f>('INSTRUCTION-2YR'!X6+'RESEARCH 2yr'!X6+'PUBLIC SERVICE 2yr'!X6+'ASptISptSSv 2yr'!X6+'PLANT OPER MAIN 2yr'!X6+'SCHOLAR FELLOW 2yr'!X6+'All Other 2yr'!X6)-X6</f>
        <v>0</v>
      </c>
      <c r="BC6" s="74">
        <f>('INSTRUCTION-2YR'!Y6+'RESEARCH 2yr'!Y6+'PUBLIC SERVICE 2yr'!Y6+'ASptISptSSv 2yr'!Y6+'PLANT OPER MAIN 2yr'!Y6+'SCHOLAR FELLOW 2yr'!Y6+'All Other 2yr'!Y6)-Y6</f>
        <v>0</v>
      </c>
      <c r="BD6" s="74">
        <f>('INSTRUCTION-2YR'!Z6+'RESEARCH 2yr'!Z6+'PUBLIC SERVICE 2yr'!Z6+'ASptISptSSv 2yr'!Z6+'PLANT OPER MAIN 2yr'!Z6+'SCHOLAR FELLOW 2yr'!Z6+'All Other 2yr'!Z6)-Z6</f>
        <v>0</v>
      </c>
      <c r="BE6" s="74">
        <f>('INSTRUCTION-2YR'!AA6+'RESEARCH 2yr'!AA6+'PUBLIC SERVICE 2yr'!AA6+'ASptISptSSv 2yr'!AA6+'PLANT OPER MAIN 2yr'!AA6+'SCHOLAR FELLOW 2yr'!AA6+'All Other 2yr'!AA6)-AA6</f>
        <v>0</v>
      </c>
      <c r="BF6" s="74">
        <f>('INSTRUCTION-2YR'!AB6+'RESEARCH 2yr'!AB6+'PUBLIC SERVICE 2yr'!AB6+'ASptISptSSv 2yr'!AB6+'PLANT OPER MAIN 2yr'!AB6+'SCHOLAR FELLOW 2yr'!AB6+'All Other 2yr'!AB6)-AB6</f>
        <v>174700.68999999762</v>
      </c>
      <c r="BG6" s="74">
        <f>('INSTRUCTION-2YR'!AC6+'RESEARCH 2yr'!AC6+'PUBLIC SERVICE 2yr'!AC6+'ASptISptSSv 2yr'!AC6+'PLANT OPER MAIN 2yr'!AC6+'SCHOLAR FELLOW 2yr'!AC6+'All Other 2yr'!AC6)-AC6</f>
        <v>0</v>
      </c>
      <c r="BH6" s="74">
        <f>('INSTRUCTION-2YR'!AD6+'RESEARCH 2yr'!AD6+'PUBLIC SERVICE 2yr'!AD6+'ASptISptSSv 2yr'!AD6+'PLANT OPER MAIN 2yr'!AD6+'SCHOLAR FELLOW 2yr'!AD6+'All Other 2yr'!AD6)-AD6</f>
        <v>0</v>
      </c>
      <c r="BI6" s="74">
        <f>('INSTRUCTION-2YR'!AE6+'RESEARCH 2yr'!AE6+'PUBLIC SERVICE 2yr'!AE6+'ASptISptSSv 2yr'!AE6+'PLANT OPER MAIN 2yr'!AE6+'SCHOLAR FELLOW 2yr'!AE6+'All Other 2yr'!AE6)-AE6</f>
        <v>0</v>
      </c>
    </row>
    <row r="7" spans="1:61">
      <c r="A7" s="1" t="s">
        <v>25</v>
      </c>
      <c r="B7" s="47">
        <f>SUM(B8:B24)</f>
        <v>2704800</v>
      </c>
      <c r="C7" s="47">
        <f t="shared" ref="C7:U7" si="7">SUM(C8:C24)</f>
        <v>2975311</v>
      </c>
      <c r="D7" s="47">
        <f t="shared" si="7"/>
        <v>3211453</v>
      </c>
      <c r="E7" s="47">
        <f t="shared" si="7"/>
        <v>4968177.3829999994</v>
      </c>
      <c r="F7" s="47">
        <f t="shared" si="7"/>
        <v>5216975.4790000003</v>
      </c>
      <c r="G7" s="47">
        <f t="shared" si="7"/>
        <v>5766278.0020000003</v>
      </c>
      <c r="H7" s="47">
        <f t="shared" si="7"/>
        <v>6245675.1499999994</v>
      </c>
      <c r="I7" s="47">
        <f t="shared" si="7"/>
        <v>6444016.7089999998</v>
      </c>
      <c r="J7" s="47">
        <f t="shared" si="7"/>
        <v>6834089.2351000002</v>
      </c>
      <c r="K7" s="47">
        <f t="shared" si="7"/>
        <v>7224553.06965</v>
      </c>
      <c r="L7" s="47">
        <f t="shared" si="7"/>
        <v>9112481.4290000014</v>
      </c>
      <c r="M7" s="47">
        <f t="shared" si="7"/>
        <v>10225185.011</v>
      </c>
      <c r="N7" s="47">
        <f t="shared" si="7"/>
        <v>10701656.964</v>
      </c>
      <c r="O7" s="47">
        <f t="shared" si="7"/>
        <v>11043569.828</v>
      </c>
      <c r="P7" s="47">
        <f t="shared" si="7"/>
        <v>11518188.572000002</v>
      </c>
      <c r="Q7" s="47">
        <f t="shared" si="7"/>
        <v>12588881.856000001</v>
      </c>
      <c r="R7" s="47">
        <f t="shared" si="7"/>
        <v>13222327.601</v>
      </c>
      <c r="S7" s="47">
        <f t="shared" si="7"/>
        <v>14408507.211000001</v>
      </c>
      <c r="T7" s="47">
        <f t="shared" si="7"/>
        <v>15572513.372000003</v>
      </c>
      <c r="U7" s="47">
        <f t="shared" si="7"/>
        <v>16579671.682000004</v>
      </c>
      <c r="V7" s="47">
        <f t="shared" ref="V7:W7" si="8">SUM(V8:V24)</f>
        <v>20137418.838000003</v>
      </c>
      <c r="W7" s="47">
        <f t="shared" si="8"/>
        <v>21940042.247000001</v>
      </c>
      <c r="X7" s="47">
        <f t="shared" ref="X7:Y7" si="9">SUM(X8:X24)</f>
        <v>21844861.050999999</v>
      </c>
      <c r="Y7" s="47">
        <f t="shared" si="9"/>
        <v>20572220.140000001</v>
      </c>
      <c r="Z7" s="47">
        <f t="shared" ref="Z7:AA7" si="10">SUM(Z8:Z24)</f>
        <v>20761342.049999997</v>
      </c>
      <c r="AA7" s="47">
        <f t="shared" si="10"/>
        <v>20684121.181000002</v>
      </c>
      <c r="AB7" s="47">
        <f t="shared" ref="AB7:AC7" si="11">SUM(AB8:AB24)</f>
        <v>21774168.212000001</v>
      </c>
      <c r="AC7" s="47">
        <f t="shared" si="11"/>
        <v>20997922.155999999</v>
      </c>
      <c r="AD7" s="47">
        <f t="shared" ref="AD7:AE7" si="12">SUM(AD8:AD24)</f>
        <v>0</v>
      </c>
      <c r="AE7" s="47">
        <f t="shared" si="12"/>
        <v>21821032.958999999</v>
      </c>
      <c r="AF7" s="74">
        <f>('INSTRUCTION-2YR'!B7+'RESEARCH 2yr'!B7+'PUBLIC SERVICE 2yr'!B7+'ASptISptSSv 2yr'!B7+'PLANT OPER MAIN 2yr'!B7+'SCHOLAR FELLOW 2yr'!B7+'All Other 2yr'!B7)-B7</f>
        <v>0</v>
      </c>
      <c r="AG7" s="74">
        <f>('INSTRUCTION-2YR'!C7+'RESEARCH 2yr'!C7+'PUBLIC SERVICE 2yr'!C7+'ASptISptSSv 2yr'!C7+'PLANT OPER MAIN 2yr'!C7+'SCHOLAR FELLOW 2yr'!C7+'All Other 2yr'!C7)-C7</f>
        <v>0</v>
      </c>
      <c r="AH7" s="74">
        <f>('INSTRUCTION-2YR'!D7+'RESEARCH 2yr'!D7+'PUBLIC SERVICE 2yr'!D7+'ASptISptSSv 2yr'!D7+'PLANT OPER MAIN 2yr'!D7+'SCHOLAR FELLOW 2yr'!D7+'All Other 2yr'!D7)-D7</f>
        <v>0</v>
      </c>
      <c r="AI7" s="74">
        <f>('INSTRUCTION-2YR'!E7+'RESEARCH 2yr'!E7+'PUBLIC SERVICE 2yr'!E7+'ASptISptSSv 2yr'!E7+'PLANT OPER MAIN 2yr'!E7+'SCHOLAR FELLOW 2yr'!E7+'All Other 2yr'!E7)-E7</f>
        <v>0</v>
      </c>
      <c r="AJ7" s="74">
        <f>('INSTRUCTION-2YR'!F7+'RESEARCH 2yr'!F7+'PUBLIC SERVICE 2yr'!F7+'ASptISptSSv 2yr'!F7+'PLANT OPER MAIN 2yr'!F7+'SCHOLAR FELLOW 2yr'!F7+'All Other 2yr'!F7)-F7</f>
        <v>0</v>
      </c>
      <c r="AK7" s="74">
        <f>('INSTRUCTION-2YR'!G7+'RESEARCH 2yr'!G7+'PUBLIC SERVICE 2yr'!G7+'ASptISptSSv 2yr'!G7+'PLANT OPER MAIN 2yr'!G7+'SCHOLAR FELLOW 2yr'!G7+'All Other 2yr'!G7)-G7</f>
        <v>0</v>
      </c>
      <c r="AL7" s="74">
        <f>('INSTRUCTION-2YR'!H7+'RESEARCH 2yr'!H7+'PUBLIC SERVICE 2yr'!H7+'ASptISptSSv 2yr'!H7+'PLANT OPER MAIN 2yr'!H7+'SCHOLAR FELLOW 2yr'!H7+'All Other 2yr'!H7)-H7</f>
        <v>0</v>
      </c>
      <c r="AM7" s="74">
        <f>('INSTRUCTION-2YR'!I7+'RESEARCH 2yr'!I7+'PUBLIC SERVICE 2yr'!I7+'ASptISptSSv 2yr'!I7+'PLANT OPER MAIN 2yr'!I7+'SCHOLAR FELLOW 2yr'!I7+'All Other 2yr'!I7)-I7</f>
        <v>0</v>
      </c>
      <c r="AN7" s="74">
        <f>('INSTRUCTION-2YR'!J7+'RESEARCH 2yr'!J7+'PUBLIC SERVICE 2yr'!J7+'ASptISptSSv 2yr'!J7+'PLANT OPER MAIN 2yr'!J7+'SCHOLAR FELLOW 2yr'!J7+'All Other 2yr'!J7)-J7</f>
        <v>0</v>
      </c>
      <c r="AO7" s="74">
        <f>('INSTRUCTION-2YR'!K7+'RESEARCH 2yr'!K7+'PUBLIC SERVICE 2yr'!K7+'ASptISptSSv 2yr'!K7+'PLANT OPER MAIN 2yr'!K7+'SCHOLAR FELLOW 2yr'!K7+'All Other 2yr'!K7)-K7</f>
        <v>0</v>
      </c>
      <c r="AP7" s="74">
        <f>('INSTRUCTION-2YR'!L7+'RESEARCH 2yr'!L7+'PUBLIC SERVICE 2yr'!L7+'ASptISptSSv 2yr'!L7+'PLANT OPER MAIN 2yr'!L7+'SCHOLAR FELLOW 2yr'!L7+'All Other 2yr'!L7)-L7</f>
        <v>0</v>
      </c>
      <c r="AQ7" s="74">
        <f>('INSTRUCTION-2YR'!M7+'RESEARCH 2yr'!M7+'PUBLIC SERVICE 2yr'!M7+'ASptISptSSv 2yr'!M7+'PLANT OPER MAIN 2yr'!M7+'SCHOLAR FELLOW 2yr'!M7+'All Other 2yr'!M7)-M7</f>
        <v>0</v>
      </c>
      <c r="AR7" s="74">
        <f>('INSTRUCTION-2YR'!N7+'RESEARCH 2yr'!N7+'PUBLIC SERVICE 2yr'!N7+'ASptISptSSv 2yr'!N7+'PLANT OPER MAIN 2yr'!N7+'SCHOLAR FELLOW 2yr'!N7+'All Other 2yr'!N7)-N7</f>
        <v>0</v>
      </c>
      <c r="AS7" s="74">
        <f>('INSTRUCTION-2YR'!O7+'RESEARCH 2yr'!O7+'PUBLIC SERVICE 2yr'!O7+'ASptISptSSv 2yr'!O7+'PLANT OPER MAIN 2yr'!O7+'SCHOLAR FELLOW 2yr'!O7+'All Other 2yr'!O7)-O7</f>
        <v>0</v>
      </c>
      <c r="AT7" s="74">
        <f>('INSTRUCTION-2YR'!P7+'RESEARCH 2yr'!P7+'PUBLIC SERVICE 2yr'!P7+'ASptISptSSv 2yr'!P7+'PLANT OPER MAIN 2yr'!P7+'SCHOLAR FELLOW 2yr'!P7+'All Other 2yr'!P7)-P7</f>
        <v>0</v>
      </c>
      <c r="AU7" s="74">
        <f>('INSTRUCTION-2YR'!Q7+'RESEARCH 2yr'!Q7+'PUBLIC SERVICE 2yr'!Q7+'ASptISptSSv 2yr'!Q7+'PLANT OPER MAIN 2yr'!Q7+'SCHOLAR FELLOW 2yr'!Q7+'All Other 2yr'!Q7)-Q7</f>
        <v>0</v>
      </c>
      <c r="AV7" s="74">
        <f>('INSTRUCTION-2YR'!R7+'RESEARCH 2yr'!R7+'PUBLIC SERVICE 2yr'!R7+'ASptISptSSv 2yr'!R7+'PLANT OPER MAIN 2yr'!R7+'SCHOLAR FELLOW 2yr'!R7+'All Other 2yr'!R7)-R7</f>
        <v>0</v>
      </c>
      <c r="AW7" s="74">
        <f>('INSTRUCTION-2YR'!S7+'RESEARCH 2yr'!S7+'PUBLIC SERVICE 2yr'!S7+'ASptISptSSv 2yr'!S7+'PLANT OPER MAIN 2yr'!S7+'SCHOLAR FELLOW 2yr'!S7+'All Other 2yr'!S7)-S7</f>
        <v>0</v>
      </c>
      <c r="AX7" s="74">
        <f>('INSTRUCTION-2YR'!T7+'RESEARCH 2yr'!T7+'PUBLIC SERVICE 2yr'!T7+'ASptISptSSv 2yr'!T7+'PLANT OPER MAIN 2yr'!T7+'SCHOLAR FELLOW 2yr'!T7+'All Other 2yr'!T7)-T7</f>
        <v>0</v>
      </c>
      <c r="AY7" s="74">
        <f>('INSTRUCTION-2YR'!U7+'RESEARCH 2yr'!U7+'PUBLIC SERVICE 2yr'!U7+'ASptISptSSv 2yr'!U7+'PLANT OPER MAIN 2yr'!U7+'SCHOLAR FELLOW 2yr'!U7+'All Other 2yr'!U7)-U7</f>
        <v>0</v>
      </c>
      <c r="AZ7" s="74">
        <f>('INSTRUCTION-2YR'!V7+'RESEARCH 2yr'!V7+'PUBLIC SERVICE 2yr'!V7+'ASptISptSSv 2yr'!V7+'PLANT OPER MAIN 2yr'!V7+'SCHOLAR FELLOW 2yr'!V7+'All Other 2yr'!V7)-V7</f>
        <v>0</v>
      </c>
      <c r="BA7" s="74">
        <f>('INSTRUCTION-2YR'!W7+'RESEARCH 2yr'!W7+'PUBLIC SERVICE 2yr'!W7+'ASptISptSSv 2yr'!W7+'PLANT OPER MAIN 2yr'!W7+'SCHOLAR FELLOW 2yr'!W7+'All Other 2yr'!W7)-W7</f>
        <v>0</v>
      </c>
      <c r="BB7" s="74">
        <f>('INSTRUCTION-2YR'!X7+'RESEARCH 2yr'!X7+'PUBLIC SERVICE 2yr'!X7+'ASptISptSSv 2yr'!X7+'PLANT OPER MAIN 2yr'!X7+'SCHOLAR FELLOW 2yr'!X7+'All Other 2yr'!X7)-X7</f>
        <v>0</v>
      </c>
      <c r="BC7" s="74">
        <f>('INSTRUCTION-2YR'!Y7+'RESEARCH 2yr'!Y7+'PUBLIC SERVICE 2yr'!Y7+'ASptISptSSv 2yr'!Y7+'PLANT OPER MAIN 2yr'!Y7+'SCHOLAR FELLOW 2yr'!Y7+'All Other 2yr'!Y7)-Y7</f>
        <v>0</v>
      </c>
      <c r="BD7" s="74">
        <f>('INSTRUCTION-2YR'!Z7+'RESEARCH 2yr'!Z7+'PUBLIC SERVICE 2yr'!Z7+'ASptISptSSv 2yr'!Z7+'PLANT OPER MAIN 2yr'!Z7+'SCHOLAR FELLOW 2yr'!Z7+'All Other 2yr'!Z7)-Z7</f>
        <v>0</v>
      </c>
      <c r="BE7" s="74">
        <f>('INSTRUCTION-2YR'!AA7+'RESEARCH 2yr'!AA7+'PUBLIC SERVICE 2yr'!AA7+'ASptISptSSv 2yr'!AA7+'PLANT OPER MAIN 2yr'!AA7+'SCHOLAR FELLOW 2yr'!AA7+'All Other 2yr'!AA7)-AA7</f>
        <v>0</v>
      </c>
      <c r="BF7" s="74">
        <f>('INSTRUCTION-2YR'!AB7+'RESEARCH 2yr'!AB7+'PUBLIC SERVICE 2yr'!AB7+'ASptISptSSv 2yr'!AB7+'PLANT OPER MAIN 2yr'!AB7+'SCHOLAR FELLOW 2yr'!AB7+'All Other 2yr'!AB7)-AB7</f>
        <v>147830.73900000006</v>
      </c>
      <c r="BG7" s="74">
        <f>('INSTRUCTION-2YR'!AC7+'RESEARCH 2yr'!AC7+'PUBLIC SERVICE 2yr'!AC7+'ASptISptSSv 2yr'!AC7+'PLANT OPER MAIN 2yr'!AC7+'SCHOLAR FELLOW 2yr'!AC7+'All Other 2yr'!AC7)-AC7</f>
        <v>0</v>
      </c>
      <c r="BH7" s="74">
        <f>('INSTRUCTION-2YR'!AD7+'RESEARCH 2yr'!AD7+'PUBLIC SERVICE 2yr'!AD7+'ASptISptSSv 2yr'!AD7+'PLANT OPER MAIN 2yr'!AD7+'SCHOLAR FELLOW 2yr'!AD7+'All Other 2yr'!AD7)-AD7</f>
        <v>0</v>
      </c>
      <c r="BI7" s="74">
        <f>('INSTRUCTION-2YR'!AE7+'RESEARCH 2yr'!AE7+'PUBLIC SERVICE 2yr'!AE7+'ASptISptSSv 2yr'!AE7+'PLANT OPER MAIN 2yr'!AE7+'SCHOLAR FELLOW 2yr'!AE7+'All Other 2yr'!AE7)-AE7</f>
        <v>0</v>
      </c>
    </row>
    <row r="8" spans="1:61">
      <c r="A8" s="7" t="s">
        <v>97</v>
      </c>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row>
    <row r="9" spans="1:61">
      <c r="A9" s="1" t="s">
        <v>26</v>
      </c>
      <c r="B9" s="1">
        <v>107204</v>
      </c>
      <c r="C9" s="1">
        <v>154551</v>
      </c>
      <c r="D9" s="1">
        <v>178881</v>
      </c>
      <c r="E9" s="1">
        <v>263813.179</v>
      </c>
      <c r="F9" s="41">
        <v>287570.48499999999</v>
      </c>
      <c r="G9" s="1">
        <v>318759.65300000005</v>
      </c>
      <c r="H9" s="1">
        <v>351325.66600000003</v>
      </c>
      <c r="I9" s="1">
        <v>358545.08199999999</v>
      </c>
      <c r="J9" s="1">
        <v>374791.14400000003</v>
      </c>
      <c r="K9" s="1">
        <v>383583.29006000009</v>
      </c>
      <c r="L9" s="1">
        <v>441291.31599999999</v>
      </c>
      <c r="M9" s="1">
        <v>478029.652</v>
      </c>
      <c r="N9" s="1">
        <v>500021.44199999998</v>
      </c>
      <c r="O9" s="1">
        <v>545093.44400000002</v>
      </c>
      <c r="P9" s="1">
        <v>569184.86100000003</v>
      </c>
      <c r="Q9" s="1">
        <v>580713.26199999999</v>
      </c>
      <c r="R9" s="1">
        <v>622600.93700000003</v>
      </c>
      <c r="S9" s="1">
        <v>661858.41099999996</v>
      </c>
      <c r="T9" s="1">
        <v>732322.68400000001</v>
      </c>
      <c r="U9" s="1">
        <v>727244.94</v>
      </c>
      <c r="V9" s="1">
        <v>915797.679</v>
      </c>
      <c r="W9" s="1">
        <v>938382.74600000004</v>
      </c>
      <c r="X9" s="1">
        <v>881555.87800000003</v>
      </c>
      <c r="Y9" s="1">
        <v>819865.70299999998</v>
      </c>
      <c r="Z9" s="1">
        <v>811486.05900000001</v>
      </c>
      <c r="AA9" s="1">
        <v>796811.87600000005</v>
      </c>
      <c r="AB9" s="1">
        <v>824608.848</v>
      </c>
      <c r="AC9" s="1">
        <v>809987.29099999997</v>
      </c>
      <c r="AE9" s="1">
        <v>828169.04200000002</v>
      </c>
      <c r="AF9" s="74">
        <f>('INSTRUCTION-2YR'!B9+'RESEARCH 2yr'!B9+'PUBLIC SERVICE 2yr'!B9+'ASptISptSSv 2yr'!B9+'PLANT OPER MAIN 2yr'!B9+'SCHOLAR FELLOW 2yr'!B9+'All Other 2yr'!B9)-B9</f>
        <v>0</v>
      </c>
      <c r="AG9" s="74">
        <f>('INSTRUCTION-2YR'!C9+'RESEARCH 2yr'!C9+'PUBLIC SERVICE 2yr'!C9+'ASptISptSSv 2yr'!C9+'PLANT OPER MAIN 2yr'!C9+'SCHOLAR FELLOW 2yr'!C9+'All Other 2yr'!C9)-C9</f>
        <v>0</v>
      </c>
      <c r="AH9" s="74">
        <f>('INSTRUCTION-2YR'!D9+'RESEARCH 2yr'!D9+'PUBLIC SERVICE 2yr'!D9+'ASptISptSSv 2yr'!D9+'PLANT OPER MAIN 2yr'!D9+'SCHOLAR FELLOW 2yr'!D9+'All Other 2yr'!D9)-D9</f>
        <v>0</v>
      </c>
      <c r="AI9" s="74">
        <f>('INSTRUCTION-2YR'!E9+'RESEARCH 2yr'!E9+'PUBLIC SERVICE 2yr'!E9+'ASptISptSSv 2yr'!E9+'PLANT OPER MAIN 2yr'!E9+'SCHOLAR FELLOW 2yr'!E9+'All Other 2yr'!E9)-E9</f>
        <v>0</v>
      </c>
      <c r="AJ9" s="74">
        <f>('INSTRUCTION-2YR'!F9+'RESEARCH 2yr'!F9+'PUBLIC SERVICE 2yr'!F9+'ASptISptSSv 2yr'!F9+'PLANT OPER MAIN 2yr'!F9+'SCHOLAR FELLOW 2yr'!F9+'All Other 2yr'!F9)-F9</f>
        <v>0</v>
      </c>
      <c r="AK9" s="74">
        <f>('INSTRUCTION-2YR'!G9+'RESEARCH 2yr'!G9+'PUBLIC SERVICE 2yr'!G9+'ASptISptSSv 2yr'!G9+'PLANT OPER MAIN 2yr'!G9+'SCHOLAR FELLOW 2yr'!G9+'All Other 2yr'!G9)-G9</f>
        <v>0</v>
      </c>
      <c r="AL9" s="74">
        <f>('INSTRUCTION-2YR'!H9+'RESEARCH 2yr'!H9+'PUBLIC SERVICE 2yr'!H9+'ASptISptSSv 2yr'!H9+'PLANT OPER MAIN 2yr'!H9+'SCHOLAR FELLOW 2yr'!H9+'All Other 2yr'!H9)-H9</f>
        <v>0</v>
      </c>
      <c r="AM9" s="74">
        <f>('INSTRUCTION-2YR'!I9+'RESEARCH 2yr'!I9+'PUBLIC SERVICE 2yr'!I9+'ASptISptSSv 2yr'!I9+'PLANT OPER MAIN 2yr'!I9+'SCHOLAR FELLOW 2yr'!I9+'All Other 2yr'!I9)-I9</f>
        <v>0</v>
      </c>
      <c r="AN9" s="74">
        <f>('INSTRUCTION-2YR'!J9+'RESEARCH 2yr'!J9+'PUBLIC SERVICE 2yr'!J9+'ASptISptSSv 2yr'!J9+'PLANT OPER MAIN 2yr'!J9+'SCHOLAR FELLOW 2yr'!J9+'All Other 2yr'!J9)-J9</f>
        <v>0</v>
      </c>
      <c r="AO9" s="74">
        <f>('INSTRUCTION-2YR'!K9+'RESEARCH 2yr'!K9+'PUBLIC SERVICE 2yr'!K9+'ASptISptSSv 2yr'!K9+'PLANT OPER MAIN 2yr'!K9+'SCHOLAR FELLOW 2yr'!K9+'All Other 2yr'!K9)-K9</f>
        <v>0</v>
      </c>
      <c r="AP9" s="74">
        <f>('INSTRUCTION-2YR'!L9+'RESEARCH 2yr'!L9+'PUBLIC SERVICE 2yr'!L9+'ASptISptSSv 2yr'!L9+'PLANT OPER MAIN 2yr'!L9+'SCHOLAR FELLOW 2yr'!L9+'All Other 2yr'!L9)-L9</f>
        <v>0</v>
      </c>
      <c r="AQ9" s="74">
        <f>('INSTRUCTION-2YR'!M9+'RESEARCH 2yr'!M9+'PUBLIC SERVICE 2yr'!M9+'ASptISptSSv 2yr'!M9+'PLANT OPER MAIN 2yr'!M9+'SCHOLAR FELLOW 2yr'!M9+'All Other 2yr'!M9)-M9</f>
        <v>0</v>
      </c>
      <c r="AR9" s="74">
        <f>('INSTRUCTION-2YR'!N9+'RESEARCH 2yr'!N9+'PUBLIC SERVICE 2yr'!N9+'ASptISptSSv 2yr'!N9+'PLANT OPER MAIN 2yr'!N9+'SCHOLAR FELLOW 2yr'!N9+'All Other 2yr'!N9)-N9</f>
        <v>0</v>
      </c>
      <c r="AS9" s="74">
        <f>('INSTRUCTION-2YR'!O9+'RESEARCH 2yr'!O9+'PUBLIC SERVICE 2yr'!O9+'ASptISptSSv 2yr'!O9+'PLANT OPER MAIN 2yr'!O9+'SCHOLAR FELLOW 2yr'!O9+'All Other 2yr'!O9)-O9</f>
        <v>0</v>
      </c>
      <c r="AT9" s="74">
        <f>('INSTRUCTION-2YR'!P9+'RESEARCH 2yr'!P9+'PUBLIC SERVICE 2yr'!P9+'ASptISptSSv 2yr'!P9+'PLANT OPER MAIN 2yr'!P9+'SCHOLAR FELLOW 2yr'!P9+'All Other 2yr'!P9)-P9</f>
        <v>0</v>
      </c>
      <c r="AU9" s="74">
        <f>('INSTRUCTION-2YR'!Q9+'RESEARCH 2yr'!Q9+'PUBLIC SERVICE 2yr'!Q9+'ASptISptSSv 2yr'!Q9+'PLANT OPER MAIN 2yr'!Q9+'SCHOLAR FELLOW 2yr'!Q9+'All Other 2yr'!Q9)-Q9</f>
        <v>0</v>
      </c>
      <c r="AV9" s="74">
        <f>('INSTRUCTION-2YR'!R9+'RESEARCH 2yr'!R9+'PUBLIC SERVICE 2yr'!R9+'ASptISptSSv 2yr'!R9+'PLANT OPER MAIN 2yr'!R9+'SCHOLAR FELLOW 2yr'!R9+'All Other 2yr'!R9)-R9</f>
        <v>0</v>
      </c>
      <c r="AW9" s="74">
        <f>('INSTRUCTION-2YR'!S9+'RESEARCH 2yr'!S9+'PUBLIC SERVICE 2yr'!S9+'ASptISptSSv 2yr'!S9+'PLANT OPER MAIN 2yr'!S9+'SCHOLAR FELLOW 2yr'!S9+'All Other 2yr'!S9)-S9</f>
        <v>0</v>
      </c>
      <c r="AX9" s="74">
        <f>('INSTRUCTION-2YR'!T9+'RESEARCH 2yr'!T9+'PUBLIC SERVICE 2yr'!T9+'ASptISptSSv 2yr'!T9+'PLANT OPER MAIN 2yr'!T9+'SCHOLAR FELLOW 2yr'!T9+'All Other 2yr'!T9)-T9</f>
        <v>0</v>
      </c>
      <c r="AY9" s="74">
        <f>('INSTRUCTION-2YR'!U9+'RESEARCH 2yr'!U9+'PUBLIC SERVICE 2yr'!U9+'ASptISptSSv 2yr'!U9+'PLANT OPER MAIN 2yr'!U9+'SCHOLAR FELLOW 2yr'!U9+'All Other 2yr'!U9)-U9</f>
        <v>0</v>
      </c>
      <c r="AZ9" s="74">
        <f>('INSTRUCTION-2YR'!V9+'RESEARCH 2yr'!V9+'PUBLIC SERVICE 2yr'!V9+'ASptISptSSv 2yr'!V9+'PLANT OPER MAIN 2yr'!V9+'SCHOLAR FELLOW 2yr'!V9+'All Other 2yr'!V9)-V9</f>
        <v>0</v>
      </c>
      <c r="BA9" s="74">
        <f>('INSTRUCTION-2YR'!W9+'RESEARCH 2yr'!W9+'PUBLIC SERVICE 2yr'!W9+'ASptISptSSv 2yr'!W9+'PLANT OPER MAIN 2yr'!W9+'SCHOLAR FELLOW 2yr'!W9+'All Other 2yr'!W9)-W9</f>
        <v>0</v>
      </c>
      <c r="BB9" s="74">
        <f>('INSTRUCTION-2YR'!X9+'RESEARCH 2yr'!X9+'PUBLIC SERVICE 2yr'!X9+'ASptISptSSv 2yr'!X9+'PLANT OPER MAIN 2yr'!X9+'SCHOLAR FELLOW 2yr'!X9+'All Other 2yr'!X9)-X9</f>
        <v>0</v>
      </c>
      <c r="BC9" s="74">
        <f>('INSTRUCTION-2YR'!Y9+'RESEARCH 2yr'!Y9+'PUBLIC SERVICE 2yr'!Y9+'ASptISptSSv 2yr'!Y9+'PLANT OPER MAIN 2yr'!Y9+'SCHOLAR FELLOW 2yr'!Y9+'All Other 2yr'!Y9)-Y9</f>
        <v>0</v>
      </c>
      <c r="BD9" s="74">
        <f>('INSTRUCTION-2YR'!Z9+'RESEARCH 2yr'!Z9+'PUBLIC SERVICE 2yr'!Z9+'ASptISptSSv 2yr'!Z9+'PLANT OPER MAIN 2yr'!Z9+'SCHOLAR FELLOW 2yr'!Z9+'All Other 2yr'!Z9)-Z9</f>
        <v>0</v>
      </c>
      <c r="BE9" s="74">
        <f>('INSTRUCTION-2YR'!AA9+'RESEARCH 2yr'!AA9+'PUBLIC SERVICE 2yr'!AA9+'ASptISptSSv 2yr'!AA9+'PLANT OPER MAIN 2yr'!AA9+'SCHOLAR FELLOW 2yr'!AA9+'All Other 2yr'!AA9)-AA9</f>
        <v>0</v>
      </c>
      <c r="BF9" s="74">
        <f>('INSTRUCTION-2YR'!AB9+'RESEARCH 2yr'!AB9+'PUBLIC SERVICE 2yr'!AB9+'ASptISptSSv 2yr'!AB9+'PLANT OPER MAIN 2yr'!AB9+'SCHOLAR FELLOW 2yr'!AB9+'All Other 2yr'!AB9)-AB9</f>
        <v>0</v>
      </c>
      <c r="BG9" s="74">
        <f>('INSTRUCTION-2YR'!AC9+'RESEARCH 2yr'!AC9+'PUBLIC SERVICE 2yr'!AC9+'ASptISptSSv 2yr'!AC9+'PLANT OPER MAIN 2yr'!AC9+'SCHOLAR FELLOW 2yr'!AC9+'All Other 2yr'!AC9)-AC9</f>
        <v>0</v>
      </c>
      <c r="BH9" s="74">
        <f>('INSTRUCTION-2YR'!AD9+'RESEARCH 2yr'!AD9+'PUBLIC SERVICE 2yr'!AD9+'ASptISptSSv 2yr'!AD9+'PLANT OPER MAIN 2yr'!AD9+'SCHOLAR FELLOW 2yr'!AD9+'All Other 2yr'!AD9)-AD9</f>
        <v>0</v>
      </c>
      <c r="BI9" s="74">
        <f>('INSTRUCTION-2YR'!AE9+'RESEARCH 2yr'!AE9+'PUBLIC SERVICE 2yr'!AE9+'ASptISptSSv 2yr'!AE9+'PLANT OPER MAIN 2yr'!AE9+'SCHOLAR FELLOW 2yr'!AE9+'All Other 2yr'!AE9)-AE9</f>
        <v>0</v>
      </c>
    </row>
    <row r="10" spans="1:61">
      <c r="A10" s="1" t="s">
        <v>27</v>
      </c>
      <c r="B10" s="1">
        <v>31071</v>
      </c>
      <c r="C10" s="1">
        <v>36911</v>
      </c>
      <c r="D10" s="1">
        <v>39446</v>
      </c>
      <c r="E10" s="1">
        <v>58890.580999999998</v>
      </c>
      <c r="F10" s="41">
        <v>67148.671000000002</v>
      </c>
      <c r="G10" s="1">
        <v>82405.843000000008</v>
      </c>
      <c r="H10" s="1">
        <v>90251.467999999993</v>
      </c>
      <c r="I10" s="1">
        <v>99772.172000000006</v>
      </c>
      <c r="J10" s="1">
        <v>144281.31599999999</v>
      </c>
      <c r="K10" s="1">
        <v>136457.02900000001</v>
      </c>
      <c r="L10" s="1">
        <v>200873.49500000005</v>
      </c>
      <c r="M10" s="1">
        <v>221818.32399999999</v>
      </c>
      <c r="N10" s="1">
        <v>266982.89500000002</v>
      </c>
      <c r="O10" s="1">
        <v>268232.19099999999</v>
      </c>
      <c r="P10" s="1">
        <v>304814.21000000002</v>
      </c>
      <c r="Q10" s="1">
        <v>321185.011</v>
      </c>
      <c r="R10" s="1">
        <v>341944.39899999998</v>
      </c>
      <c r="S10" s="1">
        <v>423091.02100000001</v>
      </c>
      <c r="T10" s="1">
        <v>473345.277</v>
      </c>
      <c r="U10" s="1">
        <v>444596.68599999999</v>
      </c>
      <c r="V10" s="1">
        <v>516657.95799999998</v>
      </c>
      <c r="W10" s="1">
        <v>584237.03099999996</v>
      </c>
      <c r="X10" s="1">
        <v>584831.81799999997</v>
      </c>
      <c r="Y10" s="1">
        <v>569240.951</v>
      </c>
      <c r="Z10" s="1">
        <v>565387.152</v>
      </c>
      <c r="AA10" s="1">
        <v>540157.85499999998</v>
      </c>
      <c r="AB10" s="1">
        <v>519879.37099999998</v>
      </c>
      <c r="AC10" s="1">
        <v>516888.21799999999</v>
      </c>
      <c r="AE10" s="1">
        <v>519238.81</v>
      </c>
      <c r="AF10" s="74">
        <f>('INSTRUCTION-2YR'!B10+'RESEARCH 2yr'!B10+'PUBLIC SERVICE 2yr'!B10+'ASptISptSSv 2yr'!B10+'PLANT OPER MAIN 2yr'!B10+'SCHOLAR FELLOW 2yr'!B10+'All Other 2yr'!B10)-B10</f>
        <v>0</v>
      </c>
      <c r="AG10" s="74">
        <f>('INSTRUCTION-2YR'!C10+'RESEARCH 2yr'!C10+'PUBLIC SERVICE 2yr'!C10+'ASptISptSSv 2yr'!C10+'PLANT OPER MAIN 2yr'!C10+'SCHOLAR FELLOW 2yr'!C10+'All Other 2yr'!C10)-C10</f>
        <v>0</v>
      </c>
      <c r="AH10" s="74">
        <f>('INSTRUCTION-2YR'!D10+'RESEARCH 2yr'!D10+'PUBLIC SERVICE 2yr'!D10+'ASptISptSSv 2yr'!D10+'PLANT OPER MAIN 2yr'!D10+'SCHOLAR FELLOW 2yr'!D10+'All Other 2yr'!D10)-D10</f>
        <v>0</v>
      </c>
      <c r="AI10" s="74">
        <f>('INSTRUCTION-2YR'!E10+'RESEARCH 2yr'!E10+'PUBLIC SERVICE 2yr'!E10+'ASptISptSSv 2yr'!E10+'PLANT OPER MAIN 2yr'!E10+'SCHOLAR FELLOW 2yr'!E10+'All Other 2yr'!E10)-E10</f>
        <v>0</v>
      </c>
      <c r="AJ10" s="74">
        <f>('INSTRUCTION-2YR'!F10+'RESEARCH 2yr'!F10+'PUBLIC SERVICE 2yr'!F10+'ASptISptSSv 2yr'!F10+'PLANT OPER MAIN 2yr'!F10+'SCHOLAR FELLOW 2yr'!F10+'All Other 2yr'!F10)-F10</f>
        <v>0</v>
      </c>
      <c r="AK10" s="74">
        <f>('INSTRUCTION-2YR'!G10+'RESEARCH 2yr'!G10+'PUBLIC SERVICE 2yr'!G10+'ASptISptSSv 2yr'!G10+'PLANT OPER MAIN 2yr'!G10+'SCHOLAR FELLOW 2yr'!G10+'All Other 2yr'!G10)-G10</f>
        <v>0</v>
      </c>
      <c r="AL10" s="74">
        <f>('INSTRUCTION-2YR'!H10+'RESEARCH 2yr'!H10+'PUBLIC SERVICE 2yr'!H10+'ASptISptSSv 2yr'!H10+'PLANT OPER MAIN 2yr'!H10+'SCHOLAR FELLOW 2yr'!H10+'All Other 2yr'!H10)-H10</f>
        <v>0</v>
      </c>
      <c r="AM10" s="74">
        <f>('INSTRUCTION-2YR'!I10+'RESEARCH 2yr'!I10+'PUBLIC SERVICE 2yr'!I10+'ASptISptSSv 2yr'!I10+'PLANT OPER MAIN 2yr'!I10+'SCHOLAR FELLOW 2yr'!I10+'All Other 2yr'!I10)-I10</f>
        <v>0</v>
      </c>
      <c r="AN10" s="74">
        <f>('INSTRUCTION-2YR'!J10+'RESEARCH 2yr'!J10+'PUBLIC SERVICE 2yr'!J10+'ASptISptSSv 2yr'!J10+'PLANT OPER MAIN 2yr'!J10+'SCHOLAR FELLOW 2yr'!J10+'All Other 2yr'!J10)-J10</f>
        <v>0</v>
      </c>
      <c r="AO10" s="74">
        <f>('INSTRUCTION-2YR'!K10+'RESEARCH 2yr'!K10+'PUBLIC SERVICE 2yr'!K10+'ASptISptSSv 2yr'!K10+'PLANT OPER MAIN 2yr'!K10+'SCHOLAR FELLOW 2yr'!K10+'All Other 2yr'!K10)-K10</f>
        <v>0</v>
      </c>
      <c r="AP10" s="74">
        <f>('INSTRUCTION-2YR'!L10+'RESEARCH 2yr'!L10+'PUBLIC SERVICE 2yr'!L10+'ASptISptSSv 2yr'!L10+'PLANT OPER MAIN 2yr'!L10+'SCHOLAR FELLOW 2yr'!L10+'All Other 2yr'!L10)-L10</f>
        <v>0</v>
      </c>
      <c r="AQ10" s="74">
        <f>('INSTRUCTION-2YR'!M10+'RESEARCH 2yr'!M10+'PUBLIC SERVICE 2yr'!M10+'ASptISptSSv 2yr'!M10+'PLANT OPER MAIN 2yr'!M10+'SCHOLAR FELLOW 2yr'!M10+'All Other 2yr'!M10)-M10</f>
        <v>0</v>
      </c>
      <c r="AR10" s="74">
        <f>('INSTRUCTION-2YR'!N10+'RESEARCH 2yr'!N10+'PUBLIC SERVICE 2yr'!N10+'ASptISptSSv 2yr'!N10+'PLANT OPER MAIN 2yr'!N10+'SCHOLAR FELLOW 2yr'!N10+'All Other 2yr'!N10)-N10</f>
        <v>0</v>
      </c>
      <c r="AS10" s="74">
        <f>('INSTRUCTION-2YR'!O10+'RESEARCH 2yr'!O10+'PUBLIC SERVICE 2yr'!O10+'ASptISptSSv 2yr'!O10+'PLANT OPER MAIN 2yr'!O10+'SCHOLAR FELLOW 2yr'!O10+'All Other 2yr'!O10)-O10</f>
        <v>0</v>
      </c>
      <c r="AT10" s="74">
        <f>('INSTRUCTION-2YR'!P10+'RESEARCH 2yr'!P10+'PUBLIC SERVICE 2yr'!P10+'ASptISptSSv 2yr'!P10+'PLANT OPER MAIN 2yr'!P10+'SCHOLAR FELLOW 2yr'!P10+'All Other 2yr'!P10)-P10</f>
        <v>0</v>
      </c>
      <c r="AU10" s="74">
        <f>('INSTRUCTION-2YR'!Q10+'RESEARCH 2yr'!Q10+'PUBLIC SERVICE 2yr'!Q10+'ASptISptSSv 2yr'!Q10+'PLANT OPER MAIN 2yr'!Q10+'SCHOLAR FELLOW 2yr'!Q10+'All Other 2yr'!Q10)-Q10</f>
        <v>0</v>
      </c>
      <c r="AV10" s="74">
        <f>('INSTRUCTION-2YR'!R10+'RESEARCH 2yr'!R10+'PUBLIC SERVICE 2yr'!R10+'ASptISptSSv 2yr'!R10+'PLANT OPER MAIN 2yr'!R10+'SCHOLAR FELLOW 2yr'!R10+'All Other 2yr'!R10)-R10</f>
        <v>0</v>
      </c>
      <c r="AW10" s="74">
        <f>('INSTRUCTION-2YR'!S10+'RESEARCH 2yr'!S10+'PUBLIC SERVICE 2yr'!S10+'ASptISptSSv 2yr'!S10+'PLANT OPER MAIN 2yr'!S10+'SCHOLAR FELLOW 2yr'!S10+'All Other 2yr'!S10)-S10</f>
        <v>0</v>
      </c>
      <c r="AX10" s="74">
        <f>('INSTRUCTION-2YR'!T10+'RESEARCH 2yr'!T10+'PUBLIC SERVICE 2yr'!T10+'ASptISptSSv 2yr'!T10+'PLANT OPER MAIN 2yr'!T10+'SCHOLAR FELLOW 2yr'!T10+'All Other 2yr'!T10)-T10</f>
        <v>0</v>
      </c>
      <c r="AY10" s="74">
        <f>('INSTRUCTION-2YR'!U10+'RESEARCH 2yr'!U10+'PUBLIC SERVICE 2yr'!U10+'ASptISptSSv 2yr'!U10+'PLANT OPER MAIN 2yr'!U10+'SCHOLAR FELLOW 2yr'!U10+'All Other 2yr'!U10)-U10</f>
        <v>0</v>
      </c>
      <c r="AZ10" s="74">
        <f>('INSTRUCTION-2YR'!V10+'RESEARCH 2yr'!V10+'PUBLIC SERVICE 2yr'!V10+'ASptISptSSv 2yr'!V10+'PLANT OPER MAIN 2yr'!V10+'SCHOLAR FELLOW 2yr'!V10+'All Other 2yr'!V10)-V10</f>
        <v>0</v>
      </c>
      <c r="BA10" s="74">
        <f>('INSTRUCTION-2YR'!W10+'RESEARCH 2yr'!W10+'PUBLIC SERVICE 2yr'!W10+'ASptISptSSv 2yr'!W10+'PLANT OPER MAIN 2yr'!W10+'SCHOLAR FELLOW 2yr'!W10+'All Other 2yr'!W10)-W10</f>
        <v>0</v>
      </c>
      <c r="BB10" s="74">
        <f>('INSTRUCTION-2YR'!X10+'RESEARCH 2yr'!X10+'PUBLIC SERVICE 2yr'!X10+'ASptISptSSv 2yr'!X10+'PLANT OPER MAIN 2yr'!X10+'SCHOLAR FELLOW 2yr'!X10+'All Other 2yr'!X10)-X10</f>
        <v>0</v>
      </c>
      <c r="BC10" s="74">
        <f>('INSTRUCTION-2YR'!Y10+'RESEARCH 2yr'!Y10+'PUBLIC SERVICE 2yr'!Y10+'ASptISptSSv 2yr'!Y10+'PLANT OPER MAIN 2yr'!Y10+'SCHOLAR FELLOW 2yr'!Y10+'All Other 2yr'!Y10)-Y10</f>
        <v>0</v>
      </c>
      <c r="BD10" s="74">
        <f>('INSTRUCTION-2YR'!Z10+'RESEARCH 2yr'!Z10+'PUBLIC SERVICE 2yr'!Z10+'ASptISptSSv 2yr'!Z10+'PLANT OPER MAIN 2yr'!Z10+'SCHOLAR FELLOW 2yr'!Z10+'All Other 2yr'!Z10)-Z10</f>
        <v>0</v>
      </c>
      <c r="BE10" s="74">
        <f>('INSTRUCTION-2YR'!AA10+'RESEARCH 2yr'!AA10+'PUBLIC SERVICE 2yr'!AA10+'ASptISptSSv 2yr'!AA10+'PLANT OPER MAIN 2yr'!AA10+'SCHOLAR FELLOW 2yr'!AA10+'All Other 2yr'!AA10)-AA10</f>
        <v>0</v>
      </c>
      <c r="BF10" s="74">
        <f>('INSTRUCTION-2YR'!AB10+'RESEARCH 2yr'!AB10+'PUBLIC SERVICE 2yr'!AB10+'ASptISptSSv 2yr'!AB10+'PLANT OPER MAIN 2yr'!AB10+'SCHOLAR FELLOW 2yr'!AB10+'All Other 2yr'!AB10)-AB10</f>
        <v>0</v>
      </c>
      <c r="BG10" s="74">
        <f>('INSTRUCTION-2YR'!AC10+'RESEARCH 2yr'!AC10+'PUBLIC SERVICE 2yr'!AC10+'ASptISptSSv 2yr'!AC10+'PLANT OPER MAIN 2yr'!AC10+'SCHOLAR FELLOW 2yr'!AC10+'All Other 2yr'!AC10)-AC10</f>
        <v>0</v>
      </c>
      <c r="BH10" s="74">
        <f>('INSTRUCTION-2YR'!AD10+'RESEARCH 2yr'!AD10+'PUBLIC SERVICE 2yr'!AD10+'ASptISptSSv 2yr'!AD10+'PLANT OPER MAIN 2yr'!AD10+'SCHOLAR FELLOW 2yr'!AD10+'All Other 2yr'!AD10)-AD10</f>
        <v>0</v>
      </c>
      <c r="BI10" s="74">
        <f>('INSTRUCTION-2YR'!AE10+'RESEARCH 2yr'!AE10+'PUBLIC SERVICE 2yr'!AE10+'ASptISptSSv 2yr'!AE10+'PLANT OPER MAIN 2yr'!AE10+'SCHOLAR FELLOW 2yr'!AE10+'All Other 2yr'!AE10)-AE10</f>
        <v>0</v>
      </c>
    </row>
    <row r="11" spans="1:61">
      <c r="A11" s="1" t="s">
        <v>28</v>
      </c>
      <c r="B11" s="1">
        <v>0</v>
      </c>
      <c r="C11" s="1">
        <v>0</v>
      </c>
      <c r="D11" s="1">
        <v>23734</v>
      </c>
      <c r="E11" s="1">
        <v>46956.055</v>
      </c>
      <c r="F11" s="41">
        <v>56203.652999999998</v>
      </c>
      <c r="G11" s="1">
        <v>0</v>
      </c>
      <c r="I11" s="1">
        <v>60935.749000000003</v>
      </c>
      <c r="J11" s="1">
        <v>68486.539999999994</v>
      </c>
      <c r="K11" s="1">
        <v>75083.567999999999</v>
      </c>
      <c r="L11" s="1">
        <v>81041.463999999993</v>
      </c>
      <c r="M11" s="1">
        <v>85989.555999999997</v>
      </c>
      <c r="N11" s="1">
        <v>87222.962</v>
      </c>
      <c r="O11" s="1">
        <v>91890.752999999997</v>
      </c>
      <c r="P11" s="1">
        <v>92469.815000000002</v>
      </c>
      <c r="Q11" s="1">
        <v>99784.84</v>
      </c>
      <c r="R11" s="1">
        <v>107363.92200000001</v>
      </c>
      <c r="S11" s="1">
        <v>112037.696</v>
      </c>
      <c r="T11" s="1">
        <v>119470.11</v>
      </c>
      <c r="U11" s="1">
        <v>122234.717</v>
      </c>
      <c r="V11" s="1">
        <v>129977.052</v>
      </c>
      <c r="W11" s="1">
        <v>149016.864</v>
      </c>
      <c r="X11" s="1">
        <v>155520.625</v>
      </c>
      <c r="Y11" s="1">
        <v>156848.46</v>
      </c>
      <c r="Z11" s="1">
        <v>163789.15900000001</v>
      </c>
      <c r="AA11" s="1">
        <v>158278.86600000001</v>
      </c>
      <c r="AB11" s="1">
        <v>163706.18400000001</v>
      </c>
      <c r="AC11" s="1">
        <v>161533.864</v>
      </c>
      <c r="AE11" s="1">
        <v>160515.467</v>
      </c>
      <c r="AF11" s="74">
        <f>('INSTRUCTION-2YR'!B11+'RESEARCH 2yr'!B11+'PUBLIC SERVICE 2yr'!B11+'ASptISptSSv 2yr'!B11+'PLANT OPER MAIN 2yr'!B11+'SCHOLAR FELLOW 2yr'!B11+'All Other 2yr'!B11)-B11</f>
        <v>0</v>
      </c>
      <c r="AG11" s="74">
        <f>('INSTRUCTION-2YR'!C11+'RESEARCH 2yr'!C11+'PUBLIC SERVICE 2yr'!C11+'ASptISptSSv 2yr'!C11+'PLANT OPER MAIN 2yr'!C11+'SCHOLAR FELLOW 2yr'!C11+'All Other 2yr'!C11)-C11</f>
        <v>0</v>
      </c>
      <c r="AH11" s="74">
        <f>('INSTRUCTION-2YR'!D11+'RESEARCH 2yr'!D11+'PUBLIC SERVICE 2yr'!D11+'ASptISptSSv 2yr'!D11+'PLANT OPER MAIN 2yr'!D11+'SCHOLAR FELLOW 2yr'!D11+'All Other 2yr'!D11)-D11</f>
        <v>0</v>
      </c>
      <c r="AI11" s="74">
        <f>('INSTRUCTION-2YR'!E11+'RESEARCH 2yr'!E11+'PUBLIC SERVICE 2yr'!E11+'ASptISptSSv 2yr'!E11+'PLANT OPER MAIN 2yr'!E11+'SCHOLAR FELLOW 2yr'!E11+'All Other 2yr'!E11)-E11</f>
        <v>0</v>
      </c>
      <c r="AJ11" s="74">
        <f>('INSTRUCTION-2YR'!F11+'RESEARCH 2yr'!F11+'PUBLIC SERVICE 2yr'!F11+'ASptISptSSv 2yr'!F11+'PLANT OPER MAIN 2yr'!F11+'SCHOLAR FELLOW 2yr'!F11+'All Other 2yr'!F11)-F11</f>
        <v>0</v>
      </c>
      <c r="AK11" s="74">
        <f>('INSTRUCTION-2YR'!G11+'RESEARCH 2yr'!G11+'PUBLIC SERVICE 2yr'!G11+'ASptISptSSv 2yr'!G11+'PLANT OPER MAIN 2yr'!G11+'SCHOLAR FELLOW 2yr'!G11+'All Other 2yr'!G11)-G11</f>
        <v>0</v>
      </c>
      <c r="AL11" s="74">
        <f>('INSTRUCTION-2YR'!H11+'RESEARCH 2yr'!H11+'PUBLIC SERVICE 2yr'!H11+'ASptISptSSv 2yr'!H11+'PLANT OPER MAIN 2yr'!H11+'SCHOLAR FELLOW 2yr'!H11+'All Other 2yr'!H11)-H11</f>
        <v>0</v>
      </c>
      <c r="AM11" s="74">
        <f>('INSTRUCTION-2YR'!I11+'RESEARCH 2yr'!I11+'PUBLIC SERVICE 2yr'!I11+'ASptISptSSv 2yr'!I11+'PLANT OPER MAIN 2yr'!I11+'SCHOLAR FELLOW 2yr'!I11+'All Other 2yr'!I11)-I11</f>
        <v>0</v>
      </c>
      <c r="AN11" s="74">
        <f>('INSTRUCTION-2YR'!J11+'RESEARCH 2yr'!J11+'PUBLIC SERVICE 2yr'!J11+'ASptISptSSv 2yr'!J11+'PLANT OPER MAIN 2yr'!J11+'SCHOLAR FELLOW 2yr'!J11+'All Other 2yr'!J11)-J11</f>
        <v>0</v>
      </c>
      <c r="AO11" s="74">
        <f>('INSTRUCTION-2YR'!K11+'RESEARCH 2yr'!K11+'PUBLIC SERVICE 2yr'!K11+'ASptISptSSv 2yr'!K11+'PLANT OPER MAIN 2yr'!K11+'SCHOLAR FELLOW 2yr'!K11+'All Other 2yr'!K11)-K11</f>
        <v>0</v>
      </c>
      <c r="AP11" s="74">
        <f>('INSTRUCTION-2YR'!L11+'RESEARCH 2yr'!L11+'PUBLIC SERVICE 2yr'!L11+'ASptISptSSv 2yr'!L11+'PLANT OPER MAIN 2yr'!L11+'SCHOLAR FELLOW 2yr'!L11+'All Other 2yr'!L11)-L11</f>
        <v>0</v>
      </c>
      <c r="AQ11" s="74">
        <f>('INSTRUCTION-2YR'!M11+'RESEARCH 2yr'!M11+'PUBLIC SERVICE 2yr'!M11+'ASptISptSSv 2yr'!M11+'PLANT OPER MAIN 2yr'!M11+'SCHOLAR FELLOW 2yr'!M11+'All Other 2yr'!M11)-M11</f>
        <v>0</v>
      </c>
      <c r="AR11" s="74">
        <f>('INSTRUCTION-2YR'!N11+'RESEARCH 2yr'!N11+'PUBLIC SERVICE 2yr'!N11+'ASptISptSSv 2yr'!N11+'PLANT OPER MAIN 2yr'!N11+'SCHOLAR FELLOW 2yr'!N11+'All Other 2yr'!N11)-N11</f>
        <v>0</v>
      </c>
      <c r="AS11" s="74">
        <f>('INSTRUCTION-2YR'!O11+'RESEARCH 2yr'!O11+'PUBLIC SERVICE 2yr'!O11+'ASptISptSSv 2yr'!O11+'PLANT OPER MAIN 2yr'!O11+'SCHOLAR FELLOW 2yr'!O11+'All Other 2yr'!O11)-O11</f>
        <v>0</v>
      </c>
      <c r="AT11" s="74">
        <f>('INSTRUCTION-2YR'!P11+'RESEARCH 2yr'!P11+'PUBLIC SERVICE 2yr'!P11+'ASptISptSSv 2yr'!P11+'PLANT OPER MAIN 2yr'!P11+'SCHOLAR FELLOW 2yr'!P11+'All Other 2yr'!P11)-P11</f>
        <v>0</v>
      </c>
      <c r="AU11" s="74">
        <f>('INSTRUCTION-2YR'!Q11+'RESEARCH 2yr'!Q11+'PUBLIC SERVICE 2yr'!Q11+'ASptISptSSv 2yr'!Q11+'PLANT OPER MAIN 2yr'!Q11+'SCHOLAR FELLOW 2yr'!Q11+'All Other 2yr'!Q11)-Q11</f>
        <v>0</v>
      </c>
      <c r="AV11" s="74">
        <f>('INSTRUCTION-2YR'!R11+'RESEARCH 2yr'!R11+'PUBLIC SERVICE 2yr'!R11+'ASptISptSSv 2yr'!R11+'PLANT OPER MAIN 2yr'!R11+'SCHOLAR FELLOW 2yr'!R11+'All Other 2yr'!R11)-R11</f>
        <v>0</v>
      </c>
      <c r="AW11" s="74">
        <f>('INSTRUCTION-2YR'!S11+'RESEARCH 2yr'!S11+'PUBLIC SERVICE 2yr'!S11+'ASptISptSSv 2yr'!S11+'PLANT OPER MAIN 2yr'!S11+'SCHOLAR FELLOW 2yr'!S11+'All Other 2yr'!S11)-S11</f>
        <v>0</v>
      </c>
      <c r="AX11" s="74">
        <f>('INSTRUCTION-2YR'!T11+'RESEARCH 2yr'!T11+'PUBLIC SERVICE 2yr'!T11+'ASptISptSSv 2yr'!T11+'PLANT OPER MAIN 2yr'!T11+'SCHOLAR FELLOW 2yr'!T11+'All Other 2yr'!T11)-T11</f>
        <v>0</v>
      </c>
      <c r="AY11" s="74">
        <f>('INSTRUCTION-2YR'!U11+'RESEARCH 2yr'!U11+'PUBLIC SERVICE 2yr'!U11+'ASptISptSSv 2yr'!U11+'PLANT OPER MAIN 2yr'!U11+'SCHOLAR FELLOW 2yr'!U11+'All Other 2yr'!U11)-U11</f>
        <v>0</v>
      </c>
      <c r="AZ11" s="74">
        <f>('INSTRUCTION-2YR'!V11+'RESEARCH 2yr'!V11+'PUBLIC SERVICE 2yr'!V11+'ASptISptSSv 2yr'!V11+'PLANT OPER MAIN 2yr'!V11+'SCHOLAR FELLOW 2yr'!V11+'All Other 2yr'!V11)-V11</f>
        <v>0</v>
      </c>
      <c r="BA11" s="74">
        <f>('INSTRUCTION-2YR'!W11+'RESEARCH 2yr'!W11+'PUBLIC SERVICE 2yr'!W11+'ASptISptSSv 2yr'!W11+'PLANT OPER MAIN 2yr'!W11+'SCHOLAR FELLOW 2yr'!W11+'All Other 2yr'!W11)-W11</f>
        <v>0</v>
      </c>
      <c r="BB11" s="74">
        <f>('INSTRUCTION-2YR'!X11+'RESEARCH 2yr'!X11+'PUBLIC SERVICE 2yr'!X11+'ASptISptSSv 2yr'!X11+'PLANT OPER MAIN 2yr'!X11+'SCHOLAR FELLOW 2yr'!X11+'All Other 2yr'!X11)-X11</f>
        <v>0</v>
      </c>
      <c r="BC11" s="74">
        <f>('INSTRUCTION-2YR'!Y11+'RESEARCH 2yr'!Y11+'PUBLIC SERVICE 2yr'!Y11+'ASptISptSSv 2yr'!Y11+'PLANT OPER MAIN 2yr'!Y11+'SCHOLAR FELLOW 2yr'!Y11+'All Other 2yr'!Y11)-Y11</f>
        <v>0</v>
      </c>
      <c r="BD11" s="74">
        <f>('INSTRUCTION-2YR'!Z11+'RESEARCH 2yr'!Z11+'PUBLIC SERVICE 2yr'!Z11+'ASptISptSSv 2yr'!Z11+'PLANT OPER MAIN 2yr'!Z11+'SCHOLAR FELLOW 2yr'!Z11+'All Other 2yr'!Z11)-Z11</f>
        <v>0</v>
      </c>
      <c r="BE11" s="74">
        <f>('INSTRUCTION-2YR'!AA11+'RESEARCH 2yr'!AA11+'PUBLIC SERVICE 2yr'!AA11+'ASptISptSSv 2yr'!AA11+'PLANT OPER MAIN 2yr'!AA11+'SCHOLAR FELLOW 2yr'!AA11+'All Other 2yr'!AA11)-AA11</f>
        <v>0</v>
      </c>
      <c r="BF11" s="74">
        <f>('INSTRUCTION-2YR'!AB11+'RESEARCH 2yr'!AB11+'PUBLIC SERVICE 2yr'!AB11+'ASptISptSSv 2yr'!AB11+'PLANT OPER MAIN 2yr'!AB11+'SCHOLAR FELLOW 2yr'!AB11+'All Other 2yr'!AB11)-AB11</f>
        <v>0</v>
      </c>
      <c r="BG11" s="74">
        <f>('INSTRUCTION-2YR'!AC11+'RESEARCH 2yr'!AC11+'PUBLIC SERVICE 2yr'!AC11+'ASptISptSSv 2yr'!AC11+'PLANT OPER MAIN 2yr'!AC11+'SCHOLAR FELLOW 2yr'!AC11+'All Other 2yr'!AC11)-AC11</f>
        <v>0</v>
      </c>
      <c r="BH11" s="74">
        <f>('INSTRUCTION-2YR'!AD11+'RESEARCH 2yr'!AD11+'PUBLIC SERVICE 2yr'!AD11+'ASptISptSSv 2yr'!AD11+'PLANT OPER MAIN 2yr'!AD11+'SCHOLAR FELLOW 2yr'!AD11+'All Other 2yr'!AD11)-AD11</f>
        <v>0</v>
      </c>
      <c r="BI11" s="74">
        <f>('INSTRUCTION-2YR'!AE11+'RESEARCH 2yr'!AE11+'PUBLIC SERVICE 2yr'!AE11+'ASptISptSSv 2yr'!AE11+'PLANT OPER MAIN 2yr'!AE11+'SCHOLAR FELLOW 2yr'!AE11+'All Other 2yr'!AE11)-AE11</f>
        <v>0</v>
      </c>
    </row>
    <row r="12" spans="1:61">
      <c r="A12" s="1" t="s">
        <v>29</v>
      </c>
      <c r="B12" s="1">
        <v>496300</v>
      </c>
      <c r="C12" s="1">
        <v>525187</v>
      </c>
      <c r="D12" s="1">
        <v>551913</v>
      </c>
      <c r="E12" s="1">
        <v>930547.99</v>
      </c>
      <c r="F12" s="41">
        <v>978219.36499999999</v>
      </c>
      <c r="G12" s="1">
        <v>1062826.784</v>
      </c>
      <c r="H12" s="1">
        <v>1129359.17</v>
      </c>
      <c r="I12" s="1">
        <v>1165565.8700000001</v>
      </c>
      <c r="J12" s="1">
        <v>1182152.3289999999</v>
      </c>
      <c r="K12" s="1">
        <v>1255810.24</v>
      </c>
      <c r="L12" s="1">
        <v>1562668.8869999996</v>
      </c>
      <c r="M12" s="1">
        <v>1908268.4850000001</v>
      </c>
      <c r="N12" s="1">
        <v>1839403.53</v>
      </c>
      <c r="O12" s="1">
        <v>1543252.986</v>
      </c>
      <c r="P12" s="1">
        <v>1584176.068</v>
      </c>
      <c r="Q12" s="1">
        <v>1671261.885</v>
      </c>
      <c r="R12" s="1">
        <v>1730091.872</v>
      </c>
      <c r="S12" s="1">
        <v>2151315.7200000002</v>
      </c>
      <c r="T12" s="1">
        <v>2236858.665</v>
      </c>
      <c r="U12" s="1">
        <v>2873394.9569999999</v>
      </c>
      <c r="V12" s="1">
        <v>3273071.35</v>
      </c>
      <c r="W12" s="1">
        <v>3644548.2259999998</v>
      </c>
      <c r="X12" s="1">
        <v>3592723.5660000001</v>
      </c>
      <c r="Y12" s="1">
        <v>3531840.9330000002</v>
      </c>
      <c r="Z12" s="1">
        <v>3614381.1710000001</v>
      </c>
      <c r="AA12" s="1">
        <v>3647672.443</v>
      </c>
      <c r="AB12" s="1">
        <v>3768643.6830000002</v>
      </c>
      <c r="AC12" s="1">
        <v>3608188.4810000001</v>
      </c>
      <c r="AE12" s="1">
        <v>3849177.5520000001</v>
      </c>
      <c r="AF12" s="74">
        <f>('INSTRUCTION-2YR'!B12+'RESEARCH 2yr'!B12+'PUBLIC SERVICE 2yr'!B12+'ASptISptSSv 2yr'!B12+'PLANT OPER MAIN 2yr'!B12+'SCHOLAR FELLOW 2yr'!B12+'All Other 2yr'!B12)-B12</f>
        <v>0</v>
      </c>
      <c r="AG12" s="74">
        <f>('INSTRUCTION-2YR'!C12+'RESEARCH 2yr'!C12+'PUBLIC SERVICE 2yr'!C12+'ASptISptSSv 2yr'!C12+'PLANT OPER MAIN 2yr'!C12+'SCHOLAR FELLOW 2yr'!C12+'All Other 2yr'!C12)-C12</f>
        <v>0</v>
      </c>
      <c r="AH12" s="74">
        <f>('INSTRUCTION-2YR'!D12+'RESEARCH 2yr'!D12+'PUBLIC SERVICE 2yr'!D12+'ASptISptSSv 2yr'!D12+'PLANT OPER MAIN 2yr'!D12+'SCHOLAR FELLOW 2yr'!D12+'All Other 2yr'!D12)-D12</f>
        <v>0</v>
      </c>
      <c r="AI12" s="74">
        <f>('INSTRUCTION-2YR'!E12+'RESEARCH 2yr'!E12+'PUBLIC SERVICE 2yr'!E12+'ASptISptSSv 2yr'!E12+'PLANT OPER MAIN 2yr'!E12+'SCHOLAR FELLOW 2yr'!E12+'All Other 2yr'!E12)-E12</f>
        <v>0</v>
      </c>
      <c r="AJ12" s="74">
        <f>('INSTRUCTION-2YR'!F12+'RESEARCH 2yr'!F12+'PUBLIC SERVICE 2yr'!F12+'ASptISptSSv 2yr'!F12+'PLANT OPER MAIN 2yr'!F12+'SCHOLAR FELLOW 2yr'!F12+'All Other 2yr'!F12)-F12</f>
        <v>0</v>
      </c>
      <c r="AK12" s="74">
        <f>('INSTRUCTION-2YR'!G12+'RESEARCH 2yr'!G12+'PUBLIC SERVICE 2yr'!G12+'ASptISptSSv 2yr'!G12+'PLANT OPER MAIN 2yr'!G12+'SCHOLAR FELLOW 2yr'!G12+'All Other 2yr'!G12)-G12</f>
        <v>0</v>
      </c>
      <c r="AL12" s="74">
        <f>('INSTRUCTION-2YR'!H12+'RESEARCH 2yr'!H12+'PUBLIC SERVICE 2yr'!H12+'ASptISptSSv 2yr'!H12+'PLANT OPER MAIN 2yr'!H12+'SCHOLAR FELLOW 2yr'!H12+'All Other 2yr'!H12)-H12</f>
        <v>0</v>
      </c>
      <c r="AM12" s="74">
        <f>('INSTRUCTION-2YR'!I12+'RESEARCH 2yr'!I12+'PUBLIC SERVICE 2yr'!I12+'ASptISptSSv 2yr'!I12+'PLANT OPER MAIN 2yr'!I12+'SCHOLAR FELLOW 2yr'!I12+'All Other 2yr'!I12)-I12</f>
        <v>0</v>
      </c>
      <c r="AN12" s="74">
        <f>('INSTRUCTION-2YR'!J12+'RESEARCH 2yr'!J12+'PUBLIC SERVICE 2yr'!J12+'ASptISptSSv 2yr'!J12+'PLANT OPER MAIN 2yr'!J12+'SCHOLAR FELLOW 2yr'!J12+'All Other 2yr'!J12)-J12</f>
        <v>0</v>
      </c>
      <c r="AO12" s="74">
        <f>('INSTRUCTION-2YR'!K12+'RESEARCH 2yr'!K12+'PUBLIC SERVICE 2yr'!K12+'ASptISptSSv 2yr'!K12+'PLANT OPER MAIN 2yr'!K12+'SCHOLAR FELLOW 2yr'!K12+'All Other 2yr'!K12)-K12</f>
        <v>0</v>
      </c>
      <c r="AP12" s="74">
        <f>('INSTRUCTION-2YR'!L12+'RESEARCH 2yr'!L12+'PUBLIC SERVICE 2yr'!L12+'ASptISptSSv 2yr'!L12+'PLANT OPER MAIN 2yr'!L12+'SCHOLAR FELLOW 2yr'!L12+'All Other 2yr'!L12)-L12</f>
        <v>0</v>
      </c>
      <c r="AQ12" s="74">
        <f>('INSTRUCTION-2YR'!M12+'RESEARCH 2yr'!M12+'PUBLIC SERVICE 2yr'!M12+'ASptISptSSv 2yr'!M12+'PLANT OPER MAIN 2yr'!M12+'SCHOLAR FELLOW 2yr'!M12+'All Other 2yr'!M12)-M12</f>
        <v>0</v>
      </c>
      <c r="AR12" s="74">
        <f>('INSTRUCTION-2YR'!N12+'RESEARCH 2yr'!N12+'PUBLIC SERVICE 2yr'!N12+'ASptISptSSv 2yr'!N12+'PLANT OPER MAIN 2yr'!N12+'SCHOLAR FELLOW 2yr'!N12+'All Other 2yr'!N12)-N12</f>
        <v>0</v>
      </c>
      <c r="AS12" s="74">
        <f>('INSTRUCTION-2YR'!O12+'RESEARCH 2yr'!O12+'PUBLIC SERVICE 2yr'!O12+'ASptISptSSv 2yr'!O12+'PLANT OPER MAIN 2yr'!O12+'SCHOLAR FELLOW 2yr'!O12+'All Other 2yr'!O12)-O12</f>
        <v>0</v>
      </c>
      <c r="AT12" s="74">
        <f>('INSTRUCTION-2YR'!P12+'RESEARCH 2yr'!P12+'PUBLIC SERVICE 2yr'!P12+'ASptISptSSv 2yr'!P12+'PLANT OPER MAIN 2yr'!P12+'SCHOLAR FELLOW 2yr'!P12+'All Other 2yr'!P12)-P12</f>
        <v>0</v>
      </c>
      <c r="AU12" s="74">
        <f>('INSTRUCTION-2YR'!Q12+'RESEARCH 2yr'!Q12+'PUBLIC SERVICE 2yr'!Q12+'ASptISptSSv 2yr'!Q12+'PLANT OPER MAIN 2yr'!Q12+'SCHOLAR FELLOW 2yr'!Q12+'All Other 2yr'!Q12)-Q12</f>
        <v>0</v>
      </c>
      <c r="AV12" s="74">
        <f>('INSTRUCTION-2YR'!R12+'RESEARCH 2yr'!R12+'PUBLIC SERVICE 2yr'!R12+'ASptISptSSv 2yr'!R12+'PLANT OPER MAIN 2yr'!R12+'SCHOLAR FELLOW 2yr'!R12+'All Other 2yr'!R12)-R12</f>
        <v>0</v>
      </c>
      <c r="AW12" s="74">
        <f>('INSTRUCTION-2YR'!S12+'RESEARCH 2yr'!S12+'PUBLIC SERVICE 2yr'!S12+'ASptISptSSv 2yr'!S12+'PLANT OPER MAIN 2yr'!S12+'SCHOLAR FELLOW 2yr'!S12+'All Other 2yr'!S12)-S12</f>
        <v>0</v>
      </c>
      <c r="AX12" s="74">
        <f>('INSTRUCTION-2YR'!T12+'RESEARCH 2yr'!T12+'PUBLIC SERVICE 2yr'!T12+'ASptISptSSv 2yr'!T12+'PLANT OPER MAIN 2yr'!T12+'SCHOLAR FELLOW 2yr'!T12+'All Other 2yr'!T12)-T12</f>
        <v>0</v>
      </c>
      <c r="AY12" s="74">
        <f>('INSTRUCTION-2YR'!U12+'RESEARCH 2yr'!U12+'PUBLIC SERVICE 2yr'!U12+'ASptISptSSv 2yr'!U12+'PLANT OPER MAIN 2yr'!U12+'SCHOLAR FELLOW 2yr'!U12+'All Other 2yr'!U12)-U12</f>
        <v>0</v>
      </c>
      <c r="AZ12" s="74">
        <f>('INSTRUCTION-2YR'!V12+'RESEARCH 2yr'!V12+'PUBLIC SERVICE 2yr'!V12+'ASptISptSSv 2yr'!V12+'PLANT OPER MAIN 2yr'!V12+'SCHOLAR FELLOW 2yr'!V12+'All Other 2yr'!V12)-V12</f>
        <v>0</v>
      </c>
      <c r="BA12" s="74">
        <f>('INSTRUCTION-2YR'!W12+'RESEARCH 2yr'!W12+'PUBLIC SERVICE 2yr'!W12+'ASptISptSSv 2yr'!W12+'PLANT OPER MAIN 2yr'!W12+'SCHOLAR FELLOW 2yr'!W12+'All Other 2yr'!W12)-W12</f>
        <v>0</v>
      </c>
      <c r="BB12" s="74">
        <f>('INSTRUCTION-2YR'!X12+'RESEARCH 2yr'!X12+'PUBLIC SERVICE 2yr'!X12+'ASptISptSSv 2yr'!X12+'PLANT OPER MAIN 2yr'!X12+'SCHOLAR FELLOW 2yr'!X12+'All Other 2yr'!X12)-X12</f>
        <v>0</v>
      </c>
      <c r="BC12" s="74">
        <f>('INSTRUCTION-2YR'!Y12+'RESEARCH 2yr'!Y12+'PUBLIC SERVICE 2yr'!Y12+'ASptISptSSv 2yr'!Y12+'PLANT OPER MAIN 2yr'!Y12+'SCHOLAR FELLOW 2yr'!Y12+'All Other 2yr'!Y12)-Y12</f>
        <v>0</v>
      </c>
      <c r="BD12" s="74">
        <f>('INSTRUCTION-2YR'!Z12+'RESEARCH 2yr'!Z12+'PUBLIC SERVICE 2yr'!Z12+'ASptISptSSv 2yr'!Z12+'PLANT OPER MAIN 2yr'!Z12+'SCHOLAR FELLOW 2yr'!Z12+'All Other 2yr'!Z12)-Z12</f>
        <v>0</v>
      </c>
      <c r="BE12" s="74">
        <f>('INSTRUCTION-2YR'!AA12+'RESEARCH 2yr'!AA12+'PUBLIC SERVICE 2yr'!AA12+'ASptISptSSv 2yr'!AA12+'PLANT OPER MAIN 2yr'!AA12+'SCHOLAR FELLOW 2yr'!AA12+'All Other 2yr'!AA12)-AA12</f>
        <v>0</v>
      </c>
      <c r="BF12" s="74">
        <f>('INSTRUCTION-2YR'!AB12+'RESEARCH 2yr'!AB12+'PUBLIC SERVICE 2yr'!AB12+'ASptISptSSv 2yr'!AB12+'PLANT OPER MAIN 2yr'!AB12+'SCHOLAR FELLOW 2yr'!AB12+'All Other 2yr'!AB12)-AB12</f>
        <v>0</v>
      </c>
      <c r="BG12" s="74">
        <f>('INSTRUCTION-2YR'!AC12+'RESEARCH 2yr'!AC12+'PUBLIC SERVICE 2yr'!AC12+'ASptISptSSv 2yr'!AC12+'PLANT OPER MAIN 2yr'!AC12+'SCHOLAR FELLOW 2yr'!AC12+'All Other 2yr'!AC12)-AC12</f>
        <v>0</v>
      </c>
      <c r="BH12" s="74">
        <f>('INSTRUCTION-2YR'!AD12+'RESEARCH 2yr'!AD12+'PUBLIC SERVICE 2yr'!AD12+'ASptISptSSv 2yr'!AD12+'PLANT OPER MAIN 2yr'!AD12+'SCHOLAR FELLOW 2yr'!AD12+'All Other 2yr'!AD12)-AD12</f>
        <v>0</v>
      </c>
      <c r="BI12" s="74">
        <f>('INSTRUCTION-2YR'!AE12+'RESEARCH 2yr'!AE12+'PUBLIC SERVICE 2yr'!AE12+'ASptISptSSv 2yr'!AE12+'PLANT OPER MAIN 2yr'!AE12+'SCHOLAR FELLOW 2yr'!AE12+'All Other 2yr'!AE12)-AE12</f>
        <v>0</v>
      </c>
    </row>
    <row r="13" spans="1:61">
      <c r="A13" s="1" t="s">
        <v>30</v>
      </c>
      <c r="B13" s="1">
        <v>92557</v>
      </c>
      <c r="C13" s="1">
        <v>97452</v>
      </c>
      <c r="D13" s="1">
        <v>103612</v>
      </c>
      <c r="E13" s="1">
        <v>276908.11099999998</v>
      </c>
      <c r="F13" s="41">
        <v>314762.66899999999</v>
      </c>
      <c r="G13" s="1">
        <v>356591.09099999996</v>
      </c>
      <c r="H13" s="1">
        <v>409930.20699999999</v>
      </c>
      <c r="I13" s="1">
        <v>466839.62</v>
      </c>
      <c r="J13" s="1">
        <v>381510.196</v>
      </c>
      <c r="K13" s="1">
        <v>403942.97198000003</v>
      </c>
      <c r="L13" s="1">
        <v>668642.57199999993</v>
      </c>
      <c r="M13" s="1">
        <v>754180.48600000003</v>
      </c>
      <c r="N13" s="1">
        <v>877870.27</v>
      </c>
      <c r="O13" s="1">
        <v>819172.75199999998</v>
      </c>
      <c r="P13" s="1">
        <v>880616.06400000001</v>
      </c>
      <c r="Q13" s="1">
        <v>916855.89500000002</v>
      </c>
      <c r="R13" s="1">
        <v>963167.89099999995</v>
      </c>
      <c r="S13" s="1">
        <v>980885.17500000005</v>
      </c>
      <c r="T13" s="1">
        <v>1017286.847</v>
      </c>
      <c r="U13" s="1">
        <v>574136.02</v>
      </c>
      <c r="V13" s="1">
        <v>1445982.3259999999</v>
      </c>
      <c r="W13" s="1">
        <v>1640961.92</v>
      </c>
      <c r="X13" s="1">
        <v>1670105.054</v>
      </c>
      <c r="Y13" s="1">
        <v>565785.61499999999</v>
      </c>
      <c r="Z13" s="1">
        <v>589627.48899999994</v>
      </c>
      <c r="AA13" s="1">
        <v>587747.50199999998</v>
      </c>
      <c r="AB13" s="1">
        <v>1365830.4080000001</v>
      </c>
      <c r="AC13" s="1">
        <v>482489.58</v>
      </c>
      <c r="AE13" s="1">
        <v>413566.80099999998</v>
      </c>
      <c r="AF13" s="74">
        <f>('INSTRUCTION-2YR'!B13+'RESEARCH 2yr'!B13+'PUBLIC SERVICE 2yr'!B13+'ASptISptSSv 2yr'!B13+'PLANT OPER MAIN 2yr'!B13+'SCHOLAR FELLOW 2yr'!B13+'All Other 2yr'!B13)-B13</f>
        <v>0</v>
      </c>
      <c r="AG13" s="74">
        <f>('INSTRUCTION-2YR'!C13+'RESEARCH 2yr'!C13+'PUBLIC SERVICE 2yr'!C13+'ASptISptSSv 2yr'!C13+'PLANT OPER MAIN 2yr'!C13+'SCHOLAR FELLOW 2yr'!C13+'All Other 2yr'!C13)-C13</f>
        <v>0</v>
      </c>
      <c r="AH13" s="74">
        <f>('INSTRUCTION-2YR'!D13+'RESEARCH 2yr'!D13+'PUBLIC SERVICE 2yr'!D13+'ASptISptSSv 2yr'!D13+'PLANT OPER MAIN 2yr'!D13+'SCHOLAR FELLOW 2yr'!D13+'All Other 2yr'!D13)-D13</f>
        <v>0</v>
      </c>
      <c r="AI13" s="74">
        <f>('INSTRUCTION-2YR'!E13+'RESEARCH 2yr'!E13+'PUBLIC SERVICE 2yr'!E13+'ASptISptSSv 2yr'!E13+'PLANT OPER MAIN 2yr'!E13+'SCHOLAR FELLOW 2yr'!E13+'All Other 2yr'!E13)-E13</f>
        <v>0</v>
      </c>
      <c r="AJ13" s="74">
        <f>('INSTRUCTION-2YR'!F13+'RESEARCH 2yr'!F13+'PUBLIC SERVICE 2yr'!F13+'ASptISptSSv 2yr'!F13+'PLANT OPER MAIN 2yr'!F13+'SCHOLAR FELLOW 2yr'!F13+'All Other 2yr'!F13)-F13</f>
        <v>0</v>
      </c>
      <c r="AK13" s="74">
        <f>('INSTRUCTION-2YR'!G13+'RESEARCH 2yr'!G13+'PUBLIC SERVICE 2yr'!G13+'ASptISptSSv 2yr'!G13+'PLANT OPER MAIN 2yr'!G13+'SCHOLAR FELLOW 2yr'!G13+'All Other 2yr'!G13)-G13</f>
        <v>0</v>
      </c>
      <c r="AL13" s="74">
        <f>('INSTRUCTION-2YR'!H13+'RESEARCH 2yr'!H13+'PUBLIC SERVICE 2yr'!H13+'ASptISptSSv 2yr'!H13+'PLANT OPER MAIN 2yr'!H13+'SCHOLAR FELLOW 2yr'!H13+'All Other 2yr'!H13)-H13</f>
        <v>0</v>
      </c>
      <c r="AM13" s="74">
        <f>('INSTRUCTION-2YR'!I13+'RESEARCH 2yr'!I13+'PUBLIC SERVICE 2yr'!I13+'ASptISptSSv 2yr'!I13+'PLANT OPER MAIN 2yr'!I13+'SCHOLAR FELLOW 2yr'!I13+'All Other 2yr'!I13)-I13</f>
        <v>0</v>
      </c>
      <c r="AN13" s="74">
        <f>('INSTRUCTION-2YR'!J13+'RESEARCH 2yr'!J13+'PUBLIC SERVICE 2yr'!J13+'ASptISptSSv 2yr'!J13+'PLANT OPER MAIN 2yr'!J13+'SCHOLAR FELLOW 2yr'!J13+'All Other 2yr'!J13)-J13</f>
        <v>0</v>
      </c>
      <c r="AO13" s="74">
        <f>('INSTRUCTION-2YR'!K13+'RESEARCH 2yr'!K13+'PUBLIC SERVICE 2yr'!K13+'ASptISptSSv 2yr'!K13+'PLANT OPER MAIN 2yr'!K13+'SCHOLAR FELLOW 2yr'!K13+'All Other 2yr'!K13)-K13</f>
        <v>0</v>
      </c>
      <c r="AP13" s="74">
        <f>('INSTRUCTION-2YR'!L13+'RESEARCH 2yr'!L13+'PUBLIC SERVICE 2yr'!L13+'ASptISptSSv 2yr'!L13+'PLANT OPER MAIN 2yr'!L13+'SCHOLAR FELLOW 2yr'!L13+'All Other 2yr'!L13)-L13</f>
        <v>0</v>
      </c>
      <c r="AQ13" s="74">
        <f>('INSTRUCTION-2YR'!M13+'RESEARCH 2yr'!M13+'PUBLIC SERVICE 2yr'!M13+'ASptISptSSv 2yr'!M13+'PLANT OPER MAIN 2yr'!M13+'SCHOLAR FELLOW 2yr'!M13+'All Other 2yr'!M13)-M13</f>
        <v>0</v>
      </c>
      <c r="AR13" s="74">
        <f>('INSTRUCTION-2YR'!N13+'RESEARCH 2yr'!N13+'PUBLIC SERVICE 2yr'!N13+'ASptISptSSv 2yr'!N13+'PLANT OPER MAIN 2yr'!N13+'SCHOLAR FELLOW 2yr'!N13+'All Other 2yr'!N13)-N13</f>
        <v>0</v>
      </c>
      <c r="AS13" s="74">
        <f>('INSTRUCTION-2YR'!O13+'RESEARCH 2yr'!O13+'PUBLIC SERVICE 2yr'!O13+'ASptISptSSv 2yr'!O13+'PLANT OPER MAIN 2yr'!O13+'SCHOLAR FELLOW 2yr'!O13+'All Other 2yr'!O13)-O13</f>
        <v>0</v>
      </c>
      <c r="AT13" s="74">
        <f>('INSTRUCTION-2YR'!P13+'RESEARCH 2yr'!P13+'PUBLIC SERVICE 2yr'!P13+'ASptISptSSv 2yr'!P13+'PLANT OPER MAIN 2yr'!P13+'SCHOLAR FELLOW 2yr'!P13+'All Other 2yr'!P13)-P13</f>
        <v>0</v>
      </c>
      <c r="AU13" s="74">
        <f>('INSTRUCTION-2YR'!Q13+'RESEARCH 2yr'!Q13+'PUBLIC SERVICE 2yr'!Q13+'ASptISptSSv 2yr'!Q13+'PLANT OPER MAIN 2yr'!Q13+'SCHOLAR FELLOW 2yr'!Q13+'All Other 2yr'!Q13)-Q13</f>
        <v>0</v>
      </c>
      <c r="AV13" s="74">
        <f>('INSTRUCTION-2YR'!R13+'RESEARCH 2yr'!R13+'PUBLIC SERVICE 2yr'!R13+'ASptISptSSv 2yr'!R13+'PLANT OPER MAIN 2yr'!R13+'SCHOLAR FELLOW 2yr'!R13+'All Other 2yr'!R13)-R13</f>
        <v>0</v>
      </c>
      <c r="AW13" s="74">
        <f>('INSTRUCTION-2YR'!S13+'RESEARCH 2yr'!S13+'PUBLIC SERVICE 2yr'!S13+'ASptISptSSv 2yr'!S13+'PLANT OPER MAIN 2yr'!S13+'SCHOLAR FELLOW 2yr'!S13+'All Other 2yr'!S13)-S13</f>
        <v>0</v>
      </c>
      <c r="AX13" s="74">
        <f>('INSTRUCTION-2YR'!T13+'RESEARCH 2yr'!T13+'PUBLIC SERVICE 2yr'!T13+'ASptISptSSv 2yr'!T13+'PLANT OPER MAIN 2yr'!T13+'SCHOLAR FELLOW 2yr'!T13+'All Other 2yr'!T13)-T13</f>
        <v>0</v>
      </c>
      <c r="AY13" s="74">
        <f>('INSTRUCTION-2YR'!U13+'RESEARCH 2yr'!U13+'PUBLIC SERVICE 2yr'!U13+'ASptISptSSv 2yr'!U13+'PLANT OPER MAIN 2yr'!U13+'SCHOLAR FELLOW 2yr'!U13+'All Other 2yr'!U13)-U13</f>
        <v>0</v>
      </c>
      <c r="AZ13" s="74">
        <f>('INSTRUCTION-2YR'!V13+'RESEARCH 2yr'!V13+'PUBLIC SERVICE 2yr'!V13+'ASptISptSSv 2yr'!V13+'PLANT OPER MAIN 2yr'!V13+'SCHOLAR FELLOW 2yr'!V13+'All Other 2yr'!V13)-V13</f>
        <v>0</v>
      </c>
      <c r="BA13" s="74">
        <f>('INSTRUCTION-2YR'!W13+'RESEARCH 2yr'!W13+'PUBLIC SERVICE 2yr'!W13+'ASptISptSSv 2yr'!W13+'PLANT OPER MAIN 2yr'!W13+'SCHOLAR FELLOW 2yr'!W13+'All Other 2yr'!W13)-W13</f>
        <v>0</v>
      </c>
      <c r="BB13" s="74">
        <f>('INSTRUCTION-2YR'!X13+'RESEARCH 2yr'!X13+'PUBLIC SERVICE 2yr'!X13+'ASptISptSSv 2yr'!X13+'PLANT OPER MAIN 2yr'!X13+'SCHOLAR FELLOW 2yr'!X13+'All Other 2yr'!X13)-X13</f>
        <v>0</v>
      </c>
      <c r="BC13" s="74">
        <f>('INSTRUCTION-2YR'!Y13+'RESEARCH 2yr'!Y13+'PUBLIC SERVICE 2yr'!Y13+'ASptISptSSv 2yr'!Y13+'PLANT OPER MAIN 2yr'!Y13+'SCHOLAR FELLOW 2yr'!Y13+'All Other 2yr'!Y13)-Y13</f>
        <v>0</v>
      </c>
      <c r="BD13" s="74">
        <f>('INSTRUCTION-2YR'!Z13+'RESEARCH 2yr'!Z13+'PUBLIC SERVICE 2yr'!Z13+'ASptISptSSv 2yr'!Z13+'PLANT OPER MAIN 2yr'!Z13+'SCHOLAR FELLOW 2yr'!Z13+'All Other 2yr'!Z13)-Z13</f>
        <v>0</v>
      </c>
      <c r="BE13" s="74">
        <f>('INSTRUCTION-2YR'!AA13+'RESEARCH 2yr'!AA13+'PUBLIC SERVICE 2yr'!AA13+'ASptISptSSv 2yr'!AA13+'PLANT OPER MAIN 2yr'!AA13+'SCHOLAR FELLOW 2yr'!AA13+'All Other 2yr'!AA13)-AA13</f>
        <v>0</v>
      </c>
      <c r="BF13" s="74">
        <f>('INSTRUCTION-2YR'!AB13+'RESEARCH 2yr'!AB13+'PUBLIC SERVICE 2yr'!AB13+'ASptISptSSv 2yr'!AB13+'PLANT OPER MAIN 2yr'!AB13+'SCHOLAR FELLOW 2yr'!AB13+'All Other 2yr'!AB13)-AB13</f>
        <v>0</v>
      </c>
      <c r="BG13" s="74">
        <f>('INSTRUCTION-2YR'!AC13+'RESEARCH 2yr'!AC13+'PUBLIC SERVICE 2yr'!AC13+'ASptISptSSv 2yr'!AC13+'PLANT OPER MAIN 2yr'!AC13+'SCHOLAR FELLOW 2yr'!AC13+'All Other 2yr'!AC13)-AC13</f>
        <v>0</v>
      </c>
      <c r="BH13" s="74">
        <f>('INSTRUCTION-2YR'!AD13+'RESEARCH 2yr'!AD13+'PUBLIC SERVICE 2yr'!AD13+'ASptISptSSv 2yr'!AD13+'PLANT OPER MAIN 2yr'!AD13+'SCHOLAR FELLOW 2yr'!AD13+'All Other 2yr'!AD13)-AD13</f>
        <v>0</v>
      </c>
      <c r="BI13" s="74">
        <f>('INSTRUCTION-2YR'!AE13+'RESEARCH 2yr'!AE13+'PUBLIC SERVICE 2yr'!AE13+'ASptISptSSv 2yr'!AE13+'PLANT OPER MAIN 2yr'!AE13+'SCHOLAR FELLOW 2yr'!AE13+'All Other 2yr'!AE13)-AE13</f>
        <v>0</v>
      </c>
    </row>
    <row r="14" spans="1:61">
      <c r="A14" s="1" t="s">
        <v>31</v>
      </c>
      <c r="B14" s="1">
        <v>45600</v>
      </c>
      <c r="C14" s="1">
        <v>48321</v>
      </c>
      <c r="D14" s="1">
        <v>52568</v>
      </c>
      <c r="E14" s="1">
        <v>107696.897</v>
      </c>
      <c r="F14" s="41">
        <v>131542.65100000001</v>
      </c>
      <c r="G14" s="1">
        <v>137530.81099999999</v>
      </c>
      <c r="H14" s="1">
        <v>148071.261</v>
      </c>
      <c r="I14" s="1">
        <v>152919.465</v>
      </c>
      <c r="J14" s="1">
        <v>156377.97409999999</v>
      </c>
      <c r="K14" s="1">
        <v>173886.166</v>
      </c>
      <c r="L14" s="1">
        <v>351288.79200000007</v>
      </c>
      <c r="M14" s="1">
        <v>380337.82</v>
      </c>
      <c r="N14" s="1">
        <v>31797.375</v>
      </c>
      <c r="O14" s="1">
        <v>34278.483999999997</v>
      </c>
      <c r="P14" s="1">
        <v>37770.050999999999</v>
      </c>
      <c r="Q14" s="1">
        <v>417438.40100000001</v>
      </c>
      <c r="R14" s="1">
        <v>452354.63199999998</v>
      </c>
      <c r="S14" s="1">
        <v>483430.83399999997</v>
      </c>
      <c r="T14" s="1">
        <v>535707.87600000005</v>
      </c>
      <c r="U14" s="1">
        <v>514774.576</v>
      </c>
      <c r="V14" s="1">
        <v>705728.17599999998</v>
      </c>
      <c r="W14" s="1">
        <v>727662.38899999997</v>
      </c>
      <c r="X14" s="1">
        <v>731178.81499999994</v>
      </c>
      <c r="Y14" s="1">
        <v>653402.89399999997</v>
      </c>
      <c r="Z14" s="1">
        <v>603374.99699999997</v>
      </c>
      <c r="AA14" s="1">
        <v>601966.34699999995</v>
      </c>
      <c r="AB14" s="1">
        <v>649069.80799999996</v>
      </c>
      <c r="AC14" s="1">
        <v>537973.11</v>
      </c>
      <c r="AE14" s="1">
        <v>514165.17800000001</v>
      </c>
      <c r="AF14" s="74">
        <f>('INSTRUCTION-2YR'!B14+'RESEARCH 2yr'!B14+'PUBLIC SERVICE 2yr'!B14+'ASptISptSSv 2yr'!B14+'PLANT OPER MAIN 2yr'!B14+'SCHOLAR FELLOW 2yr'!B14+'All Other 2yr'!B14)-B14</f>
        <v>0</v>
      </c>
      <c r="AG14" s="74">
        <f>('INSTRUCTION-2YR'!C14+'RESEARCH 2yr'!C14+'PUBLIC SERVICE 2yr'!C14+'ASptISptSSv 2yr'!C14+'PLANT OPER MAIN 2yr'!C14+'SCHOLAR FELLOW 2yr'!C14+'All Other 2yr'!C14)-C14</f>
        <v>0</v>
      </c>
      <c r="AH14" s="74">
        <f>('INSTRUCTION-2YR'!D14+'RESEARCH 2yr'!D14+'PUBLIC SERVICE 2yr'!D14+'ASptISptSSv 2yr'!D14+'PLANT OPER MAIN 2yr'!D14+'SCHOLAR FELLOW 2yr'!D14+'All Other 2yr'!D14)-D14</f>
        <v>0</v>
      </c>
      <c r="AI14" s="74">
        <f>('INSTRUCTION-2YR'!E14+'RESEARCH 2yr'!E14+'PUBLIC SERVICE 2yr'!E14+'ASptISptSSv 2yr'!E14+'PLANT OPER MAIN 2yr'!E14+'SCHOLAR FELLOW 2yr'!E14+'All Other 2yr'!E14)-E14</f>
        <v>0</v>
      </c>
      <c r="AJ14" s="74">
        <f>('INSTRUCTION-2YR'!F14+'RESEARCH 2yr'!F14+'PUBLIC SERVICE 2yr'!F14+'ASptISptSSv 2yr'!F14+'PLANT OPER MAIN 2yr'!F14+'SCHOLAR FELLOW 2yr'!F14+'All Other 2yr'!F14)-F14</f>
        <v>0</v>
      </c>
      <c r="AK14" s="74">
        <f>('INSTRUCTION-2YR'!G14+'RESEARCH 2yr'!G14+'PUBLIC SERVICE 2yr'!G14+'ASptISptSSv 2yr'!G14+'PLANT OPER MAIN 2yr'!G14+'SCHOLAR FELLOW 2yr'!G14+'All Other 2yr'!G14)-G14</f>
        <v>0</v>
      </c>
      <c r="AL14" s="74">
        <f>('INSTRUCTION-2YR'!H14+'RESEARCH 2yr'!H14+'PUBLIC SERVICE 2yr'!H14+'ASptISptSSv 2yr'!H14+'PLANT OPER MAIN 2yr'!H14+'SCHOLAR FELLOW 2yr'!H14+'All Other 2yr'!H14)-H14</f>
        <v>0</v>
      </c>
      <c r="AM14" s="74">
        <f>('INSTRUCTION-2YR'!I14+'RESEARCH 2yr'!I14+'PUBLIC SERVICE 2yr'!I14+'ASptISptSSv 2yr'!I14+'PLANT OPER MAIN 2yr'!I14+'SCHOLAR FELLOW 2yr'!I14+'All Other 2yr'!I14)-I14</f>
        <v>0</v>
      </c>
      <c r="AN14" s="74">
        <f>('INSTRUCTION-2YR'!J14+'RESEARCH 2yr'!J14+'PUBLIC SERVICE 2yr'!J14+'ASptISptSSv 2yr'!J14+'PLANT OPER MAIN 2yr'!J14+'SCHOLAR FELLOW 2yr'!J14+'All Other 2yr'!J14)-J14</f>
        <v>0</v>
      </c>
      <c r="AO14" s="74">
        <f>('INSTRUCTION-2YR'!K14+'RESEARCH 2yr'!K14+'PUBLIC SERVICE 2yr'!K14+'ASptISptSSv 2yr'!K14+'PLANT OPER MAIN 2yr'!K14+'SCHOLAR FELLOW 2yr'!K14+'All Other 2yr'!K14)-K14</f>
        <v>0</v>
      </c>
      <c r="AP14" s="74">
        <f>('INSTRUCTION-2YR'!L14+'RESEARCH 2yr'!L14+'PUBLIC SERVICE 2yr'!L14+'ASptISptSSv 2yr'!L14+'PLANT OPER MAIN 2yr'!L14+'SCHOLAR FELLOW 2yr'!L14+'All Other 2yr'!L14)-L14</f>
        <v>0</v>
      </c>
      <c r="AQ14" s="74">
        <f>('INSTRUCTION-2YR'!M14+'RESEARCH 2yr'!M14+'PUBLIC SERVICE 2yr'!M14+'ASptISptSSv 2yr'!M14+'PLANT OPER MAIN 2yr'!M14+'SCHOLAR FELLOW 2yr'!M14+'All Other 2yr'!M14)-M14</f>
        <v>0</v>
      </c>
      <c r="AR14" s="74">
        <f>('INSTRUCTION-2YR'!N14+'RESEARCH 2yr'!N14+'PUBLIC SERVICE 2yr'!N14+'ASptISptSSv 2yr'!N14+'PLANT OPER MAIN 2yr'!N14+'SCHOLAR FELLOW 2yr'!N14+'All Other 2yr'!N14)-N14</f>
        <v>0</v>
      </c>
      <c r="AS14" s="74">
        <f>('INSTRUCTION-2YR'!O14+'RESEARCH 2yr'!O14+'PUBLIC SERVICE 2yr'!O14+'ASptISptSSv 2yr'!O14+'PLANT OPER MAIN 2yr'!O14+'SCHOLAR FELLOW 2yr'!O14+'All Other 2yr'!O14)-O14</f>
        <v>0</v>
      </c>
      <c r="AT14" s="74">
        <f>('INSTRUCTION-2YR'!P14+'RESEARCH 2yr'!P14+'PUBLIC SERVICE 2yr'!P14+'ASptISptSSv 2yr'!P14+'PLANT OPER MAIN 2yr'!P14+'SCHOLAR FELLOW 2yr'!P14+'All Other 2yr'!P14)-P14</f>
        <v>0</v>
      </c>
      <c r="AU14" s="74">
        <f>('INSTRUCTION-2YR'!Q14+'RESEARCH 2yr'!Q14+'PUBLIC SERVICE 2yr'!Q14+'ASptISptSSv 2yr'!Q14+'PLANT OPER MAIN 2yr'!Q14+'SCHOLAR FELLOW 2yr'!Q14+'All Other 2yr'!Q14)-Q14</f>
        <v>0</v>
      </c>
      <c r="AV14" s="74">
        <f>('INSTRUCTION-2YR'!R14+'RESEARCH 2yr'!R14+'PUBLIC SERVICE 2yr'!R14+'ASptISptSSv 2yr'!R14+'PLANT OPER MAIN 2yr'!R14+'SCHOLAR FELLOW 2yr'!R14+'All Other 2yr'!R14)-R14</f>
        <v>0</v>
      </c>
      <c r="AW14" s="74">
        <f>('INSTRUCTION-2YR'!S14+'RESEARCH 2yr'!S14+'PUBLIC SERVICE 2yr'!S14+'ASptISptSSv 2yr'!S14+'PLANT OPER MAIN 2yr'!S14+'SCHOLAR FELLOW 2yr'!S14+'All Other 2yr'!S14)-S14</f>
        <v>0</v>
      </c>
      <c r="AX14" s="74">
        <f>('INSTRUCTION-2YR'!T14+'RESEARCH 2yr'!T14+'PUBLIC SERVICE 2yr'!T14+'ASptISptSSv 2yr'!T14+'PLANT OPER MAIN 2yr'!T14+'SCHOLAR FELLOW 2yr'!T14+'All Other 2yr'!T14)-T14</f>
        <v>0</v>
      </c>
      <c r="AY14" s="74">
        <f>('INSTRUCTION-2YR'!U14+'RESEARCH 2yr'!U14+'PUBLIC SERVICE 2yr'!U14+'ASptISptSSv 2yr'!U14+'PLANT OPER MAIN 2yr'!U14+'SCHOLAR FELLOW 2yr'!U14+'All Other 2yr'!U14)-U14</f>
        <v>0</v>
      </c>
      <c r="AZ14" s="74">
        <f>('INSTRUCTION-2YR'!V14+'RESEARCH 2yr'!V14+'PUBLIC SERVICE 2yr'!V14+'ASptISptSSv 2yr'!V14+'PLANT OPER MAIN 2yr'!V14+'SCHOLAR FELLOW 2yr'!V14+'All Other 2yr'!V14)-V14</f>
        <v>0</v>
      </c>
      <c r="BA14" s="74">
        <f>('INSTRUCTION-2YR'!W14+'RESEARCH 2yr'!W14+'PUBLIC SERVICE 2yr'!W14+'ASptISptSSv 2yr'!W14+'PLANT OPER MAIN 2yr'!W14+'SCHOLAR FELLOW 2yr'!W14+'All Other 2yr'!W14)-W14</f>
        <v>0</v>
      </c>
      <c r="BB14" s="74">
        <f>('INSTRUCTION-2YR'!X14+'RESEARCH 2yr'!X14+'PUBLIC SERVICE 2yr'!X14+'ASptISptSSv 2yr'!X14+'PLANT OPER MAIN 2yr'!X14+'SCHOLAR FELLOW 2yr'!X14+'All Other 2yr'!X14)-X14</f>
        <v>0</v>
      </c>
      <c r="BC14" s="74">
        <f>('INSTRUCTION-2YR'!Y14+'RESEARCH 2yr'!Y14+'PUBLIC SERVICE 2yr'!Y14+'ASptISptSSv 2yr'!Y14+'PLANT OPER MAIN 2yr'!Y14+'SCHOLAR FELLOW 2yr'!Y14+'All Other 2yr'!Y14)-Y14</f>
        <v>0</v>
      </c>
      <c r="BD14" s="74">
        <f>('INSTRUCTION-2YR'!Z14+'RESEARCH 2yr'!Z14+'PUBLIC SERVICE 2yr'!Z14+'ASptISptSSv 2yr'!Z14+'PLANT OPER MAIN 2yr'!Z14+'SCHOLAR FELLOW 2yr'!Z14+'All Other 2yr'!Z14)-Z14</f>
        <v>0</v>
      </c>
      <c r="BE14" s="74">
        <f>('INSTRUCTION-2YR'!AA14+'RESEARCH 2yr'!AA14+'PUBLIC SERVICE 2yr'!AA14+'ASptISptSSv 2yr'!AA14+'PLANT OPER MAIN 2yr'!AA14+'SCHOLAR FELLOW 2yr'!AA14+'All Other 2yr'!AA14)-AA14</f>
        <v>0</v>
      </c>
      <c r="BF14" s="74">
        <f>('INSTRUCTION-2YR'!AB14+'RESEARCH 2yr'!AB14+'PUBLIC SERVICE 2yr'!AB14+'ASptISptSSv 2yr'!AB14+'PLANT OPER MAIN 2yr'!AB14+'SCHOLAR FELLOW 2yr'!AB14+'All Other 2yr'!AB14)-AB14</f>
        <v>0</v>
      </c>
      <c r="BG14" s="74">
        <f>('INSTRUCTION-2YR'!AC14+'RESEARCH 2yr'!AC14+'PUBLIC SERVICE 2yr'!AC14+'ASptISptSSv 2yr'!AC14+'PLANT OPER MAIN 2yr'!AC14+'SCHOLAR FELLOW 2yr'!AC14+'All Other 2yr'!AC14)-AC14</f>
        <v>0</v>
      </c>
      <c r="BH14" s="74">
        <f>('INSTRUCTION-2YR'!AD14+'RESEARCH 2yr'!AD14+'PUBLIC SERVICE 2yr'!AD14+'ASptISptSSv 2yr'!AD14+'PLANT OPER MAIN 2yr'!AD14+'SCHOLAR FELLOW 2yr'!AD14+'All Other 2yr'!AD14)-AD14</f>
        <v>0</v>
      </c>
      <c r="BI14" s="74">
        <f>('INSTRUCTION-2YR'!AE14+'RESEARCH 2yr'!AE14+'PUBLIC SERVICE 2yr'!AE14+'ASptISptSSv 2yr'!AE14+'PLANT OPER MAIN 2yr'!AE14+'SCHOLAR FELLOW 2yr'!AE14+'All Other 2yr'!AE14)-AE14</f>
        <v>0</v>
      </c>
    </row>
    <row r="15" spans="1:61">
      <c r="A15" s="1" t="s">
        <v>32</v>
      </c>
      <c r="B15" s="1">
        <v>34238</v>
      </c>
      <c r="C15" s="1">
        <v>38472</v>
      </c>
      <c r="D15" s="1">
        <v>39754</v>
      </c>
      <c r="E15" s="1">
        <v>66792.229000000007</v>
      </c>
      <c r="F15" s="41">
        <v>73977.137000000002</v>
      </c>
      <c r="G15" s="1">
        <v>83409.632000000012</v>
      </c>
      <c r="H15" s="1">
        <v>92926.380999999994</v>
      </c>
      <c r="I15" s="1">
        <v>93837.740999999995</v>
      </c>
      <c r="J15" s="1">
        <v>157895.19900000002</v>
      </c>
      <c r="K15" s="1">
        <v>169344.67828000002</v>
      </c>
      <c r="L15" s="1">
        <v>209811.40299999999</v>
      </c>
      <c r="M15" s="1">
        <v>226305.58199999999</v>
      </c>
      <c r="N15" s="1">
        <v>275454.29499999998</v>
      </c>
      <c r="O15" s="1">
        <v>323574.7</v>
      </c>
      <c r="P15" s="1">
        <v>371339.54</v>
      </c>
      <c r="Q15" s="1">
        <v>388563.451</v>
      </c>
      <c r="R15" s="1">
        <v>373155.92700000003</v>
      </c>
      <c r="S15" s="1">
        <v>428495.81800000003</v>
      </c>
      <c r="T15" s="1">
        <v>556018.04500000004</v>
      </c>
      <c r="U15" s="1">
        <v>350946.12300000002</v>
      </c>
      <c r="V15" s="1">
        <v>549338.43799999997</v>
      </c>
      <c r="W15" s="1">
        <v>595415.89899999998</v>
      </c>
      <c r="X15" s="1">
        <v>596479.28599999996</v>
      </c>
      <c r="Y15" s="1">
        <v>429958.47100000002</v>
      </c>
      <c r="Z15" s="1">
        <v>449773.505</v>
      </c>
      <c r="AA15" s="1">
        <v>459599.53700000001</v>
      </c>
      <c r="AB15" s="1">
        <v>577554.39800000004</v>
      </c>
      <c r="AC15" s="1">
        <v>446406.86</v>
      </c>
      <c r="AE15" s="1">
        <v>445869.52299999999</v>
      </c>
      <c r="AF15" s="74">
        <f>('INSTRUCTION-2YR'!B15+'RESEARCH 2yr'!B15+'PUBLIC SERVICE 2yr'!B15+'ASptISptSSv 2yr'!B15+'PLANT OPER MAIN 2yr'!B15+'SCHOLAR FELLOW 2yr'!B15+'All Other 2yr'!B15)-B15</f>
        <v>0</v>
      </c>
      <c r="AG15" s="74">
        <f>('INSTRUCTION-2YR'!C15+'RESEARCH 2yr'!C15+'PUBLIC SERVICE 2yr'!C15+'ASptISptSSv 2yr'!C15+'PLANT OPER MAIN 2yr'!C15+'SCHOLAR FELLOW 2yr'!C15+'All Other 2yr'!C15)-C15</f>
        <v>0</v>
      </c>
      <c r="AH15" s="74">
        <f>('INSTRUCTION-2YR'!D15+'RESEARCH 2yr'!D15+'PUBLIC SERVICE 2yr'!D15+'ASptISptSSv 2yr'!D15+'PLANT OPER MAIN 2yr'!D15+'SCHOLAR FELLOW 2yr'!D15+'All Other 2yr'!D15)-D15</f>
        <v>0</v>
      </c>
      <c r="AI15" s="74">
        <f>('INSTRUCTION-2YR'!E15+'RESEARCH 2yr'!E15+'PUBLIC SERVICE 2yr'!E15+'ASptISptSSv 2yr'!E15+'PLANT OPER MAIN 2yr'!E15+'SCHOLAR FELLOW 2yr'!E15+'All Other 2yr'!E15)-E15</f>
        <v>0</v>
      </c>
      <c r="AJ15" s="74">
        <f>('INSTRUCTION-2YR'!F15+'RESEARCH 2yr'!F15+'PUBLIC SERVICE 2yr'!F15+'ASptISptSSv 2yr'!F15+'PLANT OPER MAIN 2yr'!F15+'SCHOLAR FELLOW 2yr'!F15+'All Other 2yr'!F15)-F15</f>
        <v>0</v>
      </c>
      <c r="AK15" s="74">
        <f>('INSTRUCTION-2YR'!G15+'RESEARCH 2yr'!G15+'PUBLIC SERVICE 2yr'!G15+'ASptISptSSv 2yr'!G15+'PLANT OPER MAIN 2yr'!G15+'SCHOLAR FELLOW 2yr'!G15+'All Other 2yr'!G15)-G15</f>
        <v>0</v>
      </c>
      <c r="AL15" s="74">
        <f>('INSTRUCTION-2YR'!H15+'RESEARCH 2yr'!H15+'PUBLIC SERVICE 2yr'!H15+'ASptISptSSv 2yr'!H15+'PLANT OPER MAIN 2yr'!H15+'SCHOLAR FELLOW 2yr'!H15+'All Other 2yr'!H15)-H15</f>
        <v>0</v>
      </c>
      <c r="AM15" s="74">
        <f>('INSTRUCTION-2YR'!I15+'RESEARCH 2yr'!I15+'PUBLIC SERVICE 2yr'!I15+'ASptISptSSv 2yr'!I15+'PLANT OPER MAIN 2yr'!I15+'SCHOLAR FELLOW 2yr'!I15+'All Other 2yr'!I15)-I15</f>
        <v>0</v>
      </c>
      <c r="AN15" s="74">
        <f>('INSTRUCTION-2YR'!J15+'RESEARCH 2yr'!J15+'PUBLIC SERVICE 2yr'!J15+'ASptISptSSv 2yr'!J15+'PLANT OPER MAIN 2yr'!J15+'SCHOLAR FELLOW 2yr'!J15+'All Other 2yr'!J15)-J15</f>
        <v>0</v>
      </c>
      <c r="AO15" s="74">
        <f>('INSTRUCTION-2YR'!K15+'RESEARCH 2yr'!K15+'PUBLIC SERVICE 2yr'!K15+'ASptISptSSv 2yr'!K15+'PLANT OPER MAIN 2yr'!K15+'SCHOLAR FELLOW 2yr'!K15+'All Other 2yr'!K15)-K15</f>
        <v>0</v>
      </c>
      <c r="AP15" s="74">
        <f>('INSTRUCTION-2YR'!L15+'RESEARCH 2yr'!L15+'PUBLIC SERVICE 2yr'!L15+'ASptISptSSv 2yr'!L15+'PLANT OPER MAIN 2yr'!L15+'SCHOLAR FELLOW 2yr'!L15+'All Other 2yr'!L15)-L15</f>
        <v>0</v>
      </c>
      <c r="AQ15" s="74">
        <f>('INSTRUCTION-2YR'!M15+'RESEARCH 2yr'!M15+'PUBLIC SERVICE 2yr'!M15+'ASptISptSSv 2yr'!M15+'PLANT OPER MAIN 2yr'!M15+'SCHOLAR FELLOW 2yr'!M15+'All Other 2yr'!M15)-M15</f>
        <v>0</v>
      </c>
      <c r="AR15" s="74">
        <f>('INSTRUCTION-2YR'!N15+'RESEARCH 2yr'!N15+'PUBLIC SERVICE 2yr'!N15+'ASptISptSSv 2yr'!N15+'PLANT OPER MAIN 2yr'!N15+'SCHOLAR FELLOW 2yr'!N15+'All Other 2yr'!N15)-N15</f>
        <v>0</v>
      </c>
      <c r="AS15" s="74">
        <f>('INSTRUCTION-2YR'!O15+'RESEARCH 2yr'!O15+'PUBLIC SERVICE 2yr'!O15+'ASptISptSSv 2yr'!O15+'PLANT OPER MAIN 2yr'!O15+'SCHOLAR FELLOW 2yr'!O15+'All Other 2yr'!O15)-O15</f>
        <v>0</v>
      </c>
      <c r="AT15" s="74">
        <f>('INSTRUCTION-2YR'!P15+'RESEARCH 2yr'!P15+'PUBLIC SERVICE 2yr'!P15+'ASptISptSSv 2yr'!P15+'PLANT OPER MAIN 2yr'!P15+'SCHOLAR FELLOW 2yr'!P15+'All Other 2yr'!P15)-P15</f>
        <v>0</v>
      </c>
      <c r="AU15" s="74">
        <f>('INSTRUCTION-2YR'!Q15+'RESEARCH 2yr'!Q15+'PUBLIC SERVICE 2yr'!Q15+'ASptISptSSv 2yr'!Q15+'PLANT OPER MAIN 2yr'!Q15+'SCHOLAR FELLOW 2yr'!Q15+'All Other 2yr'!Q15)-Q15</f>
        <v>0</v>
      </c>
      <c r="AV15" s="74">
        <f>('INSTRUCTION-2YR'!R15+'RESEARCH 2yr'!R15+'PUBLIC SERVICE 2yr'!R15+'ASptISptSSv 2yr'!R15+'PLANT OPER MAIN 2yr'!R15+'SCHOLAR FELLOW 2yr'!R15+'All Other 2yr'!R15)-R15</f>
        <v>0</v>
      </c>
      <c r="AW15" s="74">
        <f>('INSTRUCTION-2YR'!S15+'RESEARCH 2yr'!S15+'PUBLIC SERVICE 2yr'!S15+'ASptISptSSv 2yr'!S15+'PLANT OPER MAIN 2yr'!S15+'SCHOLAR FELLOW 2yr'!S15+'All Other 2yr'!S15)-S15</f>
        <v>0</v>
      </c>
      <c r="AX15" s="74">
        <f>('INSTRUCTION-2YR'!T15+'RESEARCH 2yr'!T15+'PUBLIC SERVICE 2yr'!T15+'ASptISptSSv 2yr'!T15+'PLANT OPER MAIN 2yr'!T15+'SCHOLAR FELLOW 2yr'!T15+'All Other 2yr'!T15)-T15</f>
        <v>0</v>
      </c>
      <c r="AY15" s="74">
        <f>('INSTRUCTION-2YR'!U15+'RESEARCH 2yr'!U15+'PUBLIC SERVICE 2yr'!U15+'ASptISptSSv 2yr'!U15+'PLANT OPER MAIN 2yr'!U15+'SCHOLAR FELLOW 2yr'!U15+'All Other 2yr'!U15)-U15</f>
        <v>0</v>
      </c>
      <c r="AZ15" s="74">
        <f>('INSTRUCTION-2YR'!V15+'RESEARCH 2yr'!V15+'PUBLIC SERVICE 2yr'!V15+'ASptISptSSv 2yr'!V15+'PLANT OPER MAIN 2yr'!V15+'SCHOLAR FELLOW 2yr'!V15+'All Other 2yr'!V15)-V15</f>
        <v>0</v>
      </c>
      <c r="BA15" s="74">
        <f>('INSTRUCTION-2YR'!W15+'RESEARCH 2yr'!W15+'PUBLIC SERVICE 2yr'!W15+'ASptISptSSv 2yr'!W15+'PLANT OPER MAIN 2yr'!W15+'SCHOLAR FELLOW 2yr'!W15+'All Other 2yr'!W15)-W15</f>
        <v>0</v>
      </c>
      <c r="BB15" s="74">
        <f>('INSTRUCTION-2YR'!X15+'RESEARCH 2yr'!X15+'PUBLIC SERVICE 2yr'!X15+'ASptISptSSv 2yr'!X15+'PLANT OPER MAIN 2yr'!X15+'SCHOLAR FELLOW 2yr'!X15+'All Other 2yr'!X15)-X15</f>
        <v>0</v>
      </c>
      <c r="BC15" s="74">
        <f>('INSTRUCTION-2YR'!Y15+'RESEARCH 2yr'!Y15+'PUBLIC SERVICE 2yr'!Y15+'ASptISptSSv 2yr'!Y15+'PLANT OPER MAIN 2yr'!Y15+'SCHOLAR FELLOW 2yr'!Y15+'All Other 2yr'!Y15)-Y15</f>
        <v>0</v>
      </c>
      <c r="BD15" s="74">
        <f>('INSTRUCTION-2YR'!Z15+'RESEARCH 2yr'!Z15+'PUBLIC SERVICE 2yr'!Z15+'ASptISptSSv 2yr'!Z15+'PLANT OPER MAIN 2yr'!Z15+'SCHOLAR FELLOW 2yr'!Z15+'All Other 2yr'!Z15)-Z15</f>
        <v>0</v>
      </c>
      <c r="BE15" s="74">
        <f>('INSTRUCTION-2YR'!AA15+'RESEARCH 2yr'!AA15+'PUBLIC SERVICE 2yr'!AA15+'ASptISptSSv 2yr'!AA15+'PLANT OPER MAIN 2yr'!AA15+'SCHOLAR FELLOW 2yr'!AA15+'All Other 2yr'!AA15)-AA15</f>
        <v>0</v>
      </c>
      <c r="BF15" s="74">
        <f>('INSTRUCTION-2YR'!AB15+'RESEARCH 2yr'!AB15+'PUBLIC SERVICE 2yr'!AB15+'ASptISptSSv 2yr'!AB15+'PLANT OPER MAIN 2yr'!AB15+'SCHOLAR FELLOW 2yr'!AB15+'All Other 2yr'!AB15)-AB15</f>
        <v>0</v>
      </c>
      <c r="BG15" s="74">
        <f>('INSTRUCTION-2YR'!AC15+'RESEARCH 2yr'!AC15+'PUBLIC SERVICE 2yr'!AC15+'ASptISptSSv 2yr'!AC15+'PLANT OPER MAIN 2yr'!AC15+'SCHOLAR FELLOW 2yr'!AC15+'All Other 2yr'!AC15)-AC15</f>
        <v>0</v>
      </c>
      <c r="BH15" s="74">
        <f>('INSTRUCTION-2YR'!AD15+'RESEARCH 2yr'!AD15+'PUBLIC SERVICE 2yr'!AD15+'ASptISptSSv 2yr'!AD15+'PLANT OPER MAIN 2yr'!AD15+'SCHOLAR FELLOW 2yr'!AD15+'All Other 2yr'!AD15)-AD15</f>
        <v>0</v>
      </c>
      <c r="BI15" s="74">
        <f>('INSTRUCTION-2YR'!AE15+'RESEARCH 2yr'!AE15+'PUBLIC SERVICE 2yr'!AE15+'ASptISptSSv 2yr'!AE15+'PLANT OPER MAIN 2yr'!AE15+'SCHOLAR FELLOW 2yr'!AE15+'All Other 2yr'!AE15)-AE15</f>
        <v>0</v>
      </c>
    </row>
    <row r="16" spans="1:61">
      <c r="A16" s="1" t="s">
        <v>33</v>
      </c>
      <c r="B16" s="1">
        <v>225182</v>
      </c>
      <c r="C16" s="1">
        <v>235832</v>
      </c>
      <c r="D16" s="1">
        <v>257123</v>
      </c>
      <c r="E16" s="1">
        <v>363508.83100000001</v>
      </c>
      <c r="F16" s="41">
        <v>301518.74800000002</v>
      </c>
      <c r="G16" s="1">
        <v>399877.35</v>
      </c>
      <c r="H16" s="1">
        <v>432919.01299999998</v>
      </c>
      <c r="I16" s="1">
        <v>364605.17200000002</v>
      </c>
      <c r="J16" s="1">
        <v>470264.92700000008</v>
      </c>
      <c r="K16" s="1">
        <v>478464.63400000002</v>
      </c>
      <c r="L16" s="1">
        <v>587578.10900000005</v>
      </c>
      <c r="M16" s="1">
        <v>648421.58600000001</v>
      </c>
      <c r="N16" s="1">
        <v>717604.49199999997</v>
      </c>
      <c r="O16" s="1">
        <v>815251.71900000004</v>
      </c>
      <c r="P16" s="1">
        <v>830172.40399999998</v>
      </c>
      <c r="Q16" s="1">
        <v>886995.27500000002</v>
      </c>
      <c r="R16" s="1">
        <v>947579.21299999999</v>
      </c>
      <c r="S16" s="1">
        <v>1019198.458</v>
      </c>
      <c r="T16" s="1">
        <v>1096948.24</v>
      </c>
      <c r="U16" s="1">
        <v>1201828.69</v>
      </c>
      <c r="V16" s="1">
        <v>1283886.1640000001</v>
      </c>
      <c r="W16" s="1">
        <v>1388056.5279999999</v>
      </c>
      <c r="X16" s="1">
        <v>1416646.6459999999</v>
      </c>
      <c r="Y16" s="1">
        <v>1411068.6950000001</v>
      </c>
      <c r="Z16" s="1">
        <v>1460885.89</v>
      </c>
      <c r="AA16" s="1">
        <v>1486996.3319999999</v>
      </c>
      <c r="AB16" s="1">
        <v>1502073.3189999999</v>
      </c>
      <c r="AC16" s="1">
        <v>1503130.571</v>
      </c>
      <c r="AE16" s="1">
        <v>1569316.0970000001</v>
      </c>
      <c r="AF16" s="74">
        <f>('INSTRUCTION-2YR'!B16+'RESEARCH 2yr'!B16+'PUBLIC SERVICE 2yr'!B16+'ASptISptSSv 2yr'!B16+'PLANT OPER MAIN 2yr'!B16+'SCHOLAR FELLOW 2yr'!B16+'All Other 2yr'!B16)-B16</f>
        <v>0</v>
      </c>
      <c r="AG16" s="74">
        <f>('INSTRUCTION-2YR'!C16+'RESEARCH 2yr'!C16+'PUBLIC SERVICE 2yr'!C16+'ASptISptSSv 2yr'!C16+'PLANT OPER MAIN 2yr'!C16+'SCHOLAR FELLOW 2yr'!C16+'All Other 2yr'!C16)-C16</f>
        <v>0</v>
      </c>
      <c r="AH16" s="74">
        <f>('INSTRUCTION-2YR'!D16+'RESEARCH 2yr'!D16+'PUBLIC SERVICE 2yr'!D16+'ASptISptSSv 2yr'!D16+'PLANT OPER MAIN 2yr'!D16+'SCHOLAR FELLOW 2yr'!D16+'All Other 2yr'!D16)-D16</f>
        <v>0</v>
      </c>
      <c r="AI16" s="74">
        <f>('INSTRUCTION-2YR'!E16+'RESEARCH 2yr'!E16+'PUBLIC SERVICE 2yr'!E16+'ASptISptSSv 2yr'!E16+'PLANT OPER MAIN 2yr'!E16+'SCHOLAR FELLOW 2yr'!E16+'All Other 2yr'!E16)-E16</f>
        <v>0</v>
      </c>
      <c r="AJ16" s="74">
        <f>('INSTRUCTION-2YR'!F16+'RESEARCH 2yr'!F16+'PUBLIC SERVICE 2yr'!F16+'ASptISptSSv 2yr'!F16+'PLANT OPER MAIN 2yr'!F16+'SCHOLAR FELLOW 2yr'!F16+'All Other 2yr'!F16)-F16</f>
        <v>0</v>
      </c>
      <c r="AK16" s="74">
        <f>('INSTRUCTION-2YR'!G16+'RESEARCH 2yr'!G16+'PUBLIC SERVICE 2yr'!G16+'ASptISptSSv 2yr'!G16+'PLANT OPER MAIN 2yr'!G16+'SCHOLAR FELLOW 2yr'!G16+'All Other 2yr'!G16)-G16</f>
        <v>0</v>
      </c>
      <c r="AL16" s="74">
        <f>('INSTRUCTION-2YR'!H16+'RESEARCH 2yr'!H16+'PUBLIC SERVICE 2yr'!H16+'ASptISptSSv 2yr'!H16+'PLANT OPER MAIN 2yr'!H16+'SCHOLAR FELLOW 2yr'!H16+'All Other 2yr'!H16)-H16</f>
        <v>0</v>
      </c>
      <c r="AM16" s="74">
        <f>('INSTRUCTION-2YR'!I16+'RESEARCH 2yr'!I16+'PUBLIC SERVICE 2yr'!I16+'ASptISptSSv 2yr'!I16+'PLANT OPER MAIN 2yr'!I16+'SCHOLAR FELLOW 2yr'!I16+'All Other 2yr'!I16)-I16</f>
        <v>0</v>
      </c>
      <c r="AN16" s="74">
        <f>('INSTRUCTION-2YR'!J16+'RESEARCH 2yr'!J16+'PUBLIC SERVICE 2yr'!J16+'ASptISptSSv 2yr'!J16+'PLANT OPER MAIN 2yr'!J16+'SCHOLAR FELLOW 2yr'!J16+'All Other 2yr'!J16)-J16</f>
        <v>0</v>
      </c>
      <c r="AO16" s="74">
        <f>('INSTRUCTION-2YR'!K16+'RESEARCH 2yr'!K16+'PUBLIC SERVICE 2yr'!K16+'ASptISptSSv 2yr'!K16+'PLANT OPER MAIN 2yr'!K16+'SCHOLAR FELLOW 2yr'!K16+'All Other 2yr'!K16)-K16</f>
        <v>0</v>
      </c>
      <c r="AP16" s="74">
        <f>('INSTRUCTION-2YR'!L16+'RESEARCH 2yr'!L16+'PUBLIC SERVICE 2yr'!L16+'ASptISptSSv 2yr'!L16+'PLANT OPER MAIN 2yr'!L16+'SCHOLAR FELLOW 2yr'!L16+'All Other 2yr'!L16)-L16</f>
        <v>0</v>
      </c>
      <c r="AQ16" s="74">
        <f>('INSTRUCTION-2YR'!M16+'RESEARCH 2yr'!M16+'PUBLIC SERVICE 2yr'!M16+'ASptISptSSv 2yr'!M16+'PLANT OPER MAIN 2yr'!M16+'SCHOLAR FELLOW 2yr'!M16+'All Other 2yr'!M16)-M16</f>
        <v>0</v>
      </c>
      <c r="AR16" s="74">
        <f>('INSTRUCTION-2YR'!N16+'RESEARCH 2yr'!N16+'PUBLIC SERVICE 2yr'!N16+'ASptISptSSv 2yr'!N16+'PLANT OPER MAIN 2yr'!N16+'SCHOLAR FELLOW 2yr'!N16+'All Other 2yr'!N16)-N16</f>
        <v>0</v>
      </c>
      <c r="AS16" s="74">
        <f>('INSTRUCTION-2YR'!O16+'RESEARCH 2yr'!O16+'PUBLIC SERVICE 2yr'!O16+'ASptISptSSv 2yr'!O16+'PLANT OPER MAIN 2yr'!O16+'SCHOLAR FELLOW 2yr'!O16+'All Other 2yr'!O16)-O16</f>
        <v>0</v>
      </c>
      <c r="AT16" s="74">
        <f>('INSTRUCTION-2YR'!P16+'RESEARCH 2yr'!P16+'PUBLIC SERVICE 2yr'!P16+'ASptISptSSv 2yr'!P16+'PLANT OPER MAIN 2yr'!P16+'SCHOLAR FELLOW 2yr'!P16+'All Other 2yr'!P16)-P16</f>
        <v>0</v>
      </c>
      <c r="AU16" s="74">
        <f>('INSTRUCTION-2YR'!Q16+'RESEARCH 2yr'!Q16+'PUBLIC SERVICE 2yr'!Q16+'ASptISptSSv 2yr'!Q16+'PLANT OPER MAIN 2yr'!Q16+'SCHOLAR FELLOW 2yr'!Q16+'All Other 2yr'!Q16)-Q16</f>
        <v>0</v>
      </c>
      <c r="AV16" s="74">
        <f>('INSTRUCTION-2YR'!R16+'RESEARCH 2yr'!R16+'PUBLIC SERVICE 2yr'!R16+'ASptISptSSv 2yr'!R16+'PLANT OPER MAIN 2yr'!R16+'SCHOLAR FELLOW 2yr'!R16+'All Other 2yr'!R16)-R16</f>
        <v>0</v>
      </c>
      <c r="AW16" s="74">
        <f>('INSTRUCTION-2YR'!S16+'RESEARCH 2yr'!S16+'PUBLIC SERVICE 2yr'!S16+'ASptISptSSv 2yr'!S16+'PLANT OPER MAIN 2yr'!S16+'SCHOLAR FELLOW 2yr'!S16+'All Other 2yr'!S16)-S16</f>
        <v>0</v>
      </c>
      <c r="AX16" s="74">
        <f>('INSTRUCTION-2YR'!T16+'RESEARCH 2yr'!T16+'PUBLIC SERVICE 2yr'!T16+'ASptISptSSv 2yr'!T16+'PLANT OPER MAIN 2yr'!T16+'SCHOLAR FELLOW 2yr'!T16+'All Other 2yr'!T16)-T16</f>
        <v>0</v>
      </c>
      <c r="AY16" s="74">
        <f>('INSTRUCTION-2YR'!U16+'RESEARCH 2yr'!U16+'PUBLIC SERVICE 2yr'!U16+'ASptISptSSv 2yr'!U16+'PLANT OPER MAIN 2yr'!U16+'SCHOLAR FELLOW 2yr'!U16+'All Other 2yr'!U16)-U16</f>
        <v>0</v>
      </c>
      <c r="AZ16" s="74">
        <f>('INSTRUCTION-2YR'!V16+'RESEARCH 2yr'!V16+'PUBLIC SERVICE 2yr'!V16+'ASptISptSSv 2yr'!V16+'PLANT OPER MAIN 2yr'!V16+'SCHOLAR FELLOW 2yr'!V16+'All Other 2yr'!V16)-V16</f>
        <v>0</v>
      </c>
      <c r="BA16" s="74">
        <f>('INSTRUCTION-2YR'!W16+'RESEARCH 2yr'!W16+'PUBLIC SERVICE 2yr'!W16+'ASptISptSSv 2yr'!W16+'PLANT OPER MAIN 2yr'!W16+'SCHOLAR FELLOW 2yr'!W16+'All Other 2yr'!W16)-W16</f>
        <v>0</v>
      </c>
      <c r="BB16" s="74">
        <f>('INSTRUCTION-2YR'!X16+'RESEARCH 2yr'!X16+'PUBLIC SERVICE 2yr'!X16+'ASptISptSSv 2yr'!X16+'PLANT OPER MAIN 2yr'!X16+'SCHOLAR FELLOW 2yr'!X16+'All Other 2yr'!X16)-X16</f>
        <v>0</v>
      </c>
      <c r="BC16" s="74">
        <f>('INSTRUCTION-2YR'!Y16+'RESEARCH 2yr'!Y16+'PUBLIC SERVICE 2yr'!Y16+'ASptISptSSv 2yr'!Y16+'PLANT OPER MAIN 2yr'!Y16+'SCHOLAR FELLOW 2yr'!Y16+'All Other 2yr'!Y16)-Y16</f>
        <v>0</v>
      </c>
      <c r="BD16" s="74">
        <f>('INSTRUCTION-2YR'!Z16+'RESEARCH 2yr'!Z16+'PUBLIC SERVICE 2yr'!Z16+'ASptISptSSv 2yr'!Z16+'PLANT OPER MAIN 2yr'!Z16+'SCHOLAR FELLOW 2yr'!Z16+'All Other 2yr'!Z16)-Z16</f>
        <v>0</v>
      </c>
      <c r="BE16" s="74">
        <f>('INSTRUCTION-2YR'!AA16+'RESEARCH 2yr'!AA16+'PUBLIC SERVICE 2yr'!AA16+'ASptISptSSv 2yr'!AA16+'PLANT OPER MAIN 2yr'!AA16+'SCHOLAR FELLOW 2yr'!AA16+'All Other 2yr'!AA16)-AA16</f>
        <v>0</v>
      </c>
      <c r="BF16" s="74">
        <f>('INSTRUCTION-2YR'!AB16+'RESEARCH 2yr'!AB16+'PUBLIC SERVICE 2yr'!AB16+'ASptISptSSv 2yr'!AB16+'PLANT OPER MAIN 2yr'!AB16+'SCHOLAR FELLOW 2yr'!AB16+'All Other 2yr'!AB16)-AB16</f>
        <v>0</v>
      </c>
      <c r="BG16" s="74">
        <f>('INSTRUCTION-2YR'!AC16+'RESEARCH 2yr'!AC16+'PUBLIC SERVICE 2yr'!AC16+'ASptISptSSv 2yr'!AC16+'PLANT OPER MAIN 2yr'!AC16+'SCHOLAR FELLOW 2yr'!AC16+'All Other 2yr'!AC16)-AC16</f>
        <v>0</v>
      </c>
      <c r="BH16" s="74">
        <f>('INSTRUCTION-2YR'!AD16+'RESEARCH 2yr'!AD16+'PUBLIC SERVICE 2yr'!AD16+'ASptISptSSv 2yr'!AD16+'PLANT OPER MAIN 2yr'!AD16+'SCHOLAR FELLOW 2yr'!AD16+'All Other 2yr'!AD16)-AD16</f>
        <v>0</v>
      </c>
      <c r="BI16" s="74">
        <f>('INSTRUCTION-2YR'!AE16+'RESEARCH 2yr'!AE16+'PUBLIC SERVICE 2yr'!AE16+'ASptISptSSv 2yr'!AE16+'PLANT OPER MAIN 2yr'!AE16+'SCHOLAR FELLOW 2yr'!AE16+'All Other 2yr'!AE16)-AE16</f>
        <v>0</v>
      </c>
    </row>
    <row r="17" spans="1:61">
      <c r="A17" s="1" t="s">
        <v>34</v>
      </c>
      <c r="B17" s="1">
        <v>129644</v>
      </c>
      <c r="C17" s="1">
        <v>133004</v>
      </c>
      <c r="D17" s="1">
        <v>148127</v>
      </c>
      <c r="E17" s="1">
        <v>211036.44899999999</v>
      </c>
      <c r="F17" s="41">
        <v>215799.08300000001</v>
      </c>
      <c r="G17" s="1">
        <v>236869.23600000003</v>
      </c>
      <c r="H17" s="1">
        <v>257017.959</v>
      </c>
      <c r="I17" s="1">
        <v>295702.75199999998</v>
      </c>
      <c r="J17" s="1">
        <v>322618.49400000001</v>
      </c>
      <c r="K17" s="1">
        <v>334602.53000000003</v>
      </c>
      <c r="L17" s="1">
        <v>414818.12199999997</v>
      </c>
      <c r="M17" s="1">
        <v>428330.54</v>
      </c>
      <c r="N17" s="1">
        <v>451846.46399999998</v>
      </c>
      <c r="O17" s="1">
        <v>537814.05200000003</v>
      </c>
      <c r="P17" s="1">
        <v>550422.25100000005</v>
      </c>
      <c r="Q17" s="1">
        <v>574565.13600000006</v>
      </c>
      <c r="R17" s="1">
        <v>611661.74899999995</v>
      </c>
      <c r="S17" s="1">
        <v>640286.13600000006</v>
      </c>
      <c r="T17" s="1">
        <v>700451.26800000004</v>
      </c>
      <c r="U17" s="1">
        <v>739100.9</v>
      </c>
      <c r="V17" s="1">
        <v>847826.49600000004</v>
      </c>
      <c r="W17" s="1">
        <v>904421.39</v>
      </c>
      <c r="X17" s="1">
        <v>882757.08400000003</v>
      </c>
      <c r="Y17" s="1">
        <v>851763.27500000002</v>
      </c>
      <c r="Z17" s="1">
        <v>847476.94900000002</v>
      </c>
      <c r="AA17" s="1">
        <v>856326.64800000004</v>
      </c>
      <c r="AB17" s="1">
        <v>866589.522</v>
      </c>
      <c r="AC17" s="1">
        <v>916885.00199999998</v>
      </c>
      <c r="AE17" s="1">
        <v>914352.15800000005</v>
      </c>
      <c r="AF17" s="74">
        <f>('INSTRUCTION-2YR'!B17+'RESEARCH 2yr'!B17+'PUBLIC SERVICE 2yr'!B17+'ASptISptSSv 2yr'!B17+'PLANT OPER MAIN 2yr'!B17+'SCHOLAR FELLOW 2yr'!B17+'All Other 2yr'!B17)-B17</f>
        <v>0</v>
      </c>
      <c r="AG17" s="74">
        <f>('INSTRUCTION-2YR'!C17+'RESEARCH 2yr'!C17+'PUBLIC SERVICE 2yr'!C17+'ASptISptSSv 2yr'!C17+'PLANT OPER MAIN 2yr'!C17+'SCHOLAR FELLOW 2yr'!C17+'All Other 2yr'!C17)-C17</f>
        <v>0</v>
      </c>
      <c r="AH17" s="74">
        <f>('INSTRUCTION-2YR'!D17+'RESEARCH 2yr'!D17+'PUBLIC SERVICE 2yr'!D17+'ASptISptSSv 2yr'!D17+'PLANT OPER MAIN 2yr'!D17+'SCHOLAR FELLOW 2yr'!D17+'All Other 2yr'!D17)-D17</f>
        <v>0</v>
      </c>
      <c r="AI17" s="74">
        <f>('INSTRUCTION-2YR'!E17+'RESEARCH 2yr'!E17+'PUBLIC SERVICE 2yr'!E17+'ASptISptSSv 2yr'!E17+'PLANT OPER MAIN 2yr'!E17+'SCHOLAR FELLOW 2yr'!E17+'All Other 2yr'!E17)-E17</f>
        <v>0</v>
      </c>
      <c r="AJ17" s="74">
        <f>('INSTRUCTION-2YR'!F17+'RESEARCH 2yr'!F17+'PUBLIC SERVICE 2yr'!F17+'ASptISptSSv 2yr'!F17+'PLANT OPER MAIN 2yr'!F17+'SCHOLAR FELLOW 2yr'!F17+'All Other 2yr'!F17)-F17</f>
        <v>0</v>
      </c>
      <c r="AK17" s="74">
        <f>('INSTRUCTION-2YR'!G17+'RESEARCH 2yr'!G17+'PUBLIC SERVICE 2yr'!G17+'ASptISptSSv 2yr'!G17+'PLANT OPER MAIN 2yr'!G17+'SCHOLAR FELLOW 2yr'!G17+'All Other 2yr'!G17)-G17</f>
        <v>0</v>
      </c>
      <c r="AL17" s="74">
        <f>('INSTRUCTION-2YR'!H17+'RESEARCH 2yr'!H17+'PUBLIC SERVICE 2yr'!H17+'ASptISptSSv 2yr'!H17+'PLANT OPER MAIN 2yr'!H17+'SCHOLAR FELLOW 2yr'!H17+'All Other 2yr'!H17)-H17</f>
        <v>0</v>
      </c>
      <c r="AM17" s="74">
        <f>('INSTRUCTION-2YR'!I17+'RESEARCH 2yr'!I17+'PUBLIC SERVICE 2yr'!I17+'ASptISptSSv 2yr'!I17+'PLANT OPER MAIN 2yr'!I17+'SCHOLAR FELLOW 2yr'!I17+'All Other 2yr'!I17)-I17</f>
        <v>0</v>
      </c>
      <c r="AN17" s="74">
        <f>('INSTRUCTION-2YR'!J17+'RESEARCH 2yr'!J17+'PUBLIC SERVICE 2yr'!J17+'ASptISptSSv 2yr'!J17+'PLANT OPER MAIN 2yr'!J17+'SCHOLAR FELLOW 2yr'!J17+'All Other 2yr'!J17)-J17</f>
        <v>0</v>
      </c>
      <c r="AO17" s="74">
        <f>('INSTRUCTION-2YR'!K17+'RESEARCH 2yr'!K17+'PUBLIC SERVICE 2yr'!K17+'ASptISptSSv 2yr'!K17+'PLANT OPER MAIN 2yr'!K17+'SCHOLAR FELLOW 2yr'!K17+'All Other 2yr'!K17)-K17</f>
        <v>0</v>
      </c>
      <c r="AP17" s="74">
        <f>('INSTRUCTION-2YR'!L17+'RESEARCH 2yr'!L17+'PUBLIC SERVICE 2yr'!L17+'ASptISptSSv 2yr'!L17+'PLANT OPER MAIN 2yr'!L17+'SCHOLAR FELLOW 2yr'!L17+'All Other 2yr'!L17)-L17</f>
        <v>0</v>
      </c>
      <c r="AQ17" s="74">
        <f>('INSTRUCTION-2YR'!M17+'RESEARCH 2yr'!M17+'PUBLIC SERVICE 2yr'!M17+'ASptISptSSv 2yr'!M17+'PLANT OPER MAIN 2yr'!M17+'SCHOLAR FELLOW 2yr'!M17+'All Other 2yr'!M17)-M17</f>
        <v>0</v>
      </c>
      <c r="AR17" s="74">
        <f>('INSTRUCTION-2YR'!N17+'RESEARCH 2yr'!N17+'PUBLIC SERVICE 2yr'!N17+'ASptISptSSv 2yr'!N17+'PLANT OPER MAIN 2yr'!N17+'SCHOLAR FELLOW 2yr'!N17+'All Other 2yr'!N17)-N17</f>
        <v>0</v>
      </c>
      <c r="AS17" s="74">
        <f>('INSTRUCTION-2YR'!O17+'RESEARCH 2yr'!O17+'PUBLIC SERVICE 2yr'!O17+'ASptISptSSv 2yr'!O17+'PLANT OPER MAIN 2yr'!O17+'SCHOLAR FELLOW 2yr'!O17+'All Other 2yr'!O17)-O17</f>
        <v>0</v>
      </c>
      <c r="AT17" s="74">
        <f>('INSTRUCTION-2YR'!P17+'RESEARCH 2yr'!P17+'PUBLIC SERVICE 2yr'!P17+'ASptISptSSv 2yr'!P17+'PLANT OPER MAIN 2yr'!P17+'SCHOLAR FELLOW 2yr'!P17+'All Other 2yr'!P17)-P17</f>
        <v>0</v>
      </c>
      <c r="AU17" s="74">
        <f>('INSTRUCTION-2YR'!Q17+'RESEARCH 2yr'!Q17+'PUBLIC SERVICE 2yr'!Q17+'ASptISptSSv 2yr'!Q17+'PLANT OPER MAIN 2yr'!Q17+'SCHOLAR FELLOW 2yr'!Q17+'All Other 2yr'!Q17)-Q17</f>
        <v>0</v>
      </c>
      <c r="AV17" s="74">
        <f>('INSTRUCTION-2YR'!R17+'RESEARCH 2yr'!R17+'PUBLIC SERVICE 2yr'!R17+'ASptISptSSv 2yr'!R17+'PLANT OPER MAIN 2yr'!R17+'SCHOLAR FELLOW 2yr'!R17+'All Other 2yr'!R17)-R17</f>
        <v>0</v>
      </c>
      <c r="AW17" s="74">
        <f>('INSTRUCTION-2YR'!S17+'RESEARCH 2yr'!S17+'PUBLIC SERVICE 2yr'!S17+'ASptISptSSv 2yr'!S17+'PLANT OPER MAIN 2yr'!S17+'SCHOLAR FELLOW 2yr'!S17+'All Other 2yr'!S17)-S17</f>
        <v>0</v>
      </c>
      <c r="AX17" s="74">
        <f>('INSTRUCTION-2YR'!T17+'RESEARCH 2yr'!T17+'PUBLIC SERVICE 2yr'!T17+'ASptISptSSv 2yr'!T17+'PLANT OPER MAIN 2yr'!T17+'SCHOLAR FELLOW 2yr'!T17+'All Other 2yr'!T17)-T17</f>
        <v>0</v>
      </c>
      <c r="AY17" s="74">
        <f>('INSTRUCTION-2YR'!U17+'RESEARCH 2yr'!U17+'PUBLIC SERVICE 2yr'!U17+'ASptISptSSv 2yr'!U17+'PLANT OPER MAIN 2yr'!U17+'SCHOLAR FELLOW 2yr'!U17+'All Other 2yr'!U17)-U17</f>
        <v>0</v>
      </c>
      <c r="AZ17" s="74">
        <f>('INSTRUCTION-2YR'!V17+'RESEARCH 2yr'!V17+'PUBLIC SERVICE 2yr'!V17+'ASptISptSSv 2yr'!V17+'PLANT OPER MAIN 2yr'!V17+'SCHOLAR FELLOW 2yr'!V17+'All Other 2yr'!V17)-V17</f>
        <v>0</v>
      </c>
      <c r="BA17" s="74">
        <f>('INSTRUCTION-2YR'!W17+'RESEARCH 2yr'!W17+'PUBLIC SERVICE 2yr'!W17+'ASptISptSSv 2yr'!W17+'PLANT OPER MAIN 2yr'!W17+'SCHOLAR FELLOW 2yr'!W17+'All Other 2yr'!W17)-W17</f>
        <v>0</v>
      </c>
      <c r="BB17" s="74">
        <f>('INSTRUCTION-2YR'!X17+'RESEARCH 2yr'!X17+'PUBLIC SERVICE 2yr'!X17+'ASptISptSSv 2yr'!X17+'PLANT OPER MAIN 2yr'!X17+'SCHOLAR FELLOW 2yr'!X17+'All Other 2yr'!X17)-X17</f>
        <v>0</v>
      </c>
      <c r="BC17" s="74">
        <f>('INSTRUCTION-2YR'!Y17+'RESEARCH 2yr'!Y17+'PUBLIC SERVICE 2yr'!Y17+'ASptISptSSv 2yr'!Y17+'PLANT OPER MAIN 2yr'!Y17+'SCHOLAR FELLOW 2yr'!Y17+'All Other 2yr'!Y17)-Y17</f>
        <v>0</v>
      </c>
      <c r="BD17" s="74">
        <f>('INSTRUCTION-2YR'!Z17+'RESEARCH 2yr'!Z17+'PUBLIC SERVICE 2yr'!Z17+'ASptISptSSv 2yr'!Z17+'PLANT OPER MAIN 2yr'!Z17+'SCHOLAR FELLOW 2yr'!Z17+'All Other 2yr'!Z17)-Z17</f>
        <v>0</v>
      </c>
      <c r="BE17" s="74">
        <f>('INSTRUCTION-2YR'!AA17+'RESEARCH 2yr'!AA17+'PUBLIC SERVICE 2yr'!AA17+'ASptISptSSv 2yr'!AA17+'PLANT OPER MAIN 2yr'!AA17+'SCHOLAR FELLOW 2yr'!AA17+'All Other 2yr'!AA17)-AA17</f>
        <v>0</v>
      </c>
      <c r="BF17" s="74">
        <f>('INSTRUCTION-2YR'!AB17+'RESEARCH 2yr'!AB17+'PUBLIC SERVICE 2yr'!AB17+'ASptISptSSv 2yr'!AB17+'PLANT OPER MAIN 2yr'!AB17+'SCHOLAR FELLOW 2yr'!AB17+'All Other 2yr'!AB17)-AB17</f>
        <v>0</v>
      </c>
      <c r="BG17" s="74">
        <f>('INSTRUCTION-2YR'!AC17+'RESEARCH 2yr'!AC17+'PUBLIC SERVICE 2yr'!AC17+'ASptISptSSv 2yr'!AC17+'PLANT OPER MAIN 2yr'!AC17+'SCHOLAR FELLOW 2yr'!AC17+'All Other 2yr'!AC17)-AC17</f>
        <v>0</v>
      </c>
      <c r="BH17" s="74">
        <f>('INSTRUCTION-2YR'!AD17+'RESEARCH 2yr'!AD17+'PUBLIC SERVICE 2yr'!AD17+'ASptISptSSv 2yr'!AD17+'PLANT OPER MAIN 2yr'!AD17+'SCHOLAR FELLOW 2yr'!AD17+'All Other 2yr'!AD17)-AD17</f>
        <v>0</v>
      </c>
      <c r="BI17" s="74">
        <f>('INSTRUCTION-2YR'!AE17+'RESEARCH 2yr'!AE17+'PUBLIC SERVICE 2yr'!AE17+'ASptISptSSv 2yr'!AE17+'PLANT OPER MAIN 2yr'!AE17+'SCHOLAR FELLOW 2yr'!AE17+'All Other 2yr'!AE17)-AE17</f>
        <v>0</v>
      </c>
    </row>
    <row r="18" spans="1:61">
      <c r="A18" s="1" t="s">
        <v>35</v>
      </c>
      <c r="B18" s="1">
        <v>291020</v>
      </c>
      <c r="C18" s="1">
        <v>317730</v>
      </c>
      <c r="D18" s="1">
        <v>348495</v>
      </c>
      <c r="E18" s="1">
        <v>504940.83100000001</v>
      </c>
      <c r="F18" s="41">
        <v>531034.33299999998</v>
      </c>
      <c r="G18" s="1">
        <v>584110.76699999988</v>
      </c>
      <c r="H18" s="1">
        <v>624068.37300000002</v>
      </c>
      <c r="I18" s="1">
        <v>656528.83499999996</v>
      </c>
      <c r="J18" s="1">
        <v>672336.80199999991</v>
      </c>
      <c r="K18" s="1">
        <v>710548.3759499999</v>
      </c>
      <c r="L18" s="1">
        <v>921608.00800000003</v>
      </c>
      <c r="M18" s="1">
        <v>995447.821</v>
      </c>
      <c r="N18" s="1">
        <v>1114570.4450000001</v>
      </c>
      <c r="O18" s="1">
        <v>1224503.5209999999</v>
      </c>
      <c r="P18" s="1">
        <v>1323571.1399999999</v>
      </c>
      <c r="Q18" s="1">
        <v>1430391.8570000001</v>
      </c>
      <c r="R18" s="1">
        <v>1510807.993</v>
      </c>
      <c r="S18" s="1">
        <v>1596187.787</v>
      </c>
      <c r="T18" s="1">
        <v>1722389.3640000001</v>
      </c>
      <c r="U18" s="1">
        <v>1838942.7579999999</v>
      </c>
      <c r="V18" s="1">
        <v>2082682.01</v>
      </c>
      <c r="W18" s="1">
        <v>2299038.1129999999</v>
      </c>
      <c r="X18" s="1">
        <v>2283125.7969999998</v>
      </c>
      <c r="Y18" s="1">
        <v>2333656.5890000002</v>
      </c>
      <c r="Z18" s="1">
        <v>2319750.9500000002</v>
      </c>
      <c r="AA18" s="1">
        <v>2291550.8450000002</v>
      </c>
      <c r="AB18" s="1">
        <v>2229708.523</v>
      </c>
      <c r="AC18" s="1">
        <v>2299223.9190000002</v>
      </c>
      <c r="AE18" s="1">
        <v>2325700.852</v>
      </c>
      <c r="AF18" s="74">
        <f>('INSTRUCTION-2YR'!B18+'RESEARCH 2yr'!B18+'PUBLIC SERVICE 2yr'!B18+'ASptISptSSv 2yr'!B18+'PLANT OPER MAIN 2yr'!B18+'SCHOLAR FELLOW 2yr'!B18+'All Other 2yr'!B18)-B18</f>
        <v>0</v>
      </c>
      <c r="AG18" s="74">
        <f>('INSTRUCTION-2YR'!C18+'RESEARCH 2yr'!C18+'PUBLIC SERVICE 2yr'!C18+'ASptISptSSv 2yr'!C18+'PLANT OPER MAIN 2yr'!C18+'SCHOLAR FELLOW 2yr'!C18+'All Other 2yr'!C18)-C18</f>
        <v>0</v>
      </c>
      <c r="AH18" s="74">
        <f>('INSTRUCTION-2YR'!D18+'RESEARCH 2yr'!D18+'PUBLIC SERVICE 2yr'!D18+'ASptISptSSv 2yr'!D18+'PLANT OPER MAIN 2yr'!D18+'SCHOLAR FELLOW 2yr'!D18+'All Other 2yr'!D18)-D18</f>
        <v>0</v>
      </c>
      <c r="AI18" s="74">
        <f>('INSTRUCTION-2YR'!E18+'RESEARCH 2yr'!E18+'PUBLIC SERVICE 2yr'!E18+'ASptISptSSv 2yr'!E18+'PLANT OPER MAIN 2yr'!E18+'SCHOLAR FELLOW 2yr'!E18+'All Other 2yr'!E18)-E18</f>
        <v>0</v>
      </c>
      <c r="AJ18" s="74">
        <f>('INSTRUCTION-2YR'!F18+'RESEARCH 2yr'!F18+'PUBLIC SERVICE 2yr'!F18+'ASptISptSSv 2yr'!F18+'PLANT OPER MAIN 2yr'!F18+'SCHOLAR FELLOW 2yr'!F18+'All Other 2yr'!F18)-F18</f>
        <v>0</v>
      </c>
      <c r="AK18" s="74">
        <f>('INSTRUCTION-2YR'!G18+'RESEARCH 2yr'!G18+'PUBLIC SERVICE 2yr'!G18+'ASptISptSSv 2yr'!G18+'PLANT OPER MAIN 2yr'!G18+'SCHOLAR FELLOW 2yr'!G18+'All Other 2yr'!G18)-G18</f>
        <v>0</v>
      </c>
      <c r="AL18" s="74">
        <f>('INSTRUCTION-2YR'!H18+'RESEARCH 2yr'!H18+'PUBLIC SERVICE 2yr'!H18+'ASptISptSSv 2yr'!H18+'PLANT OPER MAIN 2yr'!H18+'SCHOLAR FELLOW 2yr'!H18+'All Other 2yr'!H18)-H18</f>
        <v>0</v>
      </c>
      <c r="AM18" s="74">
        <f>('INSTRUCTION-2YR'!I18+'RESEARCH 2yr'!I18+'PUBLIC SERVICE 2yr'!I18+'ASptISptSSv 2yr'!I18+'PLANT OPER MAIN 2yr'!I18+'SCHOLAR FELLOW 2yr'!I18+'All Other 2yr'!I18)-I18</f>
        <v>0</v>
      </c>
      <c r="AN18" s="74">
        <f>('INSTRUCTION-2YR'!J18+'RESEARCH 2yr'!J18+'PUBLIC SERVICE 2yr'!J18+'ASptISptSSv 2yr'!J18+'PLANT OPER MAIN 2yr'!J18+'SCHOLAR FELLOW 2yr'!J18+'All Other 2yr'!J18)-J18</f>
        <v>0</v>
      </c>
      <c r="AO18" s="74">
        <f>('INSTRUCTION-2YR'!K18+'RESEARCH 2yr'!K18+'PUBLIC SERVICE 2yr'!K18+'ASptISptSSv 2yr'!K18+'PLANT OPER MAIN 2yr'!K18+'SCHOLAR FELLOW 2yr'!K18+'All Other 2yr'!K18)-K18</f>
        <v>0</v>
      </c>
      <c r="AP18" s="74">
        <f>('INSTRUCTION-2YR'!L18+'RESEARCH 2yr'!L18+'PUBLIC SERVICE 2yr'!L18+'ASptISptSSv 2yr'!L18+'PLANT OPER MAIN 2yr'!L18+'SCHOLAR FELLOW 2yr'!L18+'All Other 2yr'!L18)-L18</f>
        <v>0</v>
      </c>
      <c r="AQ18" s="74">
        <f>('INSTRUCTION-2YR'!M18+'RESEARCH 2yr'!M18+'PUBLIC SERVICE 2yr'!M18+'ASptISptSSv 2yr'!M18+'PLANT OPER MAIN 2yr'!M18+'SCHOLAR FELLOW 2yr'!M18+'All Other 2yr'!M18)-M18</f>
        <v>0</v>
      </c>
      <c r="AR18" s="74">
        <f>('INSTRUCTION-2YR'!N18+'RESEARCH 2yr'!N18+'PUBLIC SERVICE 2yr'!N18+'ASptISptSSv 2yr'!N18+'PLANT OPER MAIN 2yr'!N18+'SCHOLAR FELLOW 2yr'!N18+'All Other 2yr'!N18)-N18</f>
        <v>0</v>
      </c>
      <c r="AS18" s="74">
        <f>('INSTRUCTION-2YR'!O18+'RESEARCH 2yr'!O18+'PUBLIC SERVICE 2yr'!O18+'ASptISptSSv 2yr'!O18+'PLANT OPER MAIN 2yr'!O18+'SCHOLAR FELLOW 2yr'!O18+'All Other 2yr'!O18)-O18</f>
        <v>0</v>
      </c>
      <c r="AT18" s="74">
        <f>('INSTRUCTION-2YR'!P18+'RESEARCH 2yr'!P18+'PUBLIC SERVICE 2yr'!P18+'ASptISptSSv 2yr'!P18+'PLANT OPER MAIN 2yr'!P18+'SCHOLAR FELLOW 2yr'!P18+'All Other 2yr'!P18)-P18</f>
        <v>0</v>
      </c>
      <c r="AU18" s="74">
        <f>('INSTRUCTION-2YR'!Q18+'RESEARCH 2yr'!Q18+'PUBLIC SERVICE 2yr'!Q18+'ASptISptSSv 2yr'!Q18+'PLANT OPER MAIN 2yr'!Q18+'SCHOLAR FELLOW 2yr'!Q18+'All Other 2yr'!Q18)-Q18</f>
        <v>0</v>
      </c>
      <c r="AV18" s="74">
        <f>('INSTRUCTION-2YR'!R18+'RESEARCH 2yr'!R18+'PUBLIC SERVICE 2yr'!R18+'ASptISptSSv 2yr'!R18+'PLANT OPER MAIN 2yr'!R18+'SCHOLAR FELLOW 2yr'!R18+'All Other 2yr'!R18)-R18</f>
        <v>0</v>
      </c>
      <c r="AW18" s="74">
        <f>('INSTRUCTION-2YR'!S18+'RESEARCH 2yr'!S18+'PUBLIC SERVICE 2yr'!S18+'ASptISptSSv 2yr'!S18+'PLANT OPER MAIN 2yr'!S18+'SCHOLAR FELLOW 2yr'!S18+'All Other 2yr'!S18)-S18</f>
        <v>0</v>
      </c>
      <c r="AX18" s="74">
        <f>('INSTRUCTION-2YR'!T18+'RESEARCH 2yr'!T18+'PUBLIC SERVICE 2yr'!T18+'ASptISptSSv 2yr'!T18+'PLANT OPER MAIN 2yr'!T18+'SCHOLAR FELLOW 2yr'!T18+'All Other 2yr'!T18)-T18</f>
        <v>0</v>
      </c>
      <c r="AY18" s="74">
        <f>('INSTRUCTION-2YR'!U18+'RESEARCH 2yr'!U18+'PUBLIC SERVICE 2yr'!U18+'ASptISptSSv 2yr'!U18+'PLANT OPER MAIN 2yr'!U18+'SCHOLAR FELLOW 2yr'!U18+'All Other 2yr'!U18)-U18</f>
        <v>0</v>
      </c>
      <c r="AZ18" s="74">
        <f>('INSTRUCTION-2YR'!V18+'RESEARCH 2yr'!V18+'PUBLIC SERVICE 2yr'!V18+'ASptISptSSv 2yr'!V18+'PLANT OPER MAIN 2yr'!V18+'SCHOLAR FELLOW 2yr'!V18+'All Other 2yr'!V18)-V18</f>
        <v>0</v>
      </c>
      <c r="BA18" s="74">
        <f>('INSTRUCTION-2YR'!W18+'RESEARCH 2yr'!W18+'PUBLIC SERVICE 2yr'!W18+'ASptISptSSv 2yr'!W18+'PLANT OPER MAIN 2yr'!W18+'SCHOLAR FELLOW 2yr'!W18+'All Other 2yr'!W18)-W18</f>
        <v>0</v>
      </c>
      <c r="BB18" s="74">
        <f>('INSTRUCTION-2YR'!X18+'RESEARCH 2yr'!X18+'PUBLIC SERVICE 2yr'!X18+'ASptISptSSv 2yr'!X18+'PLANT OPER MAIN 2yr'!X18+'SCHOLAR FELLOW 2yr'!X18+'All Other 2yr'!X18)-X18</f>
        <v>0</v>
      </c>
      <c r="BC18" s="74">
        <f>('INSTRUCTION-2YR'!Y18+'RESEARCH 2yr'!Y18+'PUBLIC SERVICE 2yr'!Y18+'ASptISptSSv 2yr'!Y18+'PLANT OPER MAIN 2yr'!Y18+'SCHOLAR FELLOW 2yr'!Y18+'All Other 2yr'!Y18)-Y18</f>
        <v>0</v>
      </c>
      <c r="BD18" s="74">
        <f>('INSTRUCTION-2YR'!Z18+'RESEARCH 2yr'!Z18+'PUBLIC SERVICE 2yr'!Z18+'ASptISptSSv 2yr'!Z18+'PLANT OPER MAIN 2yr'!Z18+'SCHOLAR FELLOW 2yr'!Z18+'All Other 2yr'!Z18)-Z18</f>
        <v>0</v>
      </c>
      <c r="BE18" s="74">
        <f>('INSTRUCTION-2YR'!AA18+'RESEARCH 2yr'!AA18+'PUBLIC SERVICE 2yr'!AA18+'ASptISptSSv 2yr'!AA18+'PLANT OPER MAIN 2yr'!AA18+'SCHOLAR FELLOW 2yr'!AA18+'All Other 2yr'!AA18)-AA18</f>
        <v>0</v>
      </c>
      <c r="BF18" s="74">
        <f>('INSTRUCTION-2YR'!AB18+'RESEARCH 2yr'!AB18+'PUBLIC SERVICE 2yr'!AB18+'ASptISptSSv 2yr'!AB18+'PLANT OPER MAIN 2yr'!AB18+'SCHOLAR FELLOW 2yr'!AB18+'All Other 2yr'!AB18)-AB18</f>
        <v>0</v>
      </c>
      <c r="BG18" s="74">
        <f>('INSTRUCTION-2YR'!AC18+'RESEARCH 2yr'!AC18+'PUBLIC SERVICE 2yr'!AC18+'ASptISptSSv 2yr'!AC18+'PLANT OPER MAIN 2yr'!AC18+'SCHOLAR FELLOW 2yr'!AC18+'All Other 2yr'!AC18)-AC18</f>
        <v>0</v>
      </c>
      <c r="BH18" s="74">
        <f>('INSTRUCTION-2YR'!AD18+'RESEARCH 2yr'!AD18+'PUBLIC SERVICE 2yr'!AD18+'ASptISptSSv 2yr'!AD18+'PLANT OPER MAIN 2yr'!AD18+'SCHOLAR FELLOW 2yr'!AD18+'All Other 2yr'!AD18)-AD18</f>
        <v>0</v>
      </c>
      <c r="BI18" s="74">
        <f>('INSTRUCTION-2YR'!AE18+'RESEARCH 2yr'!AE18+'PUBLIC SERVICE 2yr'!AE18+'ASptISptSSv 2yr'!AE18+'PLANT OPER MAIN 2yr'!AE18+'SCHOLAR FELLOW 2yr'!AE18+'All Other 2yr'!AE18)-AE18</f>
        <v>0</v>
      </c>
    </row>
    <row r="19" spans="1:61">
      <c r="A19" s="1" t="s">
        <v>36</v>
      </c>
      <c r="B19" s="1">
        <v>89768</v>
      </c>
      <c r="C19" s="1">
        <v>96670</v>
      </c>
      <c r="D19" s="1">
        <v>107278</v>
      </c>
      <c r="E19" s="1">
        <v>167811.076</v>
      </c>
      <c r="F19" s="41">
        <v>191648.704</v>
      </c>
      <c r="G19" s="1">
        <v>190863.21699999998</v>
      </c>
      <c r="H19" s="1">
        <v>196704.43599999999</v>
      </c>
      <c r="I19" s="1">
        <v>208733.51199999999</v>
      </c>
      <c r="J19" s="1">
        <v>210961.56199999998</v>
      </c>
      <c r="K19" s="1">
        <v>232948.19021999999</v>
      </c>
      <c r="L19" s="1">
        <v>261875.66700000002</v>
      </c>
      <c r="M19" s="1">
        <v>390141.85100000002</v>
      </c>
      <c r="N19" s="1">
        <v>367845.967</v>
      </c>
      <c r="O19" s="1">
        <v>376259.36700000003</v>
      </c>
      <c r="P19" s="1">
        <v>363624.11499999999</v>
      </c>
      <c r="Q19" s="1">
        <v>368606.85399999999</v>
      </c>
      <c r="R19" s="1">
        <v>383374.04200000002</v>
      </c>
      <c r="S19" s="1">
        <v>390444.66600000003</v>
      </c>
      <c r="T19" s="1">
        <v>438414.38900000002</v>
      </c>
      <c r="U19" s="1">
        <v>499083.08399999997</v>
      </c>
      <c r="V19" s="1">
        <v>559871.03799999994</v>
      </c>
      <c r="W19" s="1">
        <v>587986.52500000002</v>
      </c>
      <c r="X19" s="1">
        <v>606906.54200000002</v>
      </c>
      <c r="Y19" s="1">
        <v>605767.64500000002</v>
      </c>
      <c r="Z19" s="1">
        <v>598773.89199999999</v>
      </c>
      <c r="AA19" s="1">
        <v>599331.16</v>
      </c>
      <c r="AB19" s="1">
        <v>599152.62300000002</v>
      </c>
      <c r="AC19" s="1">
        <v>592037.95299999998</v>
      </c>
      <c r="AE19" s="1">
        <v>573442.62899999996</v>
      </c>
      <c r="AF19" s="74">
        <f>('INSTRUCTION-2YR'!B19+'RESEARCH 2yr'!B19+'PUBLIC SERVICE 2yr'!B19+'ASptISptSSv 2yr'!B19+'PLANT OPER MAIN 2yr'!B19+'SCHOLAR FELLOW 2yr'!B19+'All Other 2yr'!B19)-B19</f>
        <v>0</v>
      </c>
      <c r="AG19" s="74">
        <f>('INSTRUCTION-2YR'!C19+'RESEARCH 2yr'!C19+'PUBLIC SERVICE 2yr'!C19+'ASptISptSSv 2yr'!C19+'PLANT OPER MAIN 2yr'!C19+'SCHOLAR FELLOW 2yr'!C19+'All Other 2yr'!C19)-C19</f>
        <v>0</v>
      </c>
      <c r="AH19" s="74">
        <f>('INSTRUCTION-2YR'!D19+'RESEARCH 2yr'!D19+'PUBLIC SERVICE 2yr'!D19+'ASptISptSSv 2yr'!D19+'PLANT OPER MAIN 2yr'!D19+'SCHOLAR FELLOW 2yr'!D19+'All Other 2yr'!D19)-D19</f>
        <v>0</v>
      </c>
      <c r="AI19" s="74">
        <f>('INSTRUCTION-2YR'!E19+'RESEARCH 2yr'!E19+'PUBLIC SERVICE 2yr'!E19+'ASptISptSSv 2yr'!E19+'PLANT OPER MAIN 2yr'!E19+'SCHOLAR FELLOW 2yr'!E19+'All Other 2yr'!E19)-E19</f>
        <v>0</v>
      </c>
      <c r="AJ19" s="74">
        <f>('INSTRUCTION-2YR'!F19+'RESEARCH 2yr'!F19+'PUBLIC SERVICE 2yr'!F19+'ASptISptSSv 2yr'!F19+'PLANT OPER MAIN 2yr'!F19+'SCHOLAR FELLOW 2yr'!F19+'All Other 2yr'!F19)-F19</f>
        <v>0</v>
      </c>
      <c r="AK19" s="74">
        <f>('INSTRUCTION-2YR'!G19+'RESEARCH 2yr'!G19+'PUBLIC SERVICE 2yr'!G19+'ASptISptSSv 2yr'!G19+'PLANT OPER MAIN 2yr'!G19+'SCHOLAR FELLOW 2yr'!G19+'All Other 2yr'!G19)-G19</f>
        <v>0</v>
      </c>
      <c r="AL19" s="74">
        <f>('INSTRUCTION-2YR'!H19+'RESEARCH 2yr'!H19+'PUBLIC SERVICE 2yr'!H19+'ASptISptSSv 2yr'!H19+'PLANT OPER MAIN 2yr'!H19+'SCHOLAR FELLOW 2yr'!H19+'All Other 2yr'!H19)-H19</f>
        <v>0</v>
      </c>
      <c r="AM19" s="74">
        <f>('INSTRUCTION-2YR'!I19+'RESEARCH 2yr'!I19+'PUBLIC SERVICE 2yr'!I19+'ASptISptSSv 2yr'!I19+'PLANT OPER MAIN 2yr'!I19+'SCHOLAR FELLOW 2yr'!I19+'All Other 2yr'!I19)-I19</f>
        <v>0</v>
      </c>
      <c r="AN19" s="74">
        <f>('INSTRUCTION-2YR'!J19+'RESEARCH 2yr'!J19+'PUBLIC SERVICE 2yr'!J19+'ASptISptSSv 2yr'!J19+'PLANT OPER MAIN 2yr'!J19+'SCHOLAR FELLOW 2yr'!J19+'All Other 2yr'!J19)-J19</f>
        <v>0</v>
      </c>
      <c r="AO19" s="74">
        <f>('INSTRUCTION-2YR'!K19+'RESEARCH 2yr'!K19+'PUBLIC SERVICE 2yr'!K19+'ASptISptSSv 2yr'!K19+'PLANT OPER MAIN 2yr'!K19+'SCHOLAR FELLOW 2yr'!K19+'All Other 2yr'!K19)-K19</f>
        <v>0</v>
      </c>
      <c r="AP19" s="74">
        <f>('INSTRUCTION-2YR'!L19+'RESEARCH 2yr'!L19+'PUBLIC SERVICE 2yr'!L19+'ASptISptSSv 2yr'!L19+'PLANT OPER MAIN 2yr'!L19+'SCHOLAR FELLOW 2yr'!L19+'All Other 2yr'!L19)-L19</f>
        <v>0</v>
      </c>
      <c r="AQ19" s="74">
        <f>('INSTRUCTION-2YR'!M19+'RESEARCH 2yr'!M19+'PUBLIC SERVICE 2yr'!M19+'ASptISptSSv 2yr'!M19+'PLANT OPER MAIN 2yr'!M19+'SCHOLAR FELLOW 2yr'!M19+'All Other 2yr'!M19)-M19</f>
        <v>0</v>
      </c>
      <c r="AR19" s="74">
        <f>('INSTRUCTION-2YR'!N19+'RESEARCH 2yr'!N19+'PUBLIC SERVICE 2yr'!N19+'ASptISptSSv 2yr'!N19+'PLANT OPER MAIN 2yr'!N19+'SCHOLAR FELLOW 2yr'!N19+'All Other 2yr'!N19)-N19</f>
        <v>0</v>
      </c>
      <c r="AS19" s="74">
        <f>('INSTRUCTION-2YR'!O19+'RESEARCH 2yr'!O19+'PUBLIC SERVICE 2yr'!O19+'ASptISptSSv 2yr'!O19+'PLANT OPER MAIN 2yr'!O19+'SCHOLAR FELLOW 2yr'!O19+'All Other 2yr'!O19)-O19</f>
        <v>0</v>
      </c>
      <c r="AT19" s="74">
        <f>('INSTRUCTION-2YR'!P19+'RESEARCH 2yr'!P19+'PUBLIC SERVICE 2yr'!P19+'ASptISptSSv 2yr'!P19+'PLANT OPER MAIN 2yr'!P19+'SCHOLAR FELLOW 2yr'!P19+'All Other 2yr'!P19)-P19</f>
        <v>0</v>
      </c>
      <c r="AU19" s="74">
        <f>('INSTRUCTION-2YR'!Q19+'RESEARCH 2yr'!Q19+'PUBLIC SERVICE 2yr'!Q19+'ASptISptSSv 2yr'!Q19+'PLANT OPER MAIN 2yr'!Q19+'SCHOLAR FELLOW 2yr'!Q19+'All Other 2yr'!Q19)-Q19</f>
        <v>0</v>
      </c>
      <c r="AV19" s="74">
        <f>('INSTRUCTION-2YR'!R19+'RESEARCH 2yr'!R19+'PUBLIC SERVICE 2yr'!R19+'ASptISptSSv 2yr'!R19+'PLANT OPER MAIN 2yr'!R19+'SCHOLAR FELLOW 2yr'!R19+'All Other 2yr'!R19)-R19</f>
        <v>0</v>
      </c>
      <c r="AW19" s="74">
        <f>('INSTRUCTION-2YR'!S19+'RESEARCH 2yr'!S19+'PUBLIC SERVICE 2yr'!S19+'ASptISptSSv 2yr'!S19+'PLANT OPER MAIN 2yr'!S19+'SCHOLAR FELLOW 2yr'!S19+'All Other 2yr'!S19)-S19</f>
        <v>0</v>
      </c>
      <c r="AX19" s="74">
        <f>('INSTRUCTION-2YR'!T19+'RESEARCH 2yr'!T19+'PUBLIC SERVICE 2yr'!T19+'ASptISptSSv 2yr'!T19+'PLANT OPER MAIN 2yr'!T19+'SCHOLAR FELLOW 2yr'!T19+'All Other 2yr'!T19)-T19</f>
        <v>0</v>
      </c>
      <c r="AY19" s="74">
        <f>('INSTRUCTION-2YR'!U19+'RESEARCH 2yr'!U19+'PUBLIC SERVICE 2yr'!U19+'ASptISptSSv 2yr'!U19+'PLANT OPER MAIN 2yr'!U19+'SCHOLAR FELLOW 2yr'!U19+'All Other 2yr'!U19)-U19</f>
        <v>0</v>
      </c>
      <c r="AZ19" s="74">
        <f>('INSTRUCTION-2YR'!V19+'RESEARCH 2yr'!V19+'PUBLIC SERVICE 2yr'!V19+'ASptISptSSv 2yr'!V19+'PLANT OPER MAIN 2yr'!V19+'SCHOLAR FELLOW 2yr'!V19+'All Other 2yr'!V19)-V19</f>
        <v>0</v>
      </c>
      <c r="BA19" s="74">
        <f>('INSTRUCTION-2YR'!W19+'RESEARCH 2yr'!W19+'PUBLIC SERVICE 2yr'!W19+'ASptISptSSv 2yr'!W19+'PLANT OPER MAIN 2yr'!W19+'SCHOLAR FELLOW 2yr'!W19+'All Other 2yr'!W19)-W19</f>
        <v>0</v>
      </c>
      <c r="BB19" s="74">
        <f>('INSTRUCTION-2YR'!X19+'RESEARCH 2yr'!X19+'PUBLIC SERVICE 2yr'!X19+'ASptISptSSv 2yr'!X19+'PLANT OPER MAIN 2yr'!X19+'SCHOLAR FELLOW 2yr'!X19+'All Other 2yr'!X19)-X19</f>
        <v>0</v>
      </c>
      <c r="BC19" s="74">
        <f>('INSTRUCTION-2YR'!Y19+'RESEARCH 2yr'!Y19+'PUBLIC SERVICE 2yr'!Y19+'ASptISptSSv 2yr'!Y19+'PLANT OPER MAIN 2yr'!Y19+'SCHOLAR FELLOW 2yr'!Y19+'All Other 2yr'!Y19)-Y19</f>
        <v>0</v>
      </c>
      <c r="BD19" s="74">
        <f>('INSTRUCTION-2YR'!Z19+'RESEARCH 2yr'!Z19+'PUBLIC SERVICE 2yr'!Z19+'ASptISptSSv 2yr'!Z19+'PLANT OPER MAIN 2yr'!Z19+'SCHOLAR FELLOW 2yr'!Z19+'All Other 2yr'!Z19)-Z19</f>
        <v>0</v>
      </c>
      <c r="BE19" s="74">
        <f>('INSTRUCTION-2YR'!AA19+'RESEARCH 2yr'!AA19+'PUBLIC SERVICE 2yr'!AA19+'ASptISptSSv 2yr'!AA19+'PLANT OPER MAIN 2yr'!AA19+'SCHOLAR FELLOW 2yr'!AA19+'All Other 2yr'!AA19)-AA19</f>
        <v>0</v>
      </c>
      <c r="BF19" s="74">
        <f>('INSTRUCTION-2YR'!AB19+'RESEARCH 2yr'!AB19+'PUBLIC SERVICE 2yr'!AB19+'ASptISptSSv 2yr'!AB19+'PLANT OPER MAIN 2yr'!AB19+'SCHOLAR FELLOW 2yr'!AB19+'All Other 2yr'!AB19)-AB19</f>
        <v>0</v>
      </c>
      <c r="BG19" s="74">
        <f>('INSTRUCTION-2YR'!AC19+'RESEARCH 2yr'!AC19+'PUBLIC SERVICE 2yr'!AC19+'ASptISptSSv 2yr'!AC19+'PLANT OPER MAIN 2yr'!AC19+'SCHOLAR FELLOW 2yr'!AC19+'All Other 2yr'!AC19)-AC19</f>
        <v>0</v>
      </c>
      <c r="BH19" s="74">
        <f>('INSTRUCTION-2YR'!AD19+'RESEARCH 2yr'!AD19+'PUBLIC SERVICE 2yr'!AD19+'ASptISptSSv 2yr'!AD19+'PLANT OPER MAIN 2yr'!AD19+'SCHOLAR FELLOW 2yr'!AD19+'All Other 2yr'!AD19)-AD19</f>
        <v>0</v>
      </c>
      <c r="BI19" s="74">
        <f>('INSTRUCTION-2YR'!AE19+'RESEARCH 2yr'!AE19+'PUBLIC SERVICE 2yr'!AE19+'ASptISptSSv 2yr'!AE19+'PLANT OPER MAIN 2yr'!AE19+'SCHOLAR FELLOW 2yr'!AE19+'All Other 2yr'!AE19)-AE19</f>
        <v>0</v>
      </c>
    </row>
    <row r="20" spans="1:61">
      <c r="A20" s="1" t="s">
        <v>37</v>
      </c>
      <c r="B20" s="1">
        <v>118337</v>
      </c>
      <c r="C20" s="1">
        <v>130056</v>
      </c>
      <c r="D20" s="1">
        <v>141479</v>
      </c>
      <c r="E20" s="1">
        <v>214579.598</v>
      </c>
      <c r="F20" s="41">
        <v>229798.62700000001</v>
      </c>
      <c r="G20" s="1">
        <v>250467.59199999998</v>
      </c>
      <c r="H20" s="1">
        <v>264273.81099999999</v>
      </c>
      <c r="I20" s="1">
        <v>277143.50300000003</v>
      </c>
      <c r="J20" s="1">
        <v>287270.17800000001</v>
      </c>
      <c r="K20" s="1">
        <v>309811.88500000001</v>
      </c>
      <c r="L20" s="1">
        <v>402257.42700000003</v>
      </c>
      <c r="M20" s="1">
        <v>431497.71799999999</v>
      </c>
      <c r="N20" s="1">
        <v>489790.46500000003</v>
      </c>
      <c r="O20" s="1">
        <v>576423.196</v>
      </c>
      <c r="P20" s="1">
        <v>596216.70200000005</v>
      </c>
      <c r="Q20" s="1">
        <v>623282.50600000005</v>
      </c>
      <c r="R20" s="1">
        <v>652346.99699999997</v>
      </c>
      <c r="S20" s="1">
        <v>706641.41200000001</v>
      </c>
      <c r="T20" s="1">
        <v>770955.68500000006</v>
      </c>
      <c r="U20" s="1">
        <v>803594.16099999996</v>
      </c>
      <c r="V20" s="1">
        <v>902369.99699999997</v>
      </c>
      <c r="W20" s="1">
        <v>951624.30799999996</v>
      </c>
      <c r="X20" s="1">
        <v>957298.36800000002</v>
      </c>
      <c r="Y20" s="1">
        <v>968556.32200000004</v>
      </c>
      <c r="Z20" s="1">
        <v>981639.01500000001</v>
      </c>
      <c r="AA20" s="1">
        <v>975944.30700000003</v>
      </c>
      <c r="AB20" s="1">
        <v>961148.66599999997</v>
      </c>
      <c r="AC20" s="1">
        <v>967631.31499999994</v>
      </c>
      <c r="AE20" s="1">
        <v>983022.33299999998</v>
      </c>
      <c r="AF20" s="74">
        <f>('INSTRUCTION-2YR'!B20+'RESEARCH 2yr'!B20+'PUBLIC SERVICE 2yr'!B20+'ASptISptSSv 2yr'!B20+'PLANT OPER MAIN 2yr'!B20+'SCHOLAR FELLOW 2yr'!B20+'All Other 2yr'!B20)-B20</f>
        <v>0</v>
      </c>
      <c r="AG20" s="74">
        <f>('INSTRUCTION-2YR'!C20+'RESEARCH 2yr'!C20+'PUBLIC SERVICE 2yr'!C20+'ASptISptSSv 2yr'!C20+'PLANT OPER MAIN 2yr'!C20+'SCHOLAR FELLOW 2yr'!C20+'All Other 2yr'!C20)-C20</f>
        <v>0</v>
      </c>
      <c r="AH20" s="74">
        <f>('INSTRUCTION-2YR'!D20+'RESEARCH 2yr'!D20+'PUBLIC SERVICE 2yr'!D20+'ASptISptSSv 2yr'!D20+'PLANT OPER MAIN 2yr'!D20+'SCHOLAR FELLOW 2yr'!D20+'All Other 2yr'!D20)-D20</f>
        <v>0</v>
      </c>
      <c r="AI20" s="74">
        <f>('INSTRUCTION-2YR'!E20+'RESEARCH 2yr'!E20+'PUBLIC SERVICE 2yr'!E20+'ASptISptSSv 2yr'!E20+'PLANT OPER MAIN 2yr'!E20+'SCHOLAR FELLOW 2yr'!E20+'All Other 2yr'!E20)-E20</f>
        <v>0</v>
      </c>
      <c r="AJ20" s="74">
        <f>('INSTRUCTION-2YR'!F20+'RESEARCH 2yr'!F20+'PUBLIC SERVICE 2yr'!F20+'ASptISptSSv 2yr'!F20+'PLANT OPER MAIN 2yr'!F20+'SCHOLAR FELLOW 2yr'!F20+'All Other 2yr'!F20)-F20</f>
        <v>0</v>
      </c>
      <c r="AK20" s="74">
        <f>('INSTRUCTION-2YR'!G20+'RESEARCH 2yr'!G20+'PUBLIC SERVICE 2yr'!G20+'ASptISptSSv 2yr'!G20+'PLANT OPER MAIN 2yr'!G20+'SCHOLAR FELLOW 2yr'!G20+'All Other 2yr'!G20)-G20</f>
        <v>0</v>
      </c>
      <c r="AL20" s="74">
        <f>('INSTRUCTION-2YR'!H20+'RESEARCH 2yr'!H20+'PUBLIC SERVICE 2yr'!H20+'ASptISptSSv 2yr'!H20+'PLANT OPER MAIN 2yr'!H20+'SCHOLAR FELLOW 2yr'!H20+'All Other 2yr'!H20)-H20</f>
        <v>0</v>
      </c>
      <c r="AM20" s="74">
        <f>('INSTRUCTION-2YR'!I20+'RESEARCH 2yr'!I20+'PUBLIC SERVICE 2yr'!I20+'ASptISptSSv 2yr'!I20+'PLANT OPER MAIN 2yr'!I20+'SCHOLAR FELLOW 2yr'!I20+'All Other 2yr'!I20)-I20</f>
        <v>0</v>
      </c>
      <c r="AN20" s="74">
        <f>('INSTRUCTION-2YR'!J20+'RESEARCH 2yr'!J20+'PUBLIC SERVICE 2yr'!J20+'ASptISptSSv 2yr'!J20+'PLANT OPER MAIN 2yr'!J20+'SCHOLAR FELLOW 2yr'!J20+'All Other 2yr'!J20)-J20</f>
        <v>0</v>
      </c>
      <c r="AO20" s="74">
        <f>('INSTRUCTION-2YR'!K20+'RESEARCH 2yr'!K20+'PUBLIC SERVICE 2yr'!K20+'ASptISptSSv 2yr'!K20+'PLANT OPER MAIN 2yr'!K20+'SCHOLAR FELLOW 2yr'!K20+'All Other 2yr'!K20)-K20</f>
        <v>0</v>
      </c>
      <c r="AP20" s="74">
        <f>('INSTRUCTION-2YR'!L20+'RESEARCH 2yr'!L20+'PUBLIC SERVICE 2yr'!L20+'ASptISptSSv 2yr'!L20+'PLANT OPER MAIN 2yr'!L20+'SCHOLAR FELLOW 2yr'!L20+'All Other 2yr'!L20)-L20</f>
        <v>0</v>
      </c>
      <c r="AQ20" s="74">
        <f>('INSTRUCTION-2YR'!M20+'RESEARCH 2yr'!M20+'PUBLIC SERVICE 2yr'!M20+'ASptISptSSv 2yr'!M20+'PLANT OPER MAIN 2yr'!M20+'SCHOLAR FELLOW 2yr'!M20+'All Other 2yr'!M20)-M20</f>
        <v>0</v>
      </c>
      <c r="AR20" s="74">
        <f>('INSTRUCTION-2YR'!N20+'RESEARCH 2yr'!N20+'PUBLIC SERVICE 2yr'!N20+'ASptISptSSv 2yr'!N20+'PLANT OPER MAIN 2yr'!N20+'SCHOLAR FELLOW 2yr'!N20+'All Other 2yr'!N20)-N20</f>
        <v>0</v>
      </c>
      <c r="AS20" s="74">
        <f>('INSTRUCTION-2YR'!O20+'RESEARCH 2yr'!O20+'PUBLIC SERVICE 2yr'!O20+'ASptISptSSv 2yr'!O20+'PLANT OPER MAIN 2yr'!O20+'SCHOLAR FELLOW 2yr'!O20+'All Other 2yr'!O20)-O20</f>
        <v>0</v>
      </c>
      <c r="AT20" s="74">
        <f>('INSTRUCTION-2YR'!P20+'RESEARCH 2yr'!P20+'PUBLIC SERVICE 2yr'!P20+'ASptISptSSv 2yr'!P20+'PLANT OPER MAIN 2yr'!P20+'SCHOLAR FELLOW 2yr'!P20+'All Other 2yr'!P20)-P20</f>
        <v>0</v>
      </c>
      <c r="AU20" s="74">
        <f>('INSTRUCTION-2YR'!Q20+'RESEARCH 2yr'!Q20+'PUBLIC SERVICE 2yr'!Q20+'ASptISptSSv 2yr'!Q20+'PLANT OPER MAIN 2yr'!Q20+'SCHOLAR FELLOW 2yr'!Q20+'All Other 2yr'!Q20)-Q20</f>
        <v>0</v>
      </c>
      <c r="AV20" s="74">
        <f>('INSTRUCTION-2YR'!R20+'RESEARCH 2yr'!R20+'PUBLIC SERVICE 2yr'!R20+'ASptISptSSv 2yr'!R20+'PLANT OPER MAIN 2yr'!R20+'SCHOLAR FELLOW 2yr'!R20+'All Other 2yr'!R20)-R20</f>
        <v>0</v>
      </c>
      <c r="AW20" s="74">
        <f>('INSTRUCTION-2YR'!S20+'RESEARCH 2yr'!S20+'PUBLIC SERVICE 2yr'!S20+'ASptISptSSv 2yr'!S20+'PLANT OPER MAIN 2yr'!S20+'SCHOLAR FELLOW 2yr'!S20+'All Other 2yr'!S20)-S20</f>
        <v>0</v>
      </c>
      <c r="AX20" s="74">
        <f>('INSTRUCTION-2YR'!T20+'RESEARCH 2yr'!T20+'PUBLIC SERVICE 2yr'!T20+'ASptISptSSv 2yr'!T20+'PLANT OPER MAIN 2yr'!T20+'SCHOLAR FELLOW 2yr'!T20+'All Other 2yr'!T20)-T20</f>
        <v>0</v>
      </c>
      <c r="AY20" s="74">
        <f>('INSTRUCTION-2YR'!U20+'RESEARCH 2yr'!U20+'PUBLIC SERVICE 2yr'!U20+'ASptISptSSv 2yr'!U20+'PLANT OPER MAIN 2yr'!U20+'SCHOLAR FELLOW 2yr'!U20+'All Other 2yr'!U20)-U20</f>
        <v>0</v>
      </c>
      <c r="AZ20" s="74">
        <f>('INSTRUCTION-2YR'!V20+'RESEARCH 2yr'!V20+'PUBLIC SERVICE 2yr'!V20+'ASptISptSSv 2yr'!V20+'PLANT OPER MAIN 2yr'!V20+'SCHOLAR FELLOW 2yr'!V20+'All Other 2yr'!V20)-V20</f>
        <v>0</v>
      </c>
      <c r="BA20" s="74">
        <f>('INSTRUCTION-2YR'!W20+'RESEARCH 2yr'!W20+'PUBLIC SERVICE 2yr'!W20+'ASptISptSSv 2yr'!W20+'PLANT OPER MAIN 2yr'!W20+'SCHOLAR FELLOW 2yr'!W20+'All Other 2yr'!W20)-W20</f>
        <v>0</v>
      </c>
      <c r="BB20" s="74">
        <f>('INSTRUCTION-2YR'!X20+'RESEARCH 2yr'!X20+'PUBLIC SERVICE 2yr'!X20+'ASptISptSSv 2yr'!X20+'PLANT OPER MAIN 2yr'!X20+'SCHOLAR FELLOW 2yr'!X20+'All Other 2yr'!X20)-X20</f>
        <v>0</v>
      </c>
      <c r="BC20" s="74">
        <f>('INSTRUCTION-2YR'!Y20+'RESEARCH 2yr'!Y20+'PUBLIC SERVICE 2yr'!Y20+'ASptISptSSv 2yr'!Y20+'PLANT OPER MAIN 2yr'!Y20+'SCHOLAR FELLOW 2yr'!Y20+'All Other 2yr'!Y20)-Y20</f>
        <v>0</v>
      </c>
      <c r="BD20" s="74">
        <f>('INSTRUCTION-2YR'!Z20+'RESEARCH 2yr'!Z20+'PUBLIC SERVICE 2yr'!Z20+'ASptISptSSv 2yr'!Z20+'PLANT OPER MAIN 2yr'!Z20+'SCHOLAR FELLOW 2yr'!Z20+'All Other 2yr'!Z20)-Z20</f>
        <v>0</v>
      </c>
      <c r="BE20" s="74">
        <f>('INSTRUCTION-2YR'!AA20+'RESEARCH 2yr'!AA20+'PUBLIC SERVICE 2yr'!AA20+'ASptISptSSv 2yr'!AA20+'PLANT OPER MAIN 2yr'!AA20+'SCHOLAR FELLOW 2yr'!AA20+'All Other 2yr'!AA20)-AA20</f>
        <v>0</v>
      </c>
      <c r="BF20" s="74">
        <f>('INSTRUCTION-2YR'!AB20+'RESEARCH 2yr'!AB20+'PUBLIC SERVICE 2yr'!AB20+'ASptISptSSv 2yr'!AB20+'PLANT OPER MAIN 2yr'!AB20+'SCHOLAR FELLOW 2yr'!AB20+'All Other 2yr'!AB20)-AB20</f>
        <v>0</v>
      </c>
      <c r="BG20" s="74">
        <f>('INSTRUCTION-2YR'!AC20+'RESEARCH 2yr'!AC20+'PUBLIC SERVICE 2yr'!AC20+'ASptISptSSv 2yr'!AC20+'PLANT OPER MAIN 2yr'!AC20+'SCHOLAR FELLOW 2yr'!AC20+'All Other 2yr'!AC20)-AC20</f>
        <v>0</v>
      </c>
      <c r="BH20" s="74">
        <f>('INSTRUCTION-2YR'!AD20+'RESEARCH 2yr'!AD20+'PUBLIC SERVICE 2yr'!AD20+'ASptISptSSv 2yr'!AD20+'PLANT OPER MAIN 2yr'!AD20+'SCHOLAR FELLOW 2yr'!AD20+'All Other 2yr'!AD20)-AD20</f>
        <v>0</v>
      </c>
      <c r="BI20" s="74">
        <f>('INSTRUCTION-2YR'!AE20+'RESEARCH 2yr'!AE20+'PUBLIC SERVICE 2yr'!AE20+'ASptISptSSv 2yr'!AE20+'PLANT OPER MAIN 2yr'!AE20+'SCHOLAR FELLOW 2yr'!AE20+'All Other 2yr'!AE20)-AE20</f>
        <v>0</v>
      </c>
    </row>
    <row r="21" spans="1:61" s="11" customFormat="1">
      <c r="A21" s="1" t="s">
        <v>38</v>
      </c>
      <c r="B21" s="1">
        <v>119970</v>
      </c>
      <c r="C21" s="1">
        <v>143850</v>
      </c>
      <c r="D21" s="1">
        <v>156595</v>
      </c>
      <c r="E21" s="1">
        <v>221401.927</v>
      </c>
      <c r="F21" s="41">
        <v>230747.66500000001</v>
      </c>
      <c r="G21" s="1">
        <v>258172.85500000001</v>
      </c>
      <c r="H21" s="1">
        <v>281221.43400000001</v>
      </c>
      <c r="I21" s="1">
        <v>293091.99900000001</v>
      </c>
      <c r="J21" s="1">
        <v>294822.07799999998</v>
      </c>
      <c r="K21" s="1">
        <v>308563.14199999999</v>
      </c>
      <c r="L21" s="1">
        <v>357961.66</v>
      </c>
      <c r="M21" s="1">
        <v>384071.70699999999</v>
      </c>
      <c r="N21" s="1">
        <v>411680.81599999999</v>
      </c>
      <c r="O21" s="1">
        <v>438262.261</v>
      </c>
      <c r="P21" s="1">
        <v>448292.48</v>
      </c>
      <c r="Q21" s="1">
        <v>486406.71299999999</v>
      </c>
      <c r="R21" s="1">
        <v>503955.56199999998</v>
      </c>
      <c r="S21" s="1">
        <v>536776.13100000005</v>
      </c>
      <c r="T21" s="1">
        <v>579337.152</v>
      </c>
      <c r="U21" s="1">
        <v>616628.36800000002</v>
      </c>
      <c r="V21" s="1">
        <v>728646.20799999998</v>
      </c>
      <c r="W21" s="1">
        <v>780698.09900000005</v>
      </c>
      <c r="X21" s="1">
        <v>778357.16500000004</v>
      </c>
      <c r="Y21" s="1">
        <v>786023.46900000004</v>
      </c>
      <c r="Z21" s="1">
        <v>770616.201</v>
      </c>
      <c r="AA21" s="1">
        <v>745037.90399999998</v>
      </c>
      <c r="AB21" s="1">
        <v>790894.54299999995</v>
      </c>
      <c r="AC21" s="1">
        <v>809058.12</v>
      </c>
      <c r="AD21" s="1"/>
      <c r="AE21" s="1">
        <v>882101.66599999997</v>
      </c>
      <c r="AF21" s="74">
        <f>('INSTRUCTION-2YR'!B21+'RESEARCH 2yr'!B21+'PUBLIC SERVICE 2yr'!B21+'ASptISptSSv 2yr'!B21+'PLANT OPER MAIN 2yr'!B21+'SCHOLAR FELLOW 2yr'!B21+'All Other 2yr'!B21)-B21</f>
        <v>0</v>
      </c>
      <c r="AG21" s="74">
        <f>('INSTRUCTION-2YR'!C21+'RESEARCH 2yr'!C21+'PUBLIC SERVICE 2yr'!C21+'ASptISptSSv 2yr'!C21+'PLANT OPER MAIN 2yr'!C21+'SCHOLAR FELLOW 2yr'!C21+'All Other 2yr'!C21)-C21</f>
        <v>0</v>
      </c>
      <c r="AH21" s="74">
        <f>('INSTRUCTION-2YR'!D21+'RESEARCH 2yr'!D21+'PUBLIC SERVICE 2yr'!D21+'ASptISptSSv 2yr'!D21+'PLANT OPER MAIN 2yr'!D21+'SCHOLAR FELLOW 2yr'!D21+'All Other 2yr'!D21)-D21</f>
        <v>0</v>
      </c>
      <c r="AI21" s="74">
        <f>('INSTRUCTION-2YR'!E21+'RESEARCH 2yr'!E21+'PUBLIC SERVICE 2yr'!E21+'ASptISptSSv 2yr'!E21+'PLANT OPER MAIN 2yr'!E21+'SCHOLAR FELLOW 2yr'!E21+'All Other 2yr'!E21)-E21</f>
        <v>0</v>
      </c>
      <c r="AJ21" s="74">
        <f>('INSTRUCTION-2YR'!F21+'RESEARCH 2yr'!F21+'PUBLIC SERVICE 2yr'!F21+'ASptISptSSv 2yr'!F21+'PLANT OPER MAIN 2yr'!F21+'SCHOLAR FELLOW 2yr'!F21+'All Other 2yr'!F21)-F21</f>
        <v>0</v>
      </c>
      <c r="AK21" s="74">
        <f>('INSTRUCTION-2YR'!G21+'RESEARCH 2yr'!G21+'PUBLIC SERVICE 2yr'!G21+'ASptISptSSv 2yr'!G21+'PLANT OPER MAIN 2yr'!G21+'SCHOLAR FELLOW 2yr'!G21+'All Other 2yr'!G21)-G21</f>
        <v>0</v>
      </c>
      <c r="AL21" s="74">
        <f>('INSTRUCTION-2YR'!H21+'RESEARCH 2yr'!H21+'PUBLIC SERVICE 2yr'!H21+'ASptISptSSv 2yr'!H21+'PLANT OPER MAIN 2yr'!H21+'SCHOLAR FELLOW 2yr'!H21+'All Other 2yr'!H21)-H21</f>
        <v>0</v>
      </c>
      <c r="AM21" s="74">
        <f>('INSTRUCTION-2YR'!I21+'RESEARCH 2yr'!I21+'PUBLIC SERVICE 2yr'!I21+'ASptISptSSv 2yr'!I21+'PLANT OPER MAIN 2yr'!I21+'SCHOLAR FELLOW 2yr'!I21+'All Other 2yr'!I21)-I21</f>
        <v>0</v>
      </c>
      <c r="AN21" s="74">
        <f>('INSTRUCTION-2YR'!J21+'RESEARCH 2yr'!J21+'PUBLIC SERVICE 2yr'!J21+'ASptISptSSv 2yr'!J21+'PLANT OPER MAIN 2yr'!J21+'SCHOLAR FELLOW 2yr'!J21+'All Other 2yr'!J21)-J21</f>
        <v>0</v>
      </c>
      <c r="AO21" s="74">
        <f>('INSTRUCTION-2YR'!K21+'RESEARCH 2yr'!K21+'PUBLIC SERVICE 2yr'!K21+'ASptISptSSv 2yr'!K21+'PLANT OPER MAIN 2yr'!K21+'SCHOLAR FELLOW 2yr'!K21+'All Other 2yr'!K21)-K21</f>
        <v>0</v>
      </c>
      <c r="AP21" s="74">
        <f>('INSTRUCTION-2YR'!L21+'RESEARCH 2yr'!L21+'PUBLIC SERVICE 2yr'!L21+'ASptISptSSv 2yr'!L21+'PLANT OPER MAIN 2yr'!L21+'SCHOLAR FELLOW 2yr'!L21+'All Other 2yr'!L21)-L21</f>
        <v>0</v>
      </c>
      <c r="AQ21" s="74">
        <f>('INSTRUCTION-2YR'!M21+'RESEARCH 2yr'!M21+'PUBLIC SERVICE 2yr'!M21+'ASptISptSSv 2yr'!M21+'PLANT OPER MAIN 2yr'!M21+'SCHOLAR FELLOW 2yr'!M21+'All Other 2yr'!M21)-M21</f>
        <v>0</v>
      </c>
      <c r="AR21" s="74">
        <f>('INSTRUCTION-2YR'!N21+'RESEARCH 2yr'!N21+'PUBLIC SERVICE 2yr'!N21+'ASptISptSSv 2yr'!N21+'PLANT OPER MAIN 2yr'!N21+'SCHOLAR FELLOW 2yr'!N21+'All Other 2yr'!N21)-N21</f>
        <v>0</v>
      </c>
      <c r="AS21" s="74">
        <f>('INSTRUCTION-2YR'!O21+'RESEARCH 2yr'!O21+'PUBLIC SERVICE 2yr'!O21+'ASptISptSSv 2yr'!O21+'PLANT OPER MAIN 2yr'!O21+'SCHOLAR FELLOW 2yr'!O21+'All Other 2yr'!O21)-O21</f>
        <v>0</v>
      </c>
      <c r="AT21" s="74">
        <f>('INSTRUCTION-2YR'!P21+'RESEARCH 2yr'!P21+'PUBLIC SERVICE 2yr'!P21+'ASptISptSSv 2yr'!P21+'PLANT OPER MAIN 2yr'!P21+'SCHOLAR FELLOW 2yr'!P21+'All Other 2yr'!P21)-P21</f>
        <v>0</v>
      </c>
      <c r="AU21" s="74">
        <f>('INSTRUCTION-2YR'!Q21+'RESEARCH 2yr'!Q21+'PUBLIC SERVICE 2yr'!Q21+'ASptISptSSv 2yr'!Q21+'PLANT OPER MAIN 2yr'!Q21+'SCHOLAR FELLOW 2yr'!Q21+'All Other 2yr'!Q21)-Q21</f>
        <v>0</v>
      </c>
      <c r="AV21" s="74">
        <f>('INSTRUCTION-2YR'!R21+'RESEARCH 2yr'!R21+'PUBLIC SERVICE 2yr'!R21+'ASptISptSSv 2yr'!R21+'PLANT OPER MAIN 2yr'!R21+'SCHOLAR FELLOW 2yr'!R21+'All Other 2yr'!R21)-R21</f>
        <v>0</v>
      </c>
      <c r="AW21" s="74">
        <f>('INSTRUCTION-2YR'!S21+'RESEARCH 2yr'!S21+'PUBLIC SERVICE 2yr'!S21+'ASptISptSSv 2yr'!S21+'PLANT OPER MAIN 2yr'!S21+'SCHOLAR FELLOW 2yr'!S21+'All Other 2yr'!S21)-S21</f>
        <v>0</v>
      </c>
      <c r="AX21" s="74">
        <f>('INSTRUCTION-2YR'!T21+'RESEARCH 2yr'!T21+'PUBLIC SERVICE 2yr'!T21+'ASptISptSSv 2yr'!T21+'PLANT OPER MAIN 2yr'!T21+'SCHOLAR FELLOW 2yr'!T21+'All Other 2yr'!T21)-T21</f>
        <v>0</v>
      </c>
      <c r="AY21" s="74">
        <f>('INSTRUCTION-2YR'!U21+'RESEARCH 2yr'!U21+'PUBLIC SERVICE 2yr'!U21+'ASptISptSSv 2yr'!U21+'PLANT OPER MAIN 2yr'!U21+'SCHOLAR FELLOW 2yr'!U21+'All Other 2yr'!U21)-U21</f>
        <v>0</v>
      </c>
      <c r="AZ21" s="74">
        <f>('INSTRUCTION-2YR'!V21+'RESEARCH 2yr'!V21+'PUBLIC SERVICE 2yr'!V21+'ASptISptSSv 2yr'!V21+'PLANT OPER MAIN 2yr'!V21+'SCHOLAR FELLOW 2yr'!V21+'All Other 2yr'!V21)-V21</f>
        <v>0</v>
      </c>
      <c r="BA21" s="74">
        <f>('INSTRUCTION-2YR'!W21+'RESEARCH 2yr'!W21+'PUBLIC SERVICE 2yr'!W21+'ASptISptSSv 2yr'!W21+'PLANT OPER MAIN 2yr'!W21+'SCHOLAR FELLOW 2yr'!W21+'All Other 2yr'!W21)-W21</f>
        <v>0</v>
      </c>
      <c r="BB21" s="74">
        <f>('INSTRUCTION-2YR'!X21+'RESEARCH 2yr'!X21+'PUBLIC SERVICE 2yr'!X21+'ASptISptSSv 2yr'!X21+'PLANT OPER MAIN 2yr'!X21+'SCHOLAR FELLOW 2yr'!X21+'All Other 2yr'!X21)-X21</f>
        <v>0</v>
      </c>
      <c r="BC21" s="74">
        <f>('INSTRUCTION-2YR'!Y21+'RESEARCH 2yr'!Y21+'PUBLIC SERVICE 2yr'!Y21+'ASptISptSSv 2yr'!Y21+'PLANT OPER MAIN 2yr'!Y21+'SCHOLAR FELLOW 2yr'!Y21+'All Other 2yr'!Y21)-Y21</f>
        <v>0</v>
      </c>
      <c r="BD21" s="74">
        <f>('INSTRUCTION-2YR'!Z21+'RESEARCH 2yr'!Z21+'PUBLIC SERVICE 2yr'!Z21+'ASptISptSSv 2yr'!Z21+'PLANT OPER MAIN 2yr'!Z21+'SCHOLAR FELLOW 2yr'!Z21+'All Other 2yr'!Z21)-Z21</f>
        <v>0</v>
      </c>
      <c r="BE21" s="74">
        <f>('INSTRUCTION-2YR'!AA21+'RESEARCH 2yr'!AA21+'PUBLIC SERVICE 2yr'!AA21+'ASptISptSSv 2yr'!AA21+'PLANT OPER MAIN 2yr'!AA21+'SCHOLAR FELLOW 2yr'!AA21+'All Other 2yr'!AA21)-AA21</f>
        <v>0</v>
      </c>
      <c r="BF21" s="74">
        <f>('INSTRUCTION-2YR'!AB21+'RESEARCH 2yr'!AB21+'PUBLIC SERVICE 2yr'!AB21+'ASptISptSSv 2yr'!AB21+'PLANT OPER MAIN 2yr'!AB21+'SCHOLAR FELLOW 2yr'!AB21+'All Other 2yr'!AB21)-AB21</f>
        <v>0</v>
      </c>
      <c r="BG21" s="74">
        <f>('INSTRUCTION-2YR'!AC21+'RESEARCH 2yr'!AC21+'PUBLIC SERVICE 2yr'!AC21+'ASptISptSSv 2yr'!AC21+'PLANT OPER MAIN 2yr'!AC21+'SCHOLAR FELLOW 2yr'!AC21+'All Other 2yr'!AC21)-AC21</f>
        <v>0</v>
      </c>
      <c r="BH21" s="74">
        <f>('INSTRUCTION-2YR'!AD21+'RESEARCH 2yr'!AD21+'PUBLIC SERVICE 2yr'!AD21+'ASptISptSSv 2yr'!AD21+'PLANT OPER MAIN 2yr'!AD21+'SCHOLAR FELLOW 2yr'!AD21+'All Other 2yr'!AD21)-AD21</f>
        <v>0</v>
      </c>
      <c r="BI21" s="74">
        <f>('INSTRUCTION-2YR'!AE21+'RESEARCH 2yr'!AE21+'PUBLIC SERVICE 2yr'!AE21+'ASptISptSSv 2yr'!AE21+'PLANT OPER MAIN 2yr'!AE21+'SCHOLAR FELLOW 2yr'!AE21+'All Other 2yr'!AE21)-AE21</f>
        <v>0</v>
      </c>
    </row>
    <row r="22" spans="1:61">
      <c r="A22" s="1" t="s">
        <v>39</v>
      </c>
      <c r="B22" s="1">
        <v>728432</v>
      </c>
      <c r="C22" s="1">
        <v>798403</v>
      </c>
      <c r="D22" s="1">
        <v>828196</v>
      </c>
      <c r="E22" s="1">
        <v>1215626.8189999999</v>
      </c>
      <c r="F22" s="41">
        <v>1267231.578</v>
      </c>
      <c r="G22" s="1">
        <v>1432157.047</v>
      </c>
      <c r="H22" s="1">
        <v>1577498.2749999999</v>
      </c>
      <c r="I22" s="1">
        <v>1542388.385</v>
      </c>
      <c r="J22" s="1">
        <v>1697435.0819999999</v>
      </c>
      <c r="K22" s="1">
        <v>1813766.7560000001</v>
      </c>
      <c r="L22" s="1">
        <v>2116173.0490000001</v>
      </c>
      <c r="M22" s="1">
        <v>2312158.0759999999</v>
      </c>
      <c r="N22" s="1">
        <v>2665251.6430000002</v>
      </c>
      <c r="O22" s="1">
        <v>2812156.8</v>
      </c>
      <c r="P22" s="1">
        <v>2895769.8569999998</v>
      </c>
      <c r="Q22" s="1">
        <v>3063059.7919999999</v>
      </c>
      <c r="R22" s="1">
        <v>3214587.0410000002</v>
      </c>
      <c r="S22" s="1">
        <v>3374762.9470000002</v>
      </c>
      <c r="T22" s="1">
        <v>3603498.4219999998</v>
      </c>
      <c r="U22" s="1">
        <v>4215237.0360000003</v>
      </c>
      <c r="V22" s="1">
        <v>4931264.6090000002</v>
      </c>
      <c r="W22" s="1">
        <v>5334846.7010000004</v>
      </c>
      <c r="X22" s="1">
        <v>5202887.5140000004</v>
      </c>
      <c r="Y22" s="1">
        <v>5361893.7139999997</v>
      </c>
      <c r="Z22" s="1">
        <v>5448976.2680000002</v>
      </c>
      <c r="AA22" s="1">
        <v>5398240.7879999997</v>
      </c>
      <c r="AB22" s="1">
        <v>5441702.9709999999</v>
      </c>
      <c r="AC22" s="1">
        <v>5881843.8480000002</v>
      </c>
      <c r="AE22" s="1">
        <v>6423478.1090000002</v>
      </c>
      <c r="AF22" s="74">
        <f>('INSTRUCTION-2YR'!B22+'RESEARCH 2yr'!B22+'PUBLIC SERVICE 2yr'!B22+'ASptISptSSv 2yr'!B22+'PLANT OPER MAIN 2yr'!B22+'SCHOLAR FELLOW 2yr'!B22+'All Other 2yr'!B22)-B22</f>
        <v>0</v>
      </c>
      <c r="AG22" s="74">
        <f>('INSTRUCTION-2YR'!C22+'RESEARCH 2yr'!C22+'PUBLIC SERVICE 2yr'!C22+'ASptISptSSv 2yr'!C22+'PLANT OPER MAIN 2yr'!C22+'SCHOLAR FELLOW 2yr'!C22+'All Other 2yr'!C22)-C22</f>
        <v>0</v>
      </c>
      <c r="AH22" s="74">
        <f>('INSTRUCTION-2YR'!D22+'RESEARCH 2yr'!D22+'PUBLIC SERVICE 2yr'!D22+'ASptISptSSv 2yr'!D22+'PLANT OPER MAIN 2yr'!D22+'SCHOLAR FELLOW 2yr'!D22+'All Other 2yr'!D22)-D22</f>
        <v>0</v>
      </c>
      <c r="AI22" s="74">
        <f>('INSTRUCTION-2YR'!E22+'RESEARCH 2yr'!E22+'PUBLIC SERVICE 2yr'!E22+'ASptISptSSv 2yr'!E22+'PLANT OPER MAIN 2yr'!E22+'SCHOLAR FELLOW 2yr'!E22+'All Other 2yr'!E22)-E22</f>
        <v>0</v>
      </c>
      <c r="AJ22" s="74">
        <f>('INSTRUCTION-2YR'!F22+'RESEARCH 2yr'!F22+'PUBLIC SERVICE 2yr'!F22+'ASptISptSSv 2yr'!F22+'PLANT OPER MAIN 2yr'!F22+'SCHOLAR FELLOW 2yr'!F22+'All Other 2yr'!F22)-F22</f>
        <v>0</v>
      </c>
      <c r="AK22" s="74">
        <f>('INSTRUCTION-2YR'!G22+'RESEARCH 2yr'!G22+'PUBLIC SERVICE 2yr'!G22+'ASptISptSSv 2yr'!G22+'PLANT OPER MAIN 2yr'!G22+'SCHOLAR FELLOW 2yr'!G22+'All Other 2yr'!G22)-G22</f>
        <v>0</v>
      </c>
      <c r="AL22" s="74">
        <f>('INSTRUCTION-2YR'!H22+'RESEARCH 2yr'!H22+'PUBLIC SERVICE 2yr'!H22+'ASptISptSSv 2yr'!H22+'PLANT OPER MAIN 2yr'!H22+'SCHOLAR FELLOW 2yr'!H22+'All Other 2yr'!H22)-H22</f>
        <v>0</v>
      </c>
      <c r="AM22" s="74">
        <f>('INSTRUCTION-2YR'!I22+'RESEARCH 2yr'!I22+'PUBLIC SERVICE 2yr'!I22+'ASptISptSSv 2yr'!I22+'PLANT OPER MAIN 2yr'!I22+'SCHOLAR FELLOW 2yr'!I22+'All Other 2yr'!I22)-I22</f>
        <v>0</v>
      </c>
      <c r="AN22" s="74">
        <f>('INSTRUCTION-2YR'!J22+'RESEARCH 2yr'!J22+'PUBLIC SERVICE 2yr'!J22+'ASptISptSSv 2yr'!J22+'PLANT OPER MAIN 2yr'!J22+'SCHOLAR FELLOW 2yr'!J22+'All Other 2yr'!J22)-J22</f>
        <v>0</v>
      </c>
      <c r="AO22" s="74">
        <f>('INSTRUCTION-2YR'!K22+'RESEARCH 2yr'!K22+'PUBLIC SERVICE 2yr'!K22+'ASptISptSSv 2yr'!K22+'PLANT OPER MAIN 2yr'!K22+'SCHOLAR FELLOW 2yr'!K22+'All Other 2yr'!K22)-K22</f>
        <v>0</v>
      </c>
      <c r="AP22" s="74">
        <f>('INSTRUCTION-2YR'!L22+'RESEARCH 2yr'!L22+'PUBLIC SERVICE 2yr'!L22+'ASptISptSSv 2yr'!L22+'PLANT OPER MAIN 2yr'!L22+'SCHOLAR FELLOW 2yr'!L22+'All Other 2yr'!L22)-L22</f>
        <v>0</v>
      </c>
      <c r="AQ22" s="74">
        <f>('INSTRUCTION-2YR'!M22+'RESEARCH 2yr'!M22+'PUBLIC SERVICE 2yr'!M22+'ASptISptSSv 2yr'!M22+'PLANT OPER MAIN 2yr'!M22+'SCHOLAR FELLOW 2yr'!M22+'All Other 2yr'!M22)-M22</f>
        <v>0</v>
      </c>
      <c r="AR22" s="74">
        <f>('INSTRUCTION-2YR'!N22+'RESEARCH 2yr'!N22+'PUBLIC SERVICE 2yr'!N22+'ASptISptSSv 2yr'!N22+'PLANT OPER MAIN 2yr'!N22+'SCHOLAR FELLOW 2yr'!N22+'All Other 2yr'!N22)-N22</f>
        <v>0</v>
      </c>
      <c r="AS22" s="74">
        <f>('INSTRUCTION-2YR'!O22+'RESEARCH 2yr'!O22+'PUBLIC SERVICE 2yr'!O22+'ASptISptSSv 2yr'!O22+'PLANT OPER MAIN 2yr'!O22+'SCHOLAR FELLOW 2yr'!O22+'All Other 2yr'!O22)-O22</f>
        <v>0</v>
      </c>
      <c r="AT22" s="74">
        <f>('INSTRUCTION-2YR'!P22+'RESEARCH 2yr'!P22+'PUBLIC SERVICE 2yr'!P22+'ASptISptSSv 2yr'!P22+'PLANT OPER MAIN 2yr'!P22+'SCHOLAR FELLOW 2yr'!P22+'All Other 2yr'!P22)-P22</f>
        <v>0</v>
      </c>
      <c r="AU22" s="74">
        <f>('INSTRUCTION-2YR'!Q22+'RESEARCH 2yr'!Q22+'PUBLIC SERVICE 2yr'!Q22+'ASptISptSSv 2yr'!Q22+'PLANT OPER MAIN 2yr'!Q22+'SCHOLAR FELLOW 2yr'!Q22+'All Other 2yr'!Q22)-Q22</f>
        <v>0</v>
      </c>
      <c r="AV22" s="74">
        <f>('INSTRUCTION-2YR'!R22+'RESEARCH 2yr'!R22+'PUBLIC SERVICE 2yr'!R22+'ASptISptSSv 2yr'!R22+'PLANT OPER MAIN 2yr'!R22+'SCHOLAR FELLOW 2yr'!R22+'All Other 2yr'!R22)-R22</f>
        <v>0</v>
      </c>
      <c r="AW22" s="74">
        <f>('INSTRUCTION-2YR'!S22+'RESEARCH 2yr'!S22+'PUBLIC SERVICE 2yr'!S22+'ASptISptSSv 2yr'!S22+'PLANT OPER MAIN 2yr'!S22+'SCHOLAR FELLOW 2yr'!S22+'All Other 2yr'!S22)-S22</f>
        <v>0</v>
      </c>
      <c r="AX22" s="74">
        <f>('INSTRUCTION-2YR'!T22+'RESEARCH 2yr'!T22+'PUBLIC SERVICE 2yr'!T22+'ASptISptSSv 2yr'!T22+'PLANT OPER MAIN 2yr'!T22+'SCHOLAR FELLOW 2yr'!T22+'All Other 2yr'!T22)-T22</f>
        <v>0</v>
      </c>
      <c r="AY22" s="74">
        <f>('INSTRUCTION-2YR'!U22+'RESEARCH 2yr'!U22+'PUBLIC SERVICE 2yr'!U22+'ASptISptSSv 2yr'!U22+'PLANT OPER MAIN 2yr'!U22+'SCHOLAR FELLOW 2yr'!U22+'All Other 2yr'!U22)-U22</f>
        <v>0</v>
      </c>
      <c r="AZ22" s="74">
        <f>('INSTRUCTION-2YR'!V22+'RESEARCH 2yr'!V22+'PUBLIC SERVICE 2yr'!V22+'ASptISptSSv 2yr'!V22+'PLANT OPER MAIN 2yr'!V22+'SCHOLAR FELLOW 2yr'!V22+'All Other 2yr'!V22)-V22</f>
        <v>0</v>
      </c>
      <c r="BA22" s="74">
        <f>('INSTRUCTION-2YR'!W22+'RESEARCH 2yr'!W22+'PUBLIC SERVICE 2yr'!W22+'ASptISptSSv 2yr'!W22+'PLANT OPER MAIN 2yr'!W22+'SCHOLAR FELLOW 2yr'!W22+'All Other 2yr'!W22)-W22</f>
        <v>0</v>
      </c>
      <c r="BB22" s="74">
        <f>('INSTRUCTION-2YR'!X22+'RESEARCH 2yr'!X22+'PUBLIC SERVICE 2yr'!X22+'ASptISptSSv 2yr'!X22+'PLANT OPER MAIN 2yr'!X22+'SCHOLAR FELLOW 2yr'!X22+'All Other 2yr'!X22)-X22</f>
        <v>0</v>
      </c>
      <c r="BC22" s="74">
        <f>('INSTRUCTION-2YR'!Y22+'RESEARCH 2yr'!Y22+'PUBLIC SERVICE 2yr'!Y22+'ASptISptSSv 2yr'!Y22+'PLANT OPER MAIN 2yr'!Y22+'SCHOLAR FELLOW 2yr'!Y22+'All Other 2yr'!Y22)-Y22</f>
        <v>0</v>
      </c>
      <c r="BD22" s="74">
        <f>('INSTRUCTION-2YR'!Z22+'RESEARCH 2yr'!Z22+'PUBLIC SERVICE 2yr'!Z22+'ASptISptSSv 2yr'!Z22+'PLANT OPER MAIN 2yr'!Z22+'SCHOLAR FELLOW 2yr'!Z22+'All Other 2yr'!Z22)-Z22</f>
        <v>0</v>
      </c>
      <c r="BE22" s="74">
        <f>('INSTRUCTION-2YR'!AA22+'RESEARCH 2yr'!AA22+'PUBLIC SERVICE 2yr'!AA22+'ASptISptSSv 2yr'!AA22+'PLANT OPER MAIN 2yr'!AA22+'SCHOLAR FELLOW 2yr'!AA22+'All Other 2yr'!AA22)-AA22</f>
        <v>0</v>
      </c>
      <c r="BF22" s="74">
        <f>('INSTRUCTION-2YR'!AB22+'RESEARCH 2yr'!AB22+'PUBLIC SERVICE 2yr'!AB22+'ASptISptSSv 2yr'!AB22+'PLANT OPER MAIN 2yr'!AB22+'SCHOLAR FELLOW 2yr'!AB22+'All Other 2yr'!AB22)-AB22</f>
        <v>147830.73900000006</v>
      </c>
      <c r="BG22" s="74">
        <f>('INSTRUCTION-2YR'!AC22+'RESEARCH 2yr'!AC22+'PUBLIC SERVICE 2yr'!AC22+'ASptISptSSv 2yr'!AC22+'PLANT OPER MAIN 2yr'!AC22+'SCHOLAR FELLOW 2yr'!AC22+'All Other 2yr'!AC22)-AC22</f>
        <v>0</v>
      </c>
      <c r="BH22" s="74">
        <f>('INSTRUCTION-2YR'!AD22+'RESEARCH 2yr'!AD22+'PUBLIC SERVICE 2yr'!AD22+'ASptISptSSv 2yr'!AD22+'PLANT OPER MAIN 2yr'!AD22+'SCHOLAR FELLOW 2yr'!AD22+'All Other 2yr'!AD22)-AD22</f>
        <v>0</v>
      </c>
      <c r="BI22" s="74">
        <f>('INSTRUCTION-2YR'!AE22+'RESEARCH 2yr'!AE22+'PUBLIC SERVICE 2yr'!AE22+'ASptISptSSv 2yr'!AE22+'PLANT OPER MAIN 2yr'!AE22+'SCHOLAR FELLOW 2yr'!AE22+'All Other 2yr'!AE22)-AE22</f>
        <v>0</v>
      </c>
    </row>
    <row r="23" spans="1:61">
      <c r="A23" s="1" t="s">
        <v>40</v>
      </c>
      <c r="B23" s="1">
        <v>178406</v>
      </c>
      <c r="C23" s="1">
        <v>199925</v>
      </c>
      <c r="D23" s="1">
        <v>214451</v>
      </c>
      <c r="E23" s="1">
        <v>296642.53899999999</v>
      </c>
      <c r="F23" s="41">
        <v>316898.272</v>
      </c>
      <c r="G23" s="1">
        <v>347438.23800000001</v>
      </c>
      <c r="H23" s="1">
        <v>363036.36099999998</v>
      </c>
      <c r="I23" s="1">
        <v>379206.41899999999</v>
      </c>
      <c r="J23" s="1">
        <v>382307.44700000004</v>
      </c>
      <c r="K23" s="1">
        <v>406173.03399999999</v>
      </c>
      <c r="L23" s="1">
        <v>500247.87799999997</v>
      </c>
      <c r="M23" s="1">
        <v>533471.07900000003</v>
      </c>
      <c r="N23" s="1">
        <v>565758.27899999998</v>
      </c>
      <c r="O23" s="1">
        <v>589824.72400000005</v>
      </c>
      <c r="P23" s="1">
        <v>632388.84400000004</v>
      </c>
      <c r="Q23" s="1">
        <v>672255.674</v>
      </c>
      <c r="R23" s="1">
        <v>726644.16799999995</v>
      </c>
      <c r="S23" s="1">
        <v>797456.25800000003</v>
      </c>
      <c r="T23" s="1">
        <v>874993.04200000002</v>
      </c>
      <c r="U23" s="1">
        <v>921464.09600000002</v>
      </c>
      <c r="V23" s="1">
        <v>1063767.1569999999</v>
      </c>
      <c r="W23" s="1">
        <v>1192618.2139999999</v>
      </c>
      <c r="X23" s="1">
        <v>1281801.933</v>
      </c>
      <c r="Y23" s="1">
        <v>1311545.2649999999</v>
      </c>
      <c r="Z23" s="1">
        <v>1324506.773</v>
      </c>
      <c r="AA23" s="1">
        <v>1338466.0349999999</v>
      </c>
      <c r="AB23" s="1">
        <v>1315284.598</v>
      </c>
      <c r="AC23" s="1">
        <v>1281824.118</v>
      </c>
      <c r="AE23" s="1">
        <v>1242413.6059999999</v>
      </c>
      <c r="AF23" s="74">
        <f>('INSTRUCTION-2YR'!B23+'RESEARCH 2yr'!B23+'PUBLIC SERVICE 2yr'!B23+'ASptISptSSv 2yr'!B23+'PLANT OPER MAIN 2yr'!B23+'SCHOLAR FELLOW 2yr'!B23+'All Other 2yr'!B23)-B23</f>
        <v>0</v>
      </c>
      <c r="AG23" s="74">
        <f>('INSTRUCTION-2YR'!C23+'RESEARCH 2yr'!C23+'PUBLIC SERVICE 2yr'!C23+'ASptISptSSv 2yr'!C23+'PLANT OPER MAIN 2yr'!C23+'SCHOLAR FELLOW 2yr'!C23+'All Other 2yr'!C23)-C23</f>
        <v>0</v>
      </c>
      <c r="AH23" s="74">
        <f>('INSTRUCTION-2YR'!D23+'RESEARCH 2yr'!D23+'PUBLIC SERVICE 2yr'!D23+'ASptISptSSv 2yr'!D23+'PLANT OPER MAIN 2yr'!D23+'SCHOLAR FELLOW 2yr'!D23+'All Other 2yr'!D23)-D23</f>
        <v>0</v>
      </c>
      <c r="AI23" s="74">
        <f>('INSTRUCTION-2YR'!E23+'RESEARCH 2yr'!E23+'PUBLIC SERVICE 2yr'!E23+'ASptISptSSv 2yr'!E23+'PLANT OPER MAIN 2yr'!E23+'SCHOLAR FELLOW 2yr'!E23+'All Other 2yr'!E23)-E23</f>
        <v>0</v>
      </c>
      <c r="AJ23" s="74">
        <f>('INSTRUCTION-2YR'!F23+'RESEARCH 2yr'!F23+'PUBLIC SERVICE 2yr'!F23+'ASptISptSSv 2yr'!F23+'PLANT OPER MAIN 2yr'!F23+'SCHOLAR FELLOW 2yr'!F23+'All Other 2yr'!F23)-F23</f>
        <v>0</v>
      </c>
      <c r="AK23" s="74">
        <f>('INSTRUCTION-2YR'!G23+'RESEARCH 2yr'!G23+'PUBLIC SERVICE 2yr'!G23+'ASptISptSSv 2yr'!G23+'PLANT OPER MAIN 2yr'!G23+'SCHOLAR FELLOW 2yr'!G23+'All Other 2yr'!G23)-G23</f>
        <v>0</v>
      </c>
      <c r="AL23" s="74">
        <f>('INSTRUCTION-2YR'!H23+'RESEARCH 2yr'!H23+'PUBLIC SERVICE 2yr'!H23+'ASptISptSSv 2yr'!H23+'PLANT OPER MAIN 2yr'!H23+'SCHOLAR FELLOW 2yr'!H23+'All Other 2yr'!H23)-H23</f>
        <v>0</v>
      </c>
      <c r="AM23" s="74">
        <f>('INSTRUCTION-2YR'!I23+'RESEARCH 2yr'!I23+'PUBLIC SERVICE 2yr'!I23+'ASptISptSSv 2yr'!I23+'PLANT OPER MAIN 2yr'!I23+'SCHOLAR FELLOW 2yr'!I23+'All Other 2yr'!I23)-I23</f>
        <v>0</v>
      </c>
      <c r="AN23" s="74">
        <f>('INSTRUCTION-2YR'!J23+'RESEARCH 2yr'!J23+'PUBLIC SERVICE 2yr'!J23+'ASptISptSSv 2yr'!J23+'PLANT OPER MAIN 2yr'!J23+'SCHOLAR FELLOW 2yr'!J23+'All Other 2yr'!J23)-J23</f>
        <v>0</v>
      </c>
      <c r="AO23" s="74">
        <f>('INSTRUCTION-2YR'!K23+'RESEARCH 2yr'!K23+'PUBLIC SERVICE 2yr'!K23+'ASptISptSSv 2yr'!K23+'PLANT OPER MAIN 2yr'!K23+'SCHOLAR FELLOW 2yr'!K23+'All Other 2yr'!K23)-K23</f>
        <v>0</v>
      </c>
      <c r="AP23" s="74">
        <f>('INSTRUCTION-2YR'!L23+'RESEARCH 2yr'!L23+'PUBLIC SERVICE 2yr'!L23+'ASptISptSSv 2yr'!L23+'PLANT OPER MAIN 2yr'!L23+'SCHOLAR FELLOW 2yr'!L23+'All Other 2yr'!L23)-L23</f>
        <v>0</v>
      </c>
      <c r="AQ23" s="74">
        <f>('INSTRUCTION-2YR'!M23+'RESEARCH 2yr'!M23+'PUBLIC SERVICE 2yr'!M23+'ASptISptSSv 2yr'!M23+'PLANT OPER MAIN 2yr'!M23+'SCHOLAR FELLOW 2yr'!M23+'All Other 2yr'!M23)-M23</f>
        <v>0</v>
      </c>
      <c r="AR23" s="74">
        <f>('INSTRUCTION-2YR'!N23+'RESEARCH 2yr'!N23+'PUBLIC SERVICE 2yr'!N23+'ASptISptSSv 2yr'!N23+'PLANT OPER MAIN 2yr'!N23+'SCHOLAR FELLOW 2yr'!N23+'All Other 2yr'!N23)-N23</f>
        <v>0</v>
      </c>
      <c r="AS23" s="74">
        <f>('INSTRUCTION-2YR'!O23+'RESEARCH 2yr'!O23+'PUBLIC SERVICE 2yr'!O23+'ASptISptSSv 2yr'!O23+'PLANT OPER MAIN 2yr'!O23+'SCHOLAR FELLOW 2yr'!O23+'All Other 2yr'!O23)-O23</f>
        <v>0</v>
      </c>
      <c r="AT23" s="74">
        <f>('INSTRUCTION-2YR'!P23+'RESEARCH 2yr'!P23+'PUBLIC SERVICE 2yr'!P23+'ASptISptSSv 2yr'!P23+'PLANT OPER MAIN 2yr'!P23+'SCHOLAR FELLOW 2yr'!P23+'All Other 2yr'!P23)-P23</f>
        <v>0</v>
      </c>
      <c r="AU23" s="74">
        <f>('INSTRUCTION-2YR'!Q23+'RESEARCH 2yr'!Q23+'PUBLIC SERVICE 2yr'!Q23+'ASptISptSSv 2yr'!Q23+'PLANT OPER MAIN 2yr'!Q23+'SCHOLAR FELLOW 2yr'!Q23+'All Other 2yr'!Q23)-Q23</f>
        <v>0</v>
      </c>
      <c r="AV23" s="74">
        <f>('INSTRUCTION-2YR'!R23+'RESEARCH 2yr'!R23+'PUBLIC SERVICE 2yr'!R23+'ASptISptSSv 2yr'!R23+'PLANT OPER MAIN 2yr'!R23+'SCHOLAR FELLOW 2yr'!R23+'All Other 2yr'!R23)-R23</f>
        <v>0</v>
      </c>
      <c r="AW23" s="74">
        <f>('INSTRUCTION-2YR'!S23+'RESEARCH 2yr'!S23+'PUBLIC SERVICE 2yr'!S23+'ASptISptSSv 2yr'!S23+'PLANT OPER MAIN 2yr'!S23+'SCHOLAR FELLOW 2yr'!S23+'All Other 2yr'!S23)-S23</f>
        <v>0</v>
      </c>
      <c r="AX23" s="74">
        <f>('INSTRUCTION-2YR'!T23+'RESEARCH 2yr'!T23+'PUBLIC SERVICE 2yr'!T23+'ASptISptSSv 2yr'!T23+'PLANT OPER MAIN 2yr'!T23+'SCHOLAR FELLOW 2yr'!T23+'All Other 2yr'!T23)-T23</f>
        <v>0</v>
      </c>
      <c r="AY23" s="74">
        <f>('INSTRUCTION-2YR'!U23+'RESEARCH 2yr'!U23+'PUBLIC SERVICE 2yr'!U23+'ASptISptSSv 2yr'!U23+'PLANT OPER MAIN 2yr'!U23+'SCHOLAR FELLOW 2yr'!U23+'All Other 2yr'!U23)-U23</f>
        <v>0</v>
      </c>
      <c r="AZ23" s="74">
        <f>('INSTRUCTION-2YR'!V23+'RESEARCH 2yr'!V23+'PUBLIC SERVICE 2yr'!V23+'ASptISptSSv 2yr'!V23+'PLANT OPER MAIN 2yr'!V23+'SCHOLAR FELLOW 2yr'!V23+'All Other 2yr'!V23)-V23</f>
        <v>0</v>
      </c>
      <c r="BA23" s="74">
        <f>('INSTRUCTION-2YR'!W23+'RESEARCH 2yr'!W23+'PUBLIC SERVICE 2yr'!W23+'ASptISptSSv 2yr'!W23+'PLANT OPER MAIN 2yr'!W23+'SCHOLAR FELLOW 2yr'!W23+'All Other 2yr'!W23)-W23</f>
        <v>0</v>
      </c>
      <c r="BB23" s="74">
        <f>('INSTRUCTION-2YR'!X23+'RESEARCH 2yr'!X23+'PUBLIC SERVICE 2yr'!X23+'ASptISptSSv 2yr'!X23+'PLANT OPER MAIN 2yr'!X23+'SCHOLAR FELLOW 2yr'!X23+'All Other 2yr'!X23)-X23</f>
        <v>0</v>
      </c>
      <c r="BC23" s="74">
        <f>('INSTRUCTION-2YR'!Y23+'RESEARCH 2yr'!Y23+'PUBLIC SERVICE 2yr'!Y23+'ASptISptSSv 2yr'!Y23+'PLANT OPER MAIN 2yr'!Y23+'SCHOLAR FELLOW 2yr'!Y23+'All Other 2yr'!Y23)-Y23</f>
        <v>0</v>
      </c>
      <c r="BD23" s="74">
        <f>('INSTRUCTION-2YR'!Z23+'RESEARCH 2yr'!Z23+'PUBLIC SERVICE 2yr'!Z23+'ASptISptSSv 2yr'!Z23+'PLANT OPER MAIN 2yr'!Z23+'SCHOLAR FELLOW 2yr'!Z23+'All Other 2yr'!Z23)-Z23</f>
        <v>0</v>
      </c>
      <c r="BE23" s="74">
        <f>('INSTRUCTION-2YR'!AA23+'RESEARCH 2yr'!AA23+'PUBLIC SERVICE 2yr'!AA23+'ASptISptSSv 2yr'!AA23+'PLANT OPER MAIN 2yr'!AA23+'SCHOLAR FELLOW 2yr'!AA23+'All Other 2yr'!AA23)-AA23</f>
        <v>0</v>
      </c>
      <c r="BF23" s="74">
        <f>('INSTRUCTION-2YR'!AB23+'RESEARCH 2yr'!AB23+'PUBLIC SERVICE 2yr'!AB23+'ASptISptSSv 2yr'!AB23+'PLANT OPER MAIN 2yr'!AB23+'SCHOLAR FELLOW 2yr'!AB23+'All Other 2yr'!AB23)-AB23</f>
        <v>0</v>
      </c>
      <c r="BG23" s="74">
        <f>('INSTRUCTION-2YR'!AC23+'RESEARCH 2yr'!AC23+'PUBLIC SERVICE 2yr'!AC23+'ASptISptSSv 2yr'!AC23+'PLANT OPER MAIN 2yr'!AC23+'SCHOLAR FELLOW 2yr'!AC23+'All Other 2yr'!AC23)-AC23</f>
        <v>0</v>
      </c>
      <c r="BH23" s="74">
        <f>('INSTRUCTION-2YR'!AD23+'RESEARCH 2yr'!AD23+'PUBLIC SERVICE 2yr'!AD23+'ASptISptSSv 2yr'!AD23+'PLANT OPER MAIN 2yr'!AD23+'SCHOLAR FELLOW 2yr'!AD23+'All Other 2yr'!AD23)-AD23</f>
        <v>0</v>
      </c>
      <c r="BI23" s="74">
        <f>('INSTRUCTION-2YR'!AE23+'RESEARCH 2yr'!AE23+'PUBLIC SERVICE 2yr'!AE23+'ASptISptSSv 2yr'!AE23+'PLANT OPER MAIN 2yr'!AE23+'SCHOLAR FELLOW 2yr'!AE23+'All Other 2yr'!AE23)-AE23</f>
        <v>0</v>
      </c>
    </row>
    <row r="24" spans="1:61">
      <c r="A24" s="23" t="s">
        <v>41</v>
      </c>
      <c r="B24" s="23">
        <v>17071</v>
      </c>
      <c r="C24" s="23">
        <v>18947</v>
      </c>
      <c r="D24" s="23">
        <v>19801</v>
      </c>
      <c r="E24" s="23">
        <v>21024.271000000001</v>
      </c>
      <c r="F24" s="44">
        <v>22873.838</v>
      </c>
      <c r="G24" s="23">
        <v>24797.885999999999</v>
      </c>
      <c r="H24" s="23">
        <v>27071.334999999999</v>
      </c>
      <c r="I24" s="23">
        <v>28200.433000000001</v>
      </c>
      <c r="J24" s="23">
        <v>30577.967000000001</v>
      </c>
      <c r="K24" s="23">
        <v>31566.579160000005</v>
      </c>
      <c r="L24" s="23">
        <v>34343.579999999994</v>
      </c>
      <c r="M24" s="23">
        <v>46714.728000000003</v>
      </c>
      <c r="N24" s="23">
        <v>38555.624000000003</v>
      </c>
      <c r="O24" s="23">
        <v>47578.877999999997</v>
      </c>
      <c r="P24" s="23">
        <v>37360.17</v>
      </c>
      <c r="Q24" s="23">
        <v>87515.304000000004</v>
      </c>
      <c r="R24" s="23">
        <v>80691.255999999994</v>
      </c>
      <c r="S24" s="23">
        <v>105638.74099999999</v>
      </c>
      <c r="T24" s="23">
        <v>114516.306</v>
      </c>
      <c r="U24" s="23">
        <v>136464.57</v>
      </c>
      <c r="V24" s="23">
        <v>200552.18</v>
      </c>
      <c r="W24" s="23">
        <v>220527.29399999999</v>
      </c>
      <c r="X24" s="23">
        <v>222684.96</v>
      </c>
      <c r="Y24" s="23">
        <v>215002.139</v>
      </c>
      <c r="Z24" s="23">
        <v>210896.58</v>
      </c>
      <c r="AA24" s="23">
        <v>199992.736</v>
      </c>
      <c r="AB24" s="23">
        <v>198320.747</v>
      </c>
      <c r="AC24" s="23">
        <v>182819.90599999999</v>
      </c>
      <c r="AD24" s="23"/>
      <c r="AE24" s="23">
        <v>176503.136</v>
      </c>
      <c r="AF24" s="74">
        <f>('INSTRUCTION-2YR'!B24+'RESEARCH 2yr'!B24+'PUBLIC SERVICE 2yr'!B24+'ASptISptSSv 2yr'!B24+'PLANT OPER MAIN 2yr'!B24+'SCHOLAR FELLOW 2yr'!B24+'All Other 2yr'!B24)-B24</f>
        <v>0</v>
      </c>
      <c r="AG24" s="74">
        <f>('INSTRUCTION-2YR'!C24+'RESEARCH 2yr'!C24+'PUBLIC SERVICE 2yr'!C24+'ASptISptSSv 2yr'!C24+'PLANT OPER MAIN 2yr'!C24+'SCHOLAR FELLOW 2yr'!C24+'All Other 2yr'!C24)-C24</f>
        <v>0</v>
      </c>
      <c r="AH24" s="74">
        <f>('INSTRUCTION-2YR'!D24+'RESEARCH 2yr'!D24+'PUBLIC SERVICE 2yr'!D24+'ASptISptSSv 2yr'!D24+'PLANT OPER MAIN 2yr'!D24+'SCHOLAR FELLOW 2yr'!D24+'All Other 2yr'!D24)-D24</f>
        <v>0</v>
      </c>
      <c r="AI24" s="74">
        <f>('INSTRUCTION-2YR'!E24+'RESEARCH 2yr'!E24+'PUBLIC SERVICE 2yr'!E24+'ASptISptSSv 2yr'!E24+'PLANT OPER MAIN 2yr'!E24+'SCHOLAR FELLOW 2yr'!E24+'All Other 2yr'!E24)-E24</f>
        <v>0</v>
      </c>
      <c r="AJ24" s="74">
        <f>('INSTRUCTION-2YR'!F24+'RESEARCH 2yr'!F24+'PUBLIC SERVICE 2yr'!F24+'ASptISptSSv 2yr'!F24+'PLANT OPER MAIN 2yr'!F24+'SCHOLAR FELLOW 2yr'!F24+'All Other 2yr'!F24)-F24</f>
        <v>0</v>
      </c>
      <c r="AK24" s="74">
        <f>('INSTRUCTION-2YR'!G24+'RESEARCH 2yr'!G24+'PUBLIC SERVICE 2yr'!G24+'ASptISptSSv 2yr'!G24+'PLANT OPER MAIN 2yr'!G24+'SCHOLAR FELLOW 2yr'!G24+'All Other 2yr'!G24)-G24</f>
        <v>0</v>
      </c>
      <c r="AL24" s="74">
        <f>('INSTRUCTION-2YR'!H24+'RESEARCH 2yr'!H24+'PUBLIC SERVICE 2yr'!H24+'ASptISptSSv 2yr'!H24+'PLANT OPER MAIN 2yr'!H24+'SCHOLAR FELLOW 2yr'!H24+'All Other 2yr'!H24)-H24</f>
        <v>0</v>
      </c>
      <c r="AM24" s="74">
        <f>('INSTRUCTION-2YR'!I24+'RESEARCH 2yr'!I24+'PUBLIC SERVICE 2yr'!I24+'ASptISptSSv 2yr'!I24+'PLANT OPER MAIN 2yr'!I24+'SCHOLAR FELLOW 2yr'!I24+'All Other 2yr'!I24)-I24</f>
        <v>0</v>
      </c>
      <c r="AN24" s="74">
        <f>('INSTRUCTION-2YR'!J24+'RESEARCH 2yr'!J24+'PUBLIC SERVICE 2yr'!J24+'ASptISptSSv 2yr'!J24+'PLANT OPER MAIN 2yr'!J24+'SCHOLAR FELLOW 2yr'!J24+'All Other 2yr'!J24)-J24</f>
        <v>0</v>
      </c>
      <c r="AO24" s="74">
        <f>('INSTRUCTION-2YR'!K24+'RESEARCH 2yr'!K24+'PUBLIC SERVICE 2yr'!K24+'ASptISptSSv 2yr'!K24+'PLANT OPER MAIN 2yr'!K24+'SCHOLAR FELLOW 2yr'!K24+'All Other 2yr'!K24)-K24</f>
        <v>0</v>
      </c>
      <c r="AP24" s="74">
        <f>('INSTRUCTION-2YR'!L24+'RESEARCH 2yr'!L24+'PUBLIC SERVICE 2yr'!L24+'ASptISptSSv 2yr'!L24+'PLANT OPER MAIN 2yr'!L24+'SCHOLAR FELLOW 2yr'!L24+'All Other 2yr'!L24)-L24</f>
        <v>0</v>
      </c>
      <c r="AQ24" s="74">
        <f>('INSTRUCTION-2YR'!M24+'RESEARCH 2yr'!M24+'PUBLIC SERVICE 2yr'!M24+'ASptISptSSv 2yr'!M24+'PLANT OPER MAIN 2yr'!M24+'SCHOLAR FELLOW 2yr'!M24+'All Other 2yr'!M24)-M24</f>
        <v>0</v>
      </c>
      <c r="AR24" s="74">
        <f>('INSTRUCTION-2YR'!N24+'RESEARCH 2yr'!N24+'PUBLIC SERVICE 2yr'!N24+'ASptISptSSv 2yr'!N24+'PLANT OPER MAIN 2yr'!N24+'SCHOLAR FELLOW 2yr'!N24+'All Other 2yr'!N24)-N24</f>
        <v>0</v>
      </c>
      <c r="AS24" s="74">
        <f>('INSTRUCTION-2YR'!O24+'RESEARCH 2yr'!O24+'PUBLIC SERVICE 2yr'!O24+'ASptISptSSv 2yr'!O24+'PLANT OPER MAIN 2yr'!O24+'SCHOLAR FELLOW 2yr'!O24+'All Other 2yr'!O24)-O24</f>
        <v>0</v>
      </c>
      <c r="AT24" s="74">
        <f>('INSTRUCTION-2YR'!P24+'RESEARCH 2yr'!P24+'PUBLIC SERVICE 2yr'!P24+'ASptISptSSv 2yr'!P24+'PLANT OPER MAIN 2yr'!P24+'SCHOLAR FELLOW 2yr'!P24+'All Other 2yr'!P24)-P24</f>
        <v>0</v>
      </c>
      <c r="AU24" s="74">
        <f>('INSTRUCTION-2YR'!Q24+'RESEARCH 2yr'!Q24+'PUBLIC SERVICE 2yr'!Q24+'ASptISptSSv 2yr'!Q24+'PLANT OPER MAIN 2yr'!Q24+'SCHOLAR FELLOW 2yr'!Q24+'All Other 2yr'!Q24)-Q24</f>
        <v>0</v>
      </c>
      <c r="AV24" s="74">
        <f>('INSTRUCTION-2YR'!R24+'RESEARCH 2yr'!R24+'PUBLIC SERVICE 2yr'!R24+'ASptISptSSv 2yr'!R24+'PLANT OPER MAIN 2yr'!R24+'SCHOLAR FELLOW 2yr'!R24+'All Other 2yr'!R24)-R24</f>
        <v>0</v>
      </c>
      <c r="AW24" s="74">
        <f>('INSTRUCTION-2YR'!S24+'RESEARCH 2yr'!S24+'PUBLIC SERVICE 2yr'!S24+'ASptISptSSv 2yr'!S24+'PLANT OPER MAIN 2yr'!S24+'SCHOLAR FELLOW 2yr'!S24+'All Other 2yr'!S24)-S24</f>
        <v>0</v>
      </c>
      <c r="AX24" s="74">
        <f>('INSTRUCTION-2YR'!T24+'RESEARCH 2yr'!T24+'PUBLIC SERVICE 2yr'!T24+'ASptISptSSv 2yr'!T24+'PLANT OPER MAIN 2yr'!T24+'SCHOLAR FELLOW 2yr'!T24+'All Other 2yr'!T24)-T24</f>
        <v>0</v>
      </c>
      <c r="AY24" s="74">
        <f>('INSTRUCTION-2YR'!U24+'RESEARCH 2yr'!U24+'PUBLIC SERVICE 2yr'!U24+'ASptISptSSv 2yr'!U24+'PLANT OPER MAIN 2yr'!U24+'SCHOLAR FELLOW 2yr'!U24+'All Other 2yr'!U24)-U24</f>
        <v>0</v>
      </c>
      <c r="AZ24" s="74">
        <f>('INSTRUCTION-2YR'!V24+'RESEARCH 2yr'!V24+'PUBLIC SERVICE 2yr'!V24+'ASptISptSSv 2yr'!V24+'PLANT OPER MAIN 2yr'!V24+'SCHOLAR FELLOW 2yr'!V24+'All Other 2yr'!V24)-V24</f>
        <v>0</v>
      </c>
      <c r="BA24" s="74">
        <f>('INSTRUCTION-2YR'!W24+'RESEARCH 2yr'!W24+'PUBLIC SERVICE 2yr'!W24+'ASptISptSSv 2yr'!W24+'PLANT OPER MAIN 2yr'!W24+'SCHOLAR FELLOW 2yr'!W24+'All Other 2yr'!W24)-W24</f>
        <v>0</v>
      </c>
      <c r="BB24" s="74">
        <f>('INSTRUCTION-2YR'!X24+'RESEARCH 2yr'!X24+'PUBLIC SERVICE 2yr'!X24+'ASptISptSSv 2yr'!X24+'PLANT OPER MAIN 2yr'!X24+'SCHOLAR FELLOW 2yr'!X24+'All Other 2yr'!X24)-X24</f>
        <v>0</v>
      </c>
      <c r="BC24" s="74">
        <f>('INSTRUCTION-2YR'!Y24+'RESEARCH 2yr'!Y24+'PUBLIC SERVICE 2yr'!Y24+'ASptISptSSv 2yr'!Y24+'PLANT OPER MAIN 2yr'!Y24+'SCHOLAR FELLOW 2yr'!Y24+'All Other 2yr'!Y24)-Y24</f>
        <v>0</v>
      </c>
      <c r="BD24" s="74">
        <f>('INSTRUCTION-2YR'!Z24+'RESEARCH 2yr'!Z24+'PUBLIC SERVICE 2yr'!Z24+'ASptISptSSv 2yr'!Z24+'PLANT OPER MAIN 2yr'!Z24+'SCHOLAR FELLOW 2yr'!Z24+'All Other 2yr'!Z24)-Z24</f>
        <v>0</v>
      </c>
      <c r="BE24" s="74">
        <f>('INSTRUCTION-2YR'!AA24+'RESEARCH 2yr'!AA24+'PUBLIC SERVICE 2yr'!AA24+'ASptISptSSv 2yr'!AA24+'PLANT OPER MAIN 2yr'!AA24+'SCHOLAR FELLOW 2yr'!AA24+'All Other 2yr'!AA24)-AA24</f>
        <v>0</v>
      </c>
      <c r="BF24" s="74">
        <f>('INSTRUCTION-2YR'!AB24+'RESEARCH 2yr'!AB24+'PUBLIC SERVICE 2yr'!AB24+'ASptISptSSv 2yr'!AB24+'PLANT OPER MAIN 2yr'!AB24+'SCHOLAR FELLOW 2yr'!AB24+'All Other 2yr'!AB24)-AB24</f>
        <v>0</v>
      </c>
      <c r="BG24" s="74">
        <f>('INSTRUCTION-2YR'!AC24+'RESEARCH 2yr'!AC24+'PUBLIC SERVICE 2yr'!AC24+'ASptISptSSv 2yr'!AC24+'PLANT OPER MAIN 2yr'!AC24+'SCHOLAR FELLOW 2yr'!AC24+'All Other 2yr'!AC24)-AC24</f>
        <v>0</v>
      </c>
      <c r="BH24" s="74">
        <f>('INSTRUCTION-2YR'!AD24+'RESEARCH 2yr'!AD24+'PUBLIC SERVICE 2yr'!AD24+'ASptISptSSv 2yr'!AD24+'PLANT OPER MAIN 2yr'!AD24+'SCHOLAR FELLOW 2yr'!AD24+'All Other 2yr'!AD24)-AD24</f>
        <v>0</v>
      </c>
      <c r="BI24" s="74">
        <f>('INSTRUCTION-2YR'!AE24+'RESEARCH 2yr'!AE24+'PUBLIC SERVICE 2yr'!AE24+'ASptISptSSv 2yr'!AE24+'PLANT OPER MAIN 2yr'!AE24+'SCHOLAR FELLOW 2yr'!AE24+'All Other 2yr'!AE24)-AE24</f>
        <v>0</v>
      </c>
    </row>
    <row r="25" spans="1:61">
      <c r="A25" s="7" t="s">
        <v>42</v>
      </c>
      <c r="B25" s="47">
        <f>SUM(B27:B39)</f>
        <v>0</v>
      </c>
      <c r="C25" s="47">
        <f t="shared" ref="C25:AE25" si="13">SUM(C27:C39)</f>
        <v>0</v>
      </c>
      <c r="D25" s="47">
        <f t="shared" si="13"/>
        <v>0</v>
      </c>
      <c r="E25" s="47">
        <f t="shared" si="13"/>
        <v>0</v>
      </c>
      <c r="F25" s="47">
        <f t="shared" si="13"/>
        <v>5085743.0989999995</v>
      </c>
      <c r="G25" s="47">
        <f t="shared" si="13"/>
        <v>0</v>
      </c>
      <c r="H25" s="47">
        <f t="shared" si="13"/>
        <v>0</v>
      </c>
      <c r="I25" s="47">
        <f t="shared" si="13"/>
        <v>5721772.5959999999</v>
      </c>
      <c r="J25" s="47">
        <f t="shared" si="13"/>
        <v>0</v>
      </c>
      <c r="K25" s="47">
        <f t="shared" si="13"/>
        <v>7154394.4839200014</v>
      </c>
      <c r="L25" s="47">
        <f t="shared" si="13"/>
        <v>7214062.2379999999</v>
      </c>
      <c r="M25" s="47">
        <f t="shared" si="13"/>
        <v>7820176.0690000001</v>
      </c>
      <c r="N25" s="47">
        <f t="shared" si="13"/>
        <v>8571872.7259999979</v>
      </c>
      <c r="O25" s="47">
        <f t="shared" si="13"/>
        <v>8967413.2909999993</v>
      </c>
      <c r="P25" s="47">
        <f t="shared" si="13"/>
        <v>9173069.2870000005</v>
      </c>
      <c r="Q25" s="47">
        <f t="shared" si="13"/>
        <v>11481645.857000003</v>
      </c>
      <c r="R25" s="47">
        <f t="shared" si="13"/>
        <v>12157408.027000001</v>
      </c>
      <c r="S25" s="47">
        <f t="shared" si="13"/>
        <v>12885782.847000001</v>
      </c>
      <c r="T25" s="47">
        <f t="shared" si="13"/>
        <v>14007069.755000001</v>
      </c>
      <c r="U25" s="47">
        <f t="shared" si="13"/>
        <v>15531043.535999997</v>
      </c>
      <c r="V25" s="47">
        <f t="shared" si="13"/>
        <v>16422272.171999997</v>
      </c>
      <c r="W25" s="47">
        <f t="shared" si="13"/>
        <v>18062205.934</v>
      </c>
      <c r="X25" s="47">
        <f t="shared" si="13"/>
        <v>17977360.320999999</v>
      </c>
      <c r="Y25" s="47">
        <f t="shared" si="13"/>
        <v>13041915.104</v>
      </c>
      <c r="Z25" s="47">
        <f t="shared" si="13"/>
        <v>13422075.707000002</v>
      </c>
      <c r="AA25" s="47">
        <f t="shared" si="13"/>
        <v>13803867.734000001</v>
      </c>
      <c r="AB25" s="47">
        <f t="shared" si="13"/>
        <v>19736395.610000003</v>
      </c>
      <c r="AC25" s="47">
        <f t="shared" si="13"/>
        <v>20400240.559999999</v>
      </c>
      <c r="AD25" s="47">
        <f t="shared" si="13"/>
        <v>0</v>
      </c>
      <c r="AE25" s="47">
        <f t="shared" si="13"/>
        <v>22767047.966000002</v>
      </c>
      <c r="AF25" s="74">
        <f>('INSTRUCTION-2YR'!B25+'RESEARCH 2yr'!B25+'PUBLIC SERVICE 2yr'!B25+'ASptISptSSv 2yr'!B25+'PLANT OPER MAIN 2yr'!B25+'SCHOLAR FELLOW 2yr'!B25+'All Other 2yr'!B25)-B25</f>
        <v>0</v>
      </c>
      <c r="AG25" s="74">
        <f>('INSTRUCTION-2YR'!C25+'RESEARCH 2yr'!C25+'PUBLIC SERVICE 2yr'!C25+'ASptISptSSv 2yr'!C25+'PLANT OPER MAIN 2yr'!C25+'SCHOLAR FELLOW 2yr'!C25+'All Other 2yr'!C25)-C25</f>
        <v>0</v>
      </c>
      <c r="AH25" s="74">
        <f>('INSTRUCTION-2YR'!D25+'RESEARCH 2yr'!D25+'PUBLIC SERVICE 2yr'!D25+'ASptISptSSv 2yr'!D25+'PLANT OPER MAIN 2yr'!D25+'SCHOLAR FELLOW 2yr'!D25+'All Other 2yr'!D25)-D25</f>
        <v>0</v>
      </c>
      <c r="AI25" s="74">
        <f>('INSTRUCTION-2YR'!E25+'RESEARCH 2yr'!E25+'PUBLIC SERVICE 2yr'!E25+'ASptISptSSv 2yr'!E25+'PLANT OPER MAIN 2yr'!E25+'SCHOLAR FELLOW 2yr'!E25+'All Other 2yr'!E25)-E25</f>
        <v>0</v>
      </c>
      <c r="AJ25" s="74">
        <f>('INSTRUCTION-2YR'!F25+'RESEARCH 2yr'!F25+'PUBLIC SERVICE 2yr'!F25+'ASptISptSSv 2yr'!F25+'PLANT OPER MAIN 2yr'!F25+'SCHOLAR FELLOW 2yr'!F25+'All Other 2yr'!F25)-F25</f>
        <v>0</v>
      </c>
      <c r="AK25" s="74">
        <f>('INSTRUCTION-2YR'!G25+'RESEARCH 2yr'!G25+'PUBLIC SERVICE 2yr'!G25+'ASptISptSSv 2yr'!G25+'PLANT OPER MAIN 2yr'!G25+'SCHOLAR FELLOW 2yr'!G25+'All Other 2yr'!G25)-G25</f>
        <v>0</v>
      </c>
      <c r="AL25" s="74">
        <f>('INSTRUCTION-2YR'!H25+'RESEARCH 2yr'!H25+'PUBLIC SERVICE 2yr'!H25+'ASptISptSSv 2yr'!H25+'PLANT OPER MAIN 2yr'!H25+'SCHOLAR FELLOW 2yr'!H25+'All Other 2yr'!H25)-H25</f>
        <v>0</v>
      </c>
      <c r="AM25" s="74">
        <f>('INSTRUCTION-2YR'!I25+'RESEARCH 2yr'!I25+'PUBLIC SERVICE 2yr'!I25+'ASptISptSSv 2yr'!I25+'PLANT OPER MAIN 2yr'!I25+'SCHOLAR FELLOW 2yr'!I25+'All Other 2yr'!I25)-I25</f>
        <v>0</v>
      </c>
      <c r="AN25" s="74">
        <f>('INSTRUCTION-2YR'!J25+'RESEARCH 2yr'!J25+'PUBLIC SERVICE 2yr'!J25+'ASptISptSSv 2yr'!J25+'PLANT OPER MAIN 2yr'!J25+'SCHOLAR FELLOW 2yr'!J25+'All Other 2yr'!J25)-J25</f>
        <v>0</v>
      </c>
      <c r="AO25" s="74">
        <f>('INSTRUCTION-2YR'!K25+'RESEARCH 2yr'!K25+'PUBLIC SERVICE 2yr'!K25+'ASptISptSSv 2yr'!K25+'PLANT OPER MAIN 2yr'!K25+'SCHOLAR FELLOW 2yr'!K25+'All Other 2yr'!K25)-K25</f>
        <v>0</v>
      </c>
      <c r="AP25" s="74">
        <f>('INSTRUCTION-2YR'!L25+'RESEARCH 2yr'!L25+'PUBLIC SERVICE 2yr'!L25+'ASptISptSSv 2yr'!L25+'PLANT OPER MAIN 2yr'!L25+'SCHOLAR FELLOW 2yr'!L25+'All Other 2yr'!L25)-L25</f>
        <v>0</v>
      </c>
      <c r="AQ25" s="74">
        <f>('INSTRUCTION-2YR'!M25+'RESEARCH 2yr'!M25+'PUBLIC SERVICE 2yr'!M25+'ASptISptSSv 2yr'!M25+'PLANT OPER MAIN 2yr'!M25+'SCHOLAR FELLOW 2yr'!M25+'All Other 2yr'!M25)-M25</f>
        <v>0</v>
      </c>
      <c r="AR25" s="74">
        <f>('INSTRUCTION-2YR'!N25+'RESEARCH 2yr'!N25+'PUBLIC SERVICE 2yr'!N25+'ASptISptSSv 2yr'!N25+'PLANT OPER MAIN 2yr'!N25+'SCHOLAR FELLOW 2yr'!N25+'All Other 2yr'!N25)-N25</f>
        <v>0</v>
      </c>
      <c r="AS25" s="74">
        <f>('INSTRUCTION-2YR'!O25+'RESEARCH 2yr'!O25+'PUBLIC SERVICE 2yr'!O25+'ASptISptSSv 2yr'!O25+'PLANT OPER MAIN 2yr'!O25+'SCHOLAR FELLOW 2yr'!O25+'All Other 2yr'!O25)-O25</f>
        <v>0</v>
      </c>
      <c r="AT25" s="74">
        <f>('INSTRUCTION-2YR'!P25+'RESEARCH 2yr'!P25+'PUBLIC SERVICE 2yr'!P25+'ASptISptSSv 2yr'!P25+'PLANT OPER MAIN 2yr'!P25+'SCHOLAR FELLOW 2yr'!P25+'All Other 2yr'!P25)-P25</f>
        <v>0</v>
      </c>
      <c r="AU25" s="74">
        <f>('INSTRUCTION-2YR'!Q25+'RESEARCH 2yr'!Q25+'PUBLIC SERVICE 2yr'!Q25+'ASptISptSSv 2yr'!Q25+'PLANT OPER MAIN 2yr'!Q25+'SCHOLAR FELLOW 2yr'!Q25+'All Other 2yr'!Q25)-Q25</f>
        <v>0</v>
      </c>
      <c r="AV25" s="74">
        <f>('INSTRUCTION-2YR'!R25+'RESEARCH 2yr'!R25+'PUBLIC SERVICE 2yr'!R25+'ASptISptSSv 2yr'!R25+'PLANT OPER MAIN 2yr'!R25+'SCHOLAR FELLOW 2yr'!R25+'All Other 2yr'!R25)-R25</f>
        <v>0</v>
      </c>
      <c r="AW25" s="74">
        <f>('INSTRUCTION-2YR'!S25+'RESEARCH 2yr'!S25+'PUBLIC SERVICE 2yr'!S25+'ASptISptSSv 2yr'!S25+'PLANT OPER MAIN 2yr'!S25+'SCHOLAR FELLOW 2yr'!S25+'All Other 2yr'!S25)-S25</f>
        <v>0</v>
      </c>
      <c r="AX25" s="74">
        <f>('INSTRUCTION-2YR'!T25+'RESEARCH 2yr'!T25+'PUBLIC SERVICE 2yr'!T25+'ASptISptSSv 2yr'!T25+'PLANT OPER MAIN 2yr'!T25+'SCHOLAR FELLOW 2yr'!T25+'All Other 2yr'!T25)-T25</f>
        <v>0</v>
      </c>
      <c r="AY25" s="74">
        <f>('INSTRUCTION-2YR'!U25+'RESEARCH 2yr'!U25+'PUBLIC SERVICE 2yr'!U25+'ASptISptSSv 2yr'!U25+'PLANT OPER MAIN 2yr'!U25+'SCHOLAR FELLOW 2yr'!U25+'All Other 2yr'!U25)-U25</f>
        <v>0</v>
      </c>
      <c r="AZ25" s="74">
        <f>('INSTRUCTION-2YR'!V25+'RESEARCH 2yr'!V25+'PUBLIC SERVICE 2yr'!V25+'ASptISptSSv 2yr'!V25+'PLANT OPER MAIN 2yr'!V25+'SCHOLAR FELLOW 2yr'!V25+'All Other 2yr'!V25)-V25</f>
        <v>0</v>
      </c>
      <c r="BA25" s="74">
        <f>('INSTRUCTION-2YR'!W25+'RESEARCH 2yr'!W25+'PUBLIC SERVICE 2yr'!W25+'ASptISptSSv 2yr'!W25+'PLANT OPER MAIN 2yr'!W25+'SCHOLAR FELLOW 2yr'!W25+'All Other 2yr'!W25)-W25</f>
        <v>0</v>
      </c>
      <c r="BB25" s="74">
        <f>('INSTRUCTION-2YR'!X25+'RESEARCH 2yr'!X25+'PUBLIC SERVICE 2yr'!X25+'ASptISptSSv 2yr'!X25+'PLANT OPER MAIN 2yr'!X25+'SCHOLAR FELLOW 2yr'!X25+'All Other 2yr'!X25)-X25</f>
        <v>0</v>
      </c>
      <c r="BC25" s="74">
        <f>('INSTRUCTION-2YR'!Y25+'RESEARCH 2yr'!Y25+'PUBLIC SERVICE 2yr'!Y25+'ASptISptSSv 2yr'!Y25+'PLANT OPER MAIN 2yr'!Y25+'SCHOLAR FELLOW 2yr'!Y25+'All Other 2yr'!Y25)-Y25</f>
        <v>0</v>
      </c>
      <c r="BD25" s="74">
        <f>('INSTRUCTION-2YR'!Z25+'RESEARCH 2yr'!Z25+'PUBLIC SERVICE 2yr'!Z25+'ASptISptSSv 2yr'!Z25+'PLANT OPER MAIN 2yr'!Z25+'SCHOLAR FELLOW 2yr'!Z25+'All Other 2yr'!Z25)-Z25</f>
        <v>0</v>
      </c>
      <c r="BE25" s="74">
        <f>('INSTRUCTION-2YR'!AA25+'RESEARCH 2yr'!AA25+'PUBLIC SERVICE 2yr'!AA25+'ASptISptSSv 2yr'!AA25+'PLANT OPER MAIN 2yr'!AA25+'SCHOLAR FELLOW 2yr'!AA25+'All Other 2yr'!AA25)-AA25</f>
        <v>0</v>
      </c>
      <c r="BF25" s="74">
        <f>('INSTRUCTION-2YR'!AB25+'RESEARCH 2yr'!AB25+'PUBLIC SERVICE 2yr'!AB25+'ASptISptSSv 2yr'!AB25+'PLANT OPER MAIN 2yr'!AB25+'SCHOLAR FELLOW 2yr'!AB25+'All Other 2yr'!AB25)-AB25</f>
        <v>26869.950999997556</v>
      </c>
      <c r="BG25" s="74">
        <f>('INSTRUCTION-2YR'!AC25+'RESEARCH 2yr'!AC25+'PUBLIC SERVICE 2yr'!AC25+'ASptISptSSv 2yr'!AC25+'PLANT OPER MAIN 2yr'!AC25+'SCHOLAR FELLOW 2yr'!AC25+'All Other 2yr'!AC25)-AC25</f>
        <v>0</v>
      </c>
      <c r="BH25" s="74">
        <f>('INSTRUCTION-2YR'!AD25+'RESEARCH 2yr'!AD25+'PUBLIC SERVICE 2yr'!AD25+'ASptISptSSv 2yr'!AD25+'PLANT OPER MAIN 2yr'!AD25+'SCHOLAR FELLOW 2yr'!AD25+'All Other 2yr'!AD25)-AD25</f>
        <v>0</v>
      </c>
      <c r="BI25" s="74">
        <f>('INSTRUCTION-2YR'!AE25+'RESEARCH 2yr'!AE25+'PUBLIC SERVICE 2yr'!AE25+'ASptISptSSv 2yr'!AE25+'PLANT OPER MAIN 2yr'!AE25+'SCHOLAR FELLOW 2yr'!AE25+'All Other 2yr'!AE25)-AE25</f>
        <v>0</v>
      </c>
    </row>
    <row r="26" spans="1:61">
      <c r="A26" s="7" t="s">
        <v>97</v>
      </c>
      <c r="X26" s="1">
        <v>0</v>
      </c>
      <c r="Y26" s="1">
        <v>0</v>
      </c>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row>
    <row r="27" spans="1:61">
      <c r="A27" s="1" t="s">
        <v>43</v>
      </c>
      <c r="F27" s="41">
        <v>2637.2049999999999</v>
      </c>
      <c r="I27" s="1">
        <v>3189.1350000000002</v>
      </c>
      <c r="K27" s="1">
        <v>3537.4929999999999</v>
      </c>
      <c r="L27" s="1">
        <v>14559.525</v>
      </c>
      <c r="M27" s="1">
        <v>3606.0010000000002</v>
      </c>
      <c r="N27" s="1">
        <v>15012.499</v>
      </c>
      <c r="O27" s="1">
        <v>13667.132</v>
      </c>
      <c r="P27" s="1">
        <v>14283.857</v>
      </c>
      <c r="Q27" s="1">
        <v>4914.598</v>
      </c>
      <c r="R27" s="1">
        <v>15789.945</v>
      </c>
      <c r="S27" s="1">
        <v>15728.496999999999</v>
      </c>
      <c r="T27" s="1">
        <v>17236.031999999999</v>
      </c>
      <c r="U27" s="1">
        <v>17411.081999999999</v>
      </c>
      <c r="V27" s="1">
        <v>18493.451000000001</v>
      </c>
      <c r="W27" s="1">
        <v>6659.7969999999996</v>
      </c>
      <c r="X27" s="1">
        <v>21472.59</v>
      </c>
      <c r="Y27" s="1">
        <v>6139.7020000000002</v>
      </c>
      <c r="AB27" s="1">
        <v>16754.77</v>
      </c>
      <c r="AC27" s="1">
        <v>18308.289000000001</v>
      </c>
      <c r="AE27" s="1">
        <v>17316.330999999998</v>
      </c>
      <c r="AF27" s="74">
        <f>('INSTRUCTION-2YR'!B27+'RESEARCH 2yr'!B27+'PUBLIC SERVICE 2yr'!B27+'ASptISptSSv 2yr'!B27+'PLANT OPER MAIN 2yr'!B27+'SCHOLAR FELLOW 2yr'!B27+'All Other 2yr'!B27)-B27</f>
        <v>0</v>
      </c>
      <c r="AG27" s="74">
        <f>('INSTRUCTION-2YR'!C27+'RESEARCH 2yr'!C27+'PUBLIC SERVICE 2yr'!C27+'ASptISptSSv 2yr'!C27+'PLANT OPER MAIN 2yr'!C27+'SCHOLAR FELLOW 2yr'!C27+'All Other 2yr'!C27)-C27</f>
        <v>0</v>
      </c>
      <c r="AH27" s="74">
        <f>('INSTRUCTION-2YR'!D27+'RESEARCH 2yr'!D27+'PUBLIC SERVICE 2yr'!D27+'ASptISptSSv 2yr'!D27+'PLANT OPER MAIN 2yr'!D27+'SCHOLAR FELLOW 2yr'!D27+'All Other 2yr'!D27)-D27</f>
        <v>0</v>
      </c>
      <c r="AI27" s="74">
        <f>('INSTRUCTION-2YR'!E27+'RESEARCH 2yr'!E27+'PUBLIC SERVICE 2yr'!E27+'ASptISptSSv 2yr'!E27+'PLANT OPER MAIN 2yr'!E27+'SCHOLAR FELLOW 2yr'!E27+'All Other 2yr'!E27)-E27</f>
        <v>0</v>
      </c>
      <c r="AJ27" s="74">
        <f>('INSTRUCTION-2YR'!F27+'RESEARCH 2yr'!F27+'PUBLIC SERVICE 2yr'!F27+'ASptISptSSv 2yr'!F27+'PLANT OPER MAIN 2yr'!F27+'SCHOLAR FELLOW 2yr'!F27+'All Other 2yr'!F27)-F27</f>
        <v>0</v>
      </c>
      <c r="AK27" s="74">
        <f>('INSTRUCTION-2YR'!G27+'RESEARCH 2yr'!G27+'PUBLIC SERVICE 2yr'!G27+'ASptISptSSv 2yr'!G27+'PLANT OPER MAIN 2yr'!G27+'SCHOLAR FELLOW 2yr'!G27+'All Other 2yr'!G27)-G27</f>
        <v>0</v>
      </c>
      <c r="AL27" s="74">
        <f>('INSTRUCTION-2YR'!H27+'RESEARCH 2yr'!H27+'PUBLIC SERVICE 2yr'!H27+'ASptISptSSv 2yr'!H27+'PLANT OPER MAIN 2yr'!H27+'SCHOLAR FELLOW 2yr'!H27+'All Other 2yr'!H27)-H27</f>
        <v>0</v>
      </c>
      <c r="AM27" s="74">
        <f>('INSTRUCTION-2YR'!I27+'RESEARCH 2yr'!I27+'PUBLIC SERVICE 2yr'!I27+'ASptISptSSv 2yr'!I27+'PLANT OPER MAIN 2yr'!I27+'SCHOLAR FELLOW 2yr'!I27+'All Other 2yr'!I27)-I27</f>
        <v>0</v>
      </c>
      <c r="AN27" s="74">
        <f>('INSTRUCTION-2YR'!J27+'RESEARCH 2yr'!J27+'PUBLIC SERVICE 2yr'!J27+'ASptISptSSv 2yr'!J27+'PLANT OPER MAIN 2yr'!J27+'SCHOLAR FELLOW 2yr'!J27+'All Other 2yr'!J27)-J27</f>
        <v>0</v>
      </c>
      <c r="AO27" s="74">
        <f>('INSTRUCTION-2YR'!K27+'RESEARCH 2yr'!K27+'PUBLIC SERVICE 2yr'!K27+'ASptISptSSv 2yr'!K27+'PLANT OPER MAIN 2yr'!K27+'SCHOLAR FELLOW 2yr'!K27+'All Other 2yr'!K27)-K27</f>
        <v>0</v>
      </c>
      <c r="AP27" s="74">
        <f>('INSTRUCTION-2YR'!L27+'RESEARCH 2yr'!L27+'PUBLIC SERVICE 2yr'!L27+'ASptISptSSv 2yr'!L27+'PLANT OPER MAIN 2yr'!L27+'SCHOLAR FELLOW 2yr'!L27+'All Other 2yr'!L27)-L27</f>
        <v>0</v>
      </c>
      <c r="AQ27" s="74">
        <f>('INSTRUCTION-2YR'!M27+'RESEARCH 2yr'!M27+'PUBLIC SERVICE 2yr'!M27+'ASptISptSSv 2yr'!M27+'PLANT OPER MAIN 2yr'!M27+'SCHOLAR FELLOW 2yr'!M27+'All Other 2yr'!M27)-M27</f>
        <v>0</v>
      </c>
      <c r="AR27" s="74">
        <f>('INSTRUCTION-2YR'!N27+'RESEARCH 2yr'!N27+'PUBLIC SERVICE 2yr'!N27+'ASptISptSSv 2yr'!N27+'PLANT OPER MAIN 2yr'!N27+'SCHOLAR FELLOW 2yr'!N27+'All Other 2yr'!N27)-N27</f>
        <v>0</v>
      </c>
      <c r="AS27" s="74">
        <f>('INSTRUCTION-2YR'!O27+'RESEARCH 2yr'!O27+'PUBLIC SERVICE 2yr'!O27+'ASptISptSSv 2yr'!O27+'PLANT OPER MAIN 2yr'!O27+'SCHOLAR FELLOW 2yr'!O27+'All Other 2yr'!O27)-O27</f>
        <v>0</v>
      </c>
      <c r="AT27" s="74">
        <f>('INSTRUCTION-2YR'!P27+'RESEARCH 2yr'!P27+'PUBLIC SERVICE 2yr'!P27+'ASptISptSSv 2yr'!P27+'PLANT OPER MAIN 2yr'!P27+'SCHOLAR FELLOW 2yr'!P27+'All Other 2yr'!P27)-P27</f>
        <v>0</v>
      </c>
      <c r="AU27" s="74">
        <f>('INSTRUCTION-2YR'!Q27+'RESEARCH 2yr'!Q27+'PUBLIC SERVICE 2yr'!Q27+'ASptISptSSv 2yr'!Q27+'PLANT OPER MAIN 2yr'!Q27+'SCHOLAR FELLOW 2yr'!Q27+'All Other 2yr'!Q27)-Q27</f>
        <v>0</v>
      </c>
      <c r="AV27" s="74">
        <f>('INSTRUCTION-2YR'!R27+'RESEARCH 2yr'!R27+'PUBLIC SERVICE 2yr'!R27+'ASptISptSSv 2yr'!R27+'PLANT OPER MAIN 2yr'!R27+'SCHOLAR FELLOW 2yr'!R27+'All Other 2yr'!R27)-R27</f>
        <v>0</v>
      </c>
      <c r="AW27" s="74">
        <f>('INSTRUCTION-2YR'!S27+'RESEARCH 2yr'!S27+'PUBLIC SERVICE 2yr'!S27+'ASptISptSSv 2yr'!S27+'PLANT OPER MAIN 2yr'!S27+'SCHOLAR FELLOW 2yr'!S27+'All Other 2yr'!S27)-S27</f>
        <v>0</v>
      </c>
      <c r="AX27" s="74">
        <f>('INSTRUCTION-2YR'!T27+'RESEARCH 2yr'!T27+'PUBLIC SERVICE 2yr'!T27+'ASptISptSSv 2yr'!T27+'PLANT OPER MAIN 2yr'!T27+'SCHOLAR FELLOW 2yr'!T27+'All Other 2yr'!T27)-T27</f>
        <v>0</v>
      </c>
      <c r="AY27" s="74">
        <f>('INSTRUCTION-2YR'!U27+'RESEARCH 2yr'!U27+'PUBLIC SERVICE 2yr'!U27+'ASptISptSSv 2yr'!U27+'PLANT OPER MAIN 2yr'!U27+'SCHOLAR FELLOW 2yr'!U27+'All Other 2yr'!U27)-U27</f>
        <v>0</v>
      </c>
      <c r="AZ27" s="74">
        <f>('INSTRUCTION-2YR'!V27+'RESEARCH 2yr'!V27+'PUBLIC SERVICE 2yr'!V27+'ASptISptSSv 2yr'!V27+'PLANT OPER MAIN 2yr'!V27+'SCHOLAR FELLOW 2yr'!V27+'All Other 2yr'!V27)-V27</f>
        <v>0</v>
      </c>
      <c r="BA27" s="74">
        <f>('INSTRUCTION-2YR'!W27+'RESEARCH 2yr'!W27+'PUBLIC SERVICE 2yr'!W27+'ASptISptSSv 2yr'!W27+'PLANT OPER MAIN 2yr'!W27+'SCHOLAR FELLOW 2yr'!W27+'All Other 2yr'!W27)-W27</f>
        <v>0</v>
      </c>
      <c r="BB27" s="74">
        <f>('INSTRUCTION-2YR'!X27+'RESEARCH 2yr'!X27+'PUBLIC SERVICE 2yr'!X27+'ASptISptSSv 2yr'!X27+'PLANT OPER MAIN 2yr'!X27+'SCHOLAR FELLOW 2yr'!X27+'All Other 2yr'!X27)-X27</f>
        <v>0</v>
      </c>
      <c r="BC27" s="74">
        <f>('INSTRUCTION-2YR'!Y27+'RESEARCH 2yr'!Y27+'PUBLIC SERVICE 2yr'!Y27+'ASptISptSSv 2yr'!Y27+'PLANT OPER MAIN 2yr'!Y27+'SCHOLAR FELLOW 2yr'!Y27+'All Other 2yr'!Y27)-Y27</f>
        <v>0</v>
      </c>
      <c r="BD27" s="74">
        <f>('INSTRUCTION-2YR'!Z27+'RESEARCH 2yr'!Z27+'PUBLIC SERVICE 2yr'!Z27+'ASptISptSSv 2yr'!Z27+'PLANT OPER MAIN 2yr'!Z27+'SCHOLAR FELLOW 2yr'!Z27+'All Other 2yr'!Z27)-Z27</f>
        <v>0</v>
      </c>
      <c r="BE27" s="74">
        <f>('INSTRUCTION-2YR'!AA27+'RESEARCH 2yr'!AA27+'PUBLIC SERVICE 2yr'!AA27+'ASptISptSSv 2yr'!AA27+'PLANT OPER MAIN 2yr'!AA27+'SCHOLAR FELLOW 2yr'!AA27+'All Other 2yr'!AA27)-AA27</f>
        <v>0</v>
      </c>
      <c r="BF27" s="74">
        <f>('INSTRUCTION-2YR'!AB27+'RESEARCH 2yr'!AB27+'PUBLIC SERVICE 2yr'!AB27+'ASptISptSSv 2yr'!AB27+'PLANT OPER MAIN 2yr'!AB27+'SCHOLAR FELLOW 2yr'!AB27+'All Other 2yr'!AB27)-AB27</f>
        <v>0</v>
      </c>
      <c r="BG27" s="74">
        <f>('INSTRUCTION-2YR'!AC27+'RESEARCH 2yr'!AC27+'PUBLIC SERVICE 2yr'!AC27+'ASptISptSSv 2yr'!AC27+'PLANT OPER MAIN 2yr'!AC27+'SCHOLAR FELLOW 2yr'!AC27+'All Other 2yr'!AC27)-AC27</f>
        <v>0</v>
      </c>
      <c r="BH27" s="74">
        <f>('INSTRUCTION-2YR'!AD27+'RESEARCH 2yr'!AD27+'PUBLIC SERVICE 2yr'!AD27+'ASptISptSSv 2yr'!AD27+'PLANT OPER MAIN 2yr'!AD27+'SCHOLAR FELLOW 2yr'!AD27+'All Other 2yr'!AD27)-AD27</f>
        <v>0</v>
      </c>
      <c r="BI27" s="74">
        <f>('INSTRUCTION-2YR'!AE27+'RESEARCH 2yr'!AE27+'PUBLIC SERVICE 2yr'!AE27+'ASptISptSSv 2yr'!AE27+'PLANT OPER MAIN 2yr'!AE27+'SCHOLAR FELLOW 2yr'!AE27+'All Other 2yr'!AE27)-AE27</f>
        <v>0</v>
      </c>
    </row>
    <row r="28" spans="1:61">
      <c r="A28" s="1" t="s">
        <v>44</v>
      </c>
      <c r="F28" s="41">
        <v>363896.53600000002</v>
      </c>
      <c r="I28" s="1">
        <v>418336.59899999999</v>
      </c>
      <c r="K28" s="1">
        <v>524868.63231999998</v>
      </c>
      <c r="L28" s="1">
        <v>602974.10499999998</v>
      </c>
      <c r="M28" s="1">
        <v>650465.37300000002</v>
      </c>
      <c r="N28" s="1">
        <v>731775.14</v>
      </c>
      <c r="O28" s="1">
        <v>801538.41200000001</v>
      </c>
      <c r="P28" s="1">
        <v>859754.13199999998</v>
      </c>
      <c r="Q28" s="1">
        <v>908165.13100000005</v>
      </c>
      <c r="R28" s="1">
        <v>958325.13300000003</v>
      </c>
      <c r="S28" s="1">
        <v>1014550.073</v>
      </c>
      <c r="T28" s="1">
        <v>1052281.3089999999</v>
      </c>
      <c r="U28" s="1">
        <v>1126453.3999999999</v>
      </c>
      <c r="V28" s="1">
        <v>1284434.07</v>
      </c>
      <c r="W28" s="1">
        <v>1374123.2180000001</v>
      </c>
      <c r="X28" s="1">
        <v>1438062.4410000001</v>
      </c>
      <c r="Y28" s="1">
        <v>339019.51899999997</v>
      </c>
      <c r="Z28" s="1">
        <v>343497.94</v>
      </c>
      <c r="AA28" s="1">
        <v>342792.21</v>
      </c>
      <c r="AB28" s="1">
        <v>1402350.348</v>
      </c>
      <c r="AC28" s="1">
        <v>1349704.453</v>
      </c>
      <c r="AE28" s="1">
        <v>1381207.577</v>
      </c>
      <c r="AF28" s="74">
        <f>('INSTRUCTION-2YR'!B28+'RESEARCH 2yr'!B28+'PUBLIC SERVICE 2yr'!B28+'ASptISptSSv 2yr'!B28+'PLANT OPER MAIN 2yr'!B28+'SCHOLAR FELLOW 2yr'!B28+'All Other 2yr'!B28)-B28</f>
        <v>0</v>
      </c>
      <c r="AG28" s="74">
        <f>('INSTRUCTION-2YR'!C28+'RESEARCH 2yr'!C28+'PUBLIC SERVICE 2yr'!C28+'ASptISptSSv 2yr'!C28+'PLANT OPER MAIN 2yr'!C28+'SCHOLAR FELLOW 2yr'!C28+'All Other 2yr'!C28)-C28</f>
        <v>0</v>
      </c>
      <c r="AH28" s="74">
        <f>('INSTRUCTION-2YR'!D28+'RESEARCH 2yr'!D28+'PUBLIC SERVICE 2yr'!D28+'ASptISptSSv 2yr'!D28+'PLANT OPER MAIN 2yr'!D28+'SCHOLAR FELLOW 2yr'!D28+'All Other 2yr'!D28)-D28</f>
        <v>0</v>
      </c>
      <c r="AI28" s="74">
        <f>('INSTRUCTION-2YR'!E28+'RESEARCH 2yr'!E28+'PUBLIC SERVICE 2yr'!E28+'ASptISptSSv 2yr'!E28+'PLANT OPER MAIN 2yr'!E28+'SCHOLAR FELLOW 2yr'!E28+'All Other 2yr'!E28)-E28</f>
        <v>0</v>
      </c>
      <c r="AJ28" s="74">
        <f>('INSTRUCTION-2YR'!F28+'RESEARCH 2yr'!F28+'PUBLIC SERVICE 2yr'!F28+'ASptISptSSv 2yr'!F28+'PLANT OPER MAIN 2yr'!F28+'SCHOLAR FELLOW 2yr'!F28+'All Other 2yr'!F28)-F28</f>
        <v>0</v>
      </c>
      <c r="AK28" s="74">
        <f>('INSTRUCTION-2YR'!G28+'RESEARCH 2yr'!G28+'PUBLIC SERVICE 2yr'!G28+'ASptISptSSv 2yr'!G28+'PLANT OPER MAIN 2yr'!G28+'SCHOLAR FELLOW 2yr'!G28+'All Other 2yr'!G28)-G28</f>
        <v>0</v>
      </c>
      <c r="AL28" s="74">
        <f>('INSTRUCTION-2YR'!H28+'RESEARCH 2yr'!H28+'PUBLIC SERVICE 2yr'!H28+'ASptISptSSv 2yr'!H28+'PLANT OPER MAIN 2yr'!H28+'SCHOLAR FELLOW 2yr'!H28+'All Other 2yr'!H28)-H28</f>
        <v>0</v>
      </c>
      <c r="AM28" s="74">
        <f>('INSTRUCTION-2YR'!I28+'RESEARCH 2yr'!I28+'PUBLIC SERVICE 2yr'!I28+'ASptISptSSv 2yr'!I28+'PLANT OPER MAIN 2yr'!I28+'SCHOLAR FELLOW 2yr'!I28+'All Other 2yr'!I28)-I28</f>
        <v>0</v>
      </c>
      <c r="AN28" s="74">
        <f>('INSTRUCTION-2YR'!J28+'RESEARCH 2yr'!J28+'PUBLIC SERVICE 2yr'!J28+'ASptISptSSv 2yr'!J28+'PLANT OPER MAIN 2yr'!J28+'SCHOLAR FELLOW 2yr'!J28+'All Other 2yr'!J28)-J28</f>
        <v>0</v>
      </c>
      <c r="AO28" s="74">
        <f>('INSTRUCTION-2YR'!K28+'RESEARCH 2yr'!K28+'PUBLIC SERVICE 2yr'!K28+'ASptISptSSv 2yr'!K28+'PLANT OPER MAIN 2yr'!K28+'SCHOLAR FELLOW 2yr'!K28+'All Other 2yr'!K28)-K28</f>
        <v>0</v>
      </c>
      <c r="AP28" s="74">
        <f>('INSTRUCTION-2YR'!L28+'RESEARCH 2yr'!L28+'PUBLIC SERVICE 2yr'!L28+'ASptISptSSv 2yr'!L28+'PLANT OPER MAIN 2yr'!L28+'SCHOLAR FELLOW 2yr'!L28+'All Other 2yr'!L28)-L28</f>
        <v>0</v>
      </c>
      <c r="AQ28" s="74">
        <f>('INSTRUCTION-2YR'!M28+'RESEARCH 2yr'!M28+'PUBLIC SERVICE 2yr'!M28+'ASptISptSSv 2yr'!M28+'PLANT OPER MAIN 2yr'!M28+'SCHOLAR FELLOW 2yr'!M28+'All Other 2yr'!M28)-M28</f>
        <v>0</v>
      </c>
      <c r="AR28" s="74">
        <f>('INSTRUCTION-2YR'!N28+'RESEARCH 2yr'!N28+'PUBLIC SERVICE 2yr'!N28+'ASptISptSSv 2yr'!N28+'PLANT OPER MAIN 2yr'!N28+'SCHOLAR FELLOW 2yr'!N28+'All Other 2yr'!N28)-N28</f>
        <v>0</v>
      </c>
      <c r="AS28" s="74">
        <f>('INSTRUCTION-2YR'!O28+'RESEARCH 2yr'!O28+'PUBLIC SERVICE 2yr'!O28+'ASptISptSSv 2yr'!O28+'PLANT OPER MAIN 2yr'!O28+'SCHOLAR FELLOW 2yr'!O28+'All Other 2yr'!O28)-O28</f>
        <v>0</v>
      </c>
      <c r="AT28" s="74">
        <f>('INSTRUCTION-2YR'!P28+'RESEARCH 2yr'!P28+'PUBLIC SERVICE 2yr'!P28+'ASptISptSSv 2yr'!P28+'PLANT OPER MAIN 2yr'!P28+'SCHOLAR FELLOW 2yr'!P28+'All Other 2yr'!P28)-P28</f>
        <v>0</v>
      </c>
      <c r="AU28" s="74">
        <f>('INSTRUCTION-2YR'!Q28+'RESEARCH 2yr'!Q28+'PUBLIC SERVICE 2yr'!Q28+'ASptISptSSv 2yr'!Q28+'PLANT OPER MAIN 2yr'!Q28+'SCHOLAR FELLOW 2yr'!Q28+'All Other 2yr'!Q28)-Q28</f>
        <v>0</v>
      </c>
      <c r="AV28" s="74">
        <f>('INSTRUCTION-2YR'!R28+'RESEARCH 2yr'!R28+'PUBLIC SERVICE 2yr'!R28+'ASptISptSSv 2yr'!R28+'PLANT OPER MAIN 2yr'!R28+'SCHOLAR FELLOW 2yr'!R28+'All Other 2yr'!R28)-R28</f>
        <v>0</v>
      </c>
      <c r="AW28" s="74">
        <f>('INSTRUCTION-2YR'!S28+'RESEARCH 2yr'!S28+'PUBLIC SERVICE 2yr'!S28+'ASptISptSSv 2yr'!S28+'PLANT OPER MAIN 2yr'!S28+'SCHOLAR FELLOW 2yr'!S28+'All Other 2yr'!S28)-S28</f>
        <v>0</v>
      </c>
      <c r="AX28" s="74">
        <f>('INSTRUCTION-2YR'!T28+'RESEARCH 2yr'!T28+'PUBLIC SERVICE 2yr'!T28+'ASptISptSSv 2yr'!T28+'PLANT OPER MAIN 2yr'!T28+'SCHOLAR FELLOW 2yr'!T28+'All Other 2yr'!T28)-T28</f>
        <v>0</v>
      </c>
      <c r="AY28" s="74">
        <f>('INSTRUCTION-2YR'!U28+'RESEARCH 2yr'!U28+'PUBLIC SERVICE 2yr'!U28+'ASptISptSSv 2yr'!U28+'PLANT OPER MAIN 2yr'!U28+'SCHOLAR FELLOW 2yr'!U28+'All Other 2yr'!U28)-U28</f>
        <v>0</v>
      </c>
      <c r="AZ28" s="74">
        <f>('INSTRUCTION-2YR'!V28+'RESEARCH 2yr'!V28+'PUBLIC SERVICE 2yr'!V28+'ASptISptSSv 2yr'!V28+'PLANT OPER MAIN 2yr'!V28+'SCHOLAR FELLOW 2yr'!V28+'All Other 2yr'!V28)-V28</f>
        <v>0</v>
      </c>
      <c r="BA28" s="74">
        <f>('INSTRUCTION-2YR'!W28+'RESEARCH 2yr'!W28+'PUBLIC SERVICE 2yr'!W28+'ASptISptSSv 2yr'!W28+'PLANT OPER MAIN 2yr'!W28+'SCHOLAR FELLOW 2yr'!W28+'All Other 2yr'!W28)-W28</f>
        <v>0</v>
      </c>
      <c r="BB28" s="74">
        <f>('INSTRUCTION-2YR'!X28+'RESEARCH 2yr'!X28+'PUBLIC SERVICE 2yr'!X28+'ASptISptSSv 2yr'!X28+'PLANT OPER MAIN 2yr'!X28+'SCHOLAR FELLOW 2yr'!X28+'All Other 2yr'!X28)-X28</f>
        <v>0</v>
      </c>
      <c r="BC28" s="74">
        <f>('INSTRUCTION-2YR'!Y28+'RESEARCH 2yr'!Y28+'PUBLIC SERVICE 2yr'!Y28+'ASptISptSSv 2yr'!Y28+'PLANT OPER MAIN 2yr'!Y28+'SCHOLAR FELLOW 2yr'!Y28+'All Other 2yr'!Y28)-Y28</f>
        <v>0</v>
      </c>
      <c r="BD28" s="74">
        <f>('INSTRUCTION-2YR'!Z28+'RESEARCH 2yr'!Z28+'PUBLIC SERVICE 2yr'!Z28+'ASptISptSSv 2yr'!Z28+'PLANT OPER MAIN 2yr'!Z28+'SCHOLAR FELLOW 2yr'!Z28+'All Other 2yr'!Z28)-Z28</f>
        <v>0</v>
      </c>
      <c r="BE28" s="74">
        <f>('INSTRUCTION-2YR'!AA28+'RESEARCH 2yr'!AA28+'PUBLIC SERVICE 2yr'!AA28+'ASptISptSSv 2yr'!AA28+'PLANT OPER MAIN 2yr'!AA28+'SCHOLAR FELLOW 2yr'!AA28+'All Other 2yr'!AA28)-AA28</f>
        <v>0</v>
      </c>
      <c r="BF28" s="74">
        <f>('INSTRUCTION-2YR'!AB28+'RESEARCH 2yr'!AB28+'PUBLIC SERVICE 2yr'!AB28+'ASptISptSSv 2yr'!AB28+'PLANT OPER MAIN 2yr'!AB28+'SCHOLAR FELLOW 2yr'!AB28+'All Other 2yr'!AB28)-AB28</f>
        <v>0</v>
      </c>
      <c r="BG28" s="74">
        <f>('INSTRUCTION-2YR'!AC28+'RESEARCH 2yr'!AC28+'PUBLIC SERVICE 2yr'!AC28+'ASptISptSSv 2yr'!AC28+'PLANT OPER MAIN 2yr'!AC28+'SCHOLAR FELLOW 2yr'!AC28+'All Other 2yr'!AC28)-AC28</f>
        <v>0</v>
      </c>
      <c r="BH28" s="74">
        <f>('INSTRUCTION-2YR'!AD28+'RESEARCH 2yr'!AD28+'PUBLIC SERVICE 2yr'!AD28+'ASptISptSSv 2yr'!AD28+'PLANT OPER MAIN 2yr'!AD28+'SCHOLAR FELLOW 2yr'!AD28+'All Other 2yr'!AD28)-AD28</f>
        <v>0</v>
      </c>
      <c r="BI28" s="74">
        <f>('INSTRUCTION-2YR'!AE28+'RESEARCH 2yr'!AE28+'PUBLIC SERVICE 2yr'!AE28+'ASptISptSSv 2yr'!AE28+'PLANT OPER MAIN 2yr'!AE28+'SCHOLAR FELLOW 2yr'!AE28+'All Other 2yr'!AE28)-AE28</f>
        <v>0</v>
      </c>
    </row>
    <row r="29" spans="1:61">
      <c r="A29" s="1" t="s">
        <v>45</v>
      </c>
      <c r="F29" s="41">
        <v>3054566.8220000002</v>
      </c>
      <c r="I29" s="1">
        <v>3269711.0070000002</v>
      </c>
      <c r="K29" s="1">
        <v>4248387.3127700007</v>
      </c>
      <c r="L29" s="1">
        <v>3802965.6030000001</v>
      </c>
      <c r="M29" s="1">
        <v>4146852.7420000001</v>
      </c>
      <c r="N29" s="1">
        <v>4515988.5389999999</v>
      </c>
      <c r="O29" s="1">
        <v>4627004.415</v>
      </c>
      <c r="P29" s="1">
        <v>4674531.9060000004</v>
      </c>
      <c r="Q29" s="1">
        <v>6752603.5990000004</v>
      </c>
      <c r="R29" s="1">
        <v>7204829.5930000003</v>
      </c>
      <c r="S29" s="1">
        <v>7949626.4699999997</v>
      </c>
      <c r="T29" s="1">
        <v>8709183.4969999995</v>
      </c>
      <c r="U29" s="1">
        <v>9199154.6109999996</v>
      </c>
      <c r="V29" s="1">
        <v>9517428.9389999993</v>
      </c>
      <c r="W29" s="1">
        <v>10607184.348999999</v>
      </c>
      <c r="X29" s="1">
        <v>10435664.01</v>
      </c>
      <c r="Y29" s="1">
        <v>7625430.4890000001</v>
      </c>
      <c r="Z29" s="1">
        <v>7982002.3669999996</v>
      </c>
      <c r="AA29" s="1">
        <v>8459857.1960000005</v>
      </c>
      <c r="AB29" s="1">
        <v>11951774.431</v>
      </c>
      <c r="AC29" s="1">
        <v>12666077.307</v>
      </c>
      <c r="AE29" s="1">
        <v>14627323.17</v>
      </c>
      <c r="AF29" s="74">
        <f>('INSTRUCTION-2YR'!B29+'RESEARCH 2yr'!B29+'PUBLIC SERVICE 2yr'!B29+'ASptISptSSv 2yr'!B29+'PLANT OPER MAIN 2yr'!B29+'SCHOLAR FELLOW 2yr'!B29+'All Other 2yr'!B29)-B29</f>
        <v>0</v>
      </c>
      <c r="AG29" s="74">
        <f>('INSTRUCTION-2YR'!C29+'RESEARCH 2yr'!C29+'PUBLIC SERVICE 2yr'!C29+'ASptISptSSv 2yr'!C29+'PLANT OPER MAIN 2yr'!C29+'SCHOLAR FELLOW 2yr'!C29+'All Other 2yr'!C29)-C29</f>
        <v>0</v>
      </c>
      <c r="AH29" s="74">
        <f>('INSTRUCTION-2YR'!D29+'RESEARCH 2yr'!D29+'PUBLIC SERVICE 2yr'!D29+'ASptISptSSv 2yr'!D29+'PLANT OPER MAIN 2yr'!D29+'SCHOLAR FELLOW 2yr'!D29+'All Other 2yr'!D29)-D29</f>
        <v>0</v>
      </c>
      <c r="AI29" s="74">
        <f>('INSTRUCTION-2YR'!E29+'RESEARCH 2yr'!E29+'PUBLIC SERVICE 2yr'!E29+'ASptISptSSv 2yr'!E29+'PLANT OPER MAIN 2yr'!E29+'SCHOLAR FELLOW 2yr'!E29+'All Other 2yr'!E29)-E29</f>
        <v>0</v>
      </c>
      <c r="AJ29" s="74">
        <f>('INSTRUCTION-2YR'!F29+'RESEARCH 2yr'!F29+'PUBLIC SERVICE 2yr'!F29+'ASptISptSSv 2yr'!F29+'PLANT OPER MAIN 2yr'!F29+'SCHOLAR FELLOW 2yr'!F29+'All Other 2yr'!F29)-F29</f>
        <v>0</v>
      </c>
      <c r="AK29" s="74">
        <f>('INSTRUCTION-2YR'!G29+'RESEARCH 2yr'!G29+'PUBLIC SERVICE 2yr'!G29+'ASptISptSSv 2yr'!G29+'PLANT OPER MAIN 2yr'!G29+'SCHOLAR FELLOW 2yr'!G29+'All Other 2yr'!G29)-G29</f>
        <v>0</v>
      </c>
      <c r="AL29" s="74">
        <f>('INSTRUCTION-2YR'!H29+'RESEARCH 2yr'!H29+'PUBLIC SERVICE 2yr'!H29+'ASptISptSSv 2yr'!H29+'PLANT OPER MAIN 2yr'!H29+'SCHOLAR FELLOW 2yr'!H29+'All Other 2yr'!H29)-H29</f>
        <v>0</v>
      </c>
      <c r="AM29" s="74">
        <f>('INSTRUCTION-2YR'!I29+'RESEARCH 2yr'!I29+'PUBLIC SERVICE 2yr'!I29+'ASptISptSSv 2yr'!I29+'PLANT OPER MAIN 2yr'!I29+'SCHOLAR FELLOW 2yr'!I29+'All Other 2yr'!I29)-I29</f>
        <v>0</v>
      </c>
      <c r="AN29" s="74">
        <f>('INSTRUCTION-2YR'!J29+'RESEARCH 2yr'!J29+'PUBLIC SERVICE 2yr'!J29+'ASptISptSSv 2yr'!J29+'PLANT OPER MAIN 2yr'!J29+'SCHOLAR FELLOW 2yr'!J29+'All Other 2yr'!J29)-J29</f>
        <v>0</v>
      </c>
      <c r="AO29" s="74">
        <f>('INSTRUCTION-2YR'!K29+'RESEARCH 2yr'!K29+'PUBLIC SERVICE 2yr'!K29+'ASptISptSSv 2yr'!K29+'PLANT OPER MAIN 2yr'!K29+'SCHOLAR FELLOW 2yr'!K29+'All Other 2yr'!K29)-K29</f>
        <v>0</v>
      </c>
      <c r="AP29" s="74">
        <f>('INSTRUCTION-2YR'!L29+'RESEARCH 2yr'!L29+'PUBLIC SERVICE 2yr'!L29+'ASptISptSSv 2yr'!L29+'PLANT OPER MAIN 2yr'!L29+'SCHOLAR FELLOW 2yr'!L29+'All Other 2yr'!L29)-L29</f>
        <v>0</v>
      </c>
      <c r="AQ29" s="74">
        <f>('INSTRUCTION-2YR'!M29+'RESEARCH 2yr'!M29+'PUBLIC SERVICE 2yr'!M29+'ASptISptSSv 2yr'!M29+'PLANT OPER MAIN 2yr'!M29+'SCHOLAR FELLOW 2yr'!M29+'All Other 2yr'!M29)-M29</f>
        <v>0</v>
      </c>
      <c r="AR29" s="74">
        <f>('INSTRUCTION-2YR'!N29+'RESEARCH 2yr'!N29+'PUBLIC SERVICE 2yr'!N29+'ASptISptSSv 2yr'!N29+'PLANT OPER MAIN 2yr'!N29+'SCHOLAR FELLOW 2yr'!N29+'All Other 2yr'!N29)-N29</f>
        <v>0</v>
      </c>
      <c r="AS29" s="74">
        <f>('INSTRUCTION-2YR'!O29+'RESEARCH 2yr'!O29+'PUBLIC SERVICE 2yr'!O29+'ASptISptSSv 2yr'!O29+'PLANT OPER MAIN 2yr'!O29+'SCHOLAR FELLOW 2yr'!O29+'All Other 2yr'!O29)-O29</f>
        <v>0</v>
      </c>
      <c r="AT29" s="74">
        <f>('INSTRUCTION-2YR'!P29+'RESEARCH 2yr'!P29+'PUBLIC SERVICE 2yr'!P29+'ASptISptSSv 2yr'!P29+'PLANT OPER MAIN 2yr'!P29+'SCHOLAR FELLOW 2yr'!P29+'All Other 2yr'!P29)-P29</f>
        <v>0</v>
      </c>
      <c r="AU29" s="74">
        <f>('INSTRUCTION-2YR'!Q29+'RESEARCH 2yr'!Q29+'PUBLIC SERVICE 2yr'!Q29+'ASptISptSSv 2yr'!Q29+'PLANT OPER MAIN 2yr'!Q29+'SCHOLAR FELLOW 2yr'!Q29+'All Other 2yr'!Q29)-Q29</f>
        <v>0</v>
      </c>
      <c r="AV29" s="74">
        <f>('INSTRUCTION-2YR'!R29+'RESEARCH 2yr'!R29+'PUBLIC SERVICE 2yr'!R29+'ASptISptSSv 2yr'!R29+'PLANT OPER MAIN 2yr'!R29+'SCHOLAR FELLOW 2yr'!R29+'All Other 2yr'!R29)-R29</f>
        <v>0</v>
      </c>
      <c r="AW29" s="74">
        <f>('INSTRUCTION-2YR'!S29+'RESEARCH 2yr'!S29+'PUBLIC SERVICE 2yr'!S29+'ASptISptSSv 2yr'!S29+'PLANT OPER MAIN 2yr'!S29+'SCHOLAR FELLOW 2yr'!S29+'All Other 2yr'!S29)-S29</f>
        <v>0</v>
      </c>
      <c r="AX29" s="74">
        <f>('INSTRUCTION-2YR'!T29+'RESEARCH 2yr'!T29+'PUBLIC SERVICE 2yr'!T29+'ASptISptSSv 2yr'!T29+'PLANT OPER MAIN 2yr'!T29+'SCHOLAR FELLOW 2yr'!T29+'All Other 2yr'!T29)-T29</f>
        <v>0</v>
      </c>
      <c r="AY29" s="74">
        <f>('INSTRUCTION-2YR'!U29+'RESEARCH 2yr'!U29+'PUBLIC SERVICE 2yr'!U29+'ASptISptSSv 2yr'!U29+'PLANT OPER MAIN 2yr'!U29+'SCHOLAR FELLOW 2yr'!U29+'All Other 2yr'!U29)-U29</f>
        <v>0</v>
      </c>
      <c r="AZ29" s="74">
        <f>('INSTRUCTION-2YR'!V29+'RESEARCH 2yr'!V29+'PUBLIC SERVICE 2yr'!V29+'ASptISptSSv 2yr'!V29+'PLANT OPER MAIN 2yr'!V29+'SCHOLAR FELLOW 2yr'!V29+'All Other 2yr'!V29)-V29</f>
        <v>0</v>
      </c>
      <c r="BA29" s="74">
        <f>('INSTRUCTION-2YR'!W29+'RESEARCH 2yr'!W29+'PUBLIC SERVICE 2yr'!W29+'ASptISptSSv 2yr'!W29+'PLANT OPER MAIN 2yr'!W29+'SCHOLAR FELLOW 2yr'!W29+'All Other 2yr'!W29)-W29</f>
        <v>0</v>
      </c>
      <c r="BB29" s="74">
        <f>('INSTRUCTION-2YR'!X29+'RESEARCH 2yr'!X29+'PUBLIC SERVICE 2yr'!X29+'ASptISptSSv 2yr'!X29+'PLANT OPER MAIN 2yr'!X29+'SCHOLAR FELLOW 2yr'!X29+'All Other 2yr'!X29)-X29</f>
        <v>0</v>
      </c>
      <c r="BC29" s="74">
        <f>('INSTRUCTION-2YR'!Y29+'RESEARCH 2yr'!Y29+'PUBLIC SERVICE 2yr'!Y29+'ASptISptSSv 2yr'!Y29+'PLANT OPER MAIN 2yr'!Y29+'SCHOLAR FELLOW 2yr'!Y29+'All Other 2yr'!Y29)-Y29</f>
        <v>0</v>
      </c>
      <c r="BD29" s="74">
        <f>('INSTRUCTION-2YR'!Z29+'RESEARCH 2yr'!Z29+'PUBLIC SERVICE 2yr'!Z29+'ASptISptSSv 2yr'!Z29+'PLANT OPER MAIN 2yr'!Z29+'SCHOLAR FELLOW 2yr'!Z29+'All Other 2yr'!Z29)-Z29</f>
        <v>0</v>
      </c>
      <c r="BE29" s="74">
        <f>('INSTRUCTION-2YR'!AA29+'RESEARCH 2yr'!AA29+'PUBLIC SERVICE 2yr'!AA29+'ASptISptSSv 2yr'!AA29+'PLANT OPER MAIN 2yr'!AA29+'SCHOLAR FELLOW 2yr'!AA29+'All Other 2yr'!AA29)-AA29</f>
        <v>0</v>
      </c>
      <c r="BF29" s="74">
        <f>('INSTRUCTION-2YR'!AB29+'RESEARCH 2yr'!AB29+'PUBLIC SERVICE 2yr'!AB29+'ASptISptSSv 2yr'!AB29+'PLANT OPER MAIN 2yr'!AB29+'SCHOLAR FELLOW 2yr'!AB29+'All Other 2yr'!AB29)-AB29</f>
        <v>26869.950999999419</v>
      </c>
      <c r="BG29" s="74">
        <f>('INSTRUCTION-2YR'!AC29+'RESEARCH 2yr'!AC29+'PUBLIC SERVICE 2yr'!AC29+'ASptISptSSv 2yr'!AC29+'PLANT OPER MAIN 2yr'!AC29+'SCHOLAR FELLOW 2yr'!AC29+'All Other 2yr'!AC29)-AC29</f>
        <v>0</v>
      </c>
      <c r="BH29" s="74">
        <f>('INSTRUCTION-2YR'!AD29+'RESEARCH 2yr'!AD29+'PUBLIC SERVICE 2yr'!AD29+'ASptISptSSv 2yr'!AD29+'PLANT OPER MAIN 2yr'!AD29+'SCHOLAR FELLOW 2yr'!AD29+'All Other 2yr'!AD29)-AD29</f>
        <v>0</v>
      </c>
      <c r="BI29" s="74">
        <f>('INSTRUCTION-2YR'!AE29+'RESEARCH 2yr'!AE29+'PUBLIC SERVICE 2yr'!AE29+'ASptISptSSv 2yr'!AE29+'PLANT OPER MAIN 2yr'!AE29+'SCHOLAR FELLOW 2yr'!AE29+'All Other 2yr'!AE29)-AE29</f>
        <v>0</v>
      </c>
    </row>
    <row r="30" spans="1:61">
      <c r="A30" s="1" t="s">
        <v>46</v>
      </c>
      <c r="F30" s="41">
        <v>212171.04699999999</v>
      </c>
      <c r="I30" s="1">
        <v>263157.62800000003</v>
      </c>
      <c r="K30" s="1">
        <v>300145.93400000001</v>
      </c>
      <c r="L30" s="1">
        <v>338417.24099999998</v>
      </c>
      <c r="M30" s="1">
        <v>357240.88500000001</v>
      </c>
      <c r="N30" s="1">
        <v>419695.054</v>
      </c>
      <c r="O30" s="1">
        <v>425157.071</v>
      </c>
      <c r="P30" s="1">
        <v>415164.989</v>
      </c>
      <c r="Q30" s="1">
        <v>430039.35200000001</v>
      </c>
      <c r="R30" s="1">
        <v>457211.94900000002</v>
      </c>
      <c r="S30" s="1">
        <v>465487.761</v>
      </c>
      <c r="T30" s="1">
        <v>497707.60600000003</v>
      </c>
      <c r="U30" s="1">
        <v>538257.85199999996</v>
      </c>
      <c r="V30" s="1">
        <v>619674.24600000004</v>
      </c>
      <c r="W30" s="1">
        <v>695458.22199999995</v>
      </c>
      <c r="X30" s="1">
        <v>729647.83299999998</v>
      </c>
      <c r="Y30" s="1">
        <v>340608.005</v>
      </c>
      <c r="Z30" s="1">
        <v>333171.27600000001</v>
      </c>
      <c r="AA30" s="1">
        <v>356754.44199999998</v>
      </c>
      <c r="AB30" s="1">
        <v>738637.38300000003</v>
      </c>
      <c r="AC30" s="1">
        <v>770675.973</v>
      </c>
      <c r="AE30" s="1">
        <v>776239.91</v>
      </c>
      <c r="AF30" s="74">
        <f>('INSTRUCTION-2YR'!B30+'RESEARCH 2yr'!B30+'PUBLIC SERVICE 2yr'!B30+'ASptISptSSv 2yr'!B30+'PLANT OPER MAIN 2yr'!B30+'SCHOLAR FELLOW 2yr'!B30+'All Other 2yr'!B30)-B30</f>
        <v>0</v>
      </c>
      <c r="AG30" s="74">
        <f>('INSTRUCTION-2YR'!C30+'RESEARCH 2yr'!C30+'PUBLIC SERVICE 2yr'!C30+'ASptISptSSv 2yr'!C30+'PLANT OPER MAIN 2yr'!C30+'SCHOLAR FELLOW 2yr'!C30+'All Other 2yr'!C30)-C30</f>
        <v>0</v>
      </c>
      <c r="AH30" s="74">
        <f>('INSTRUCTION-2YR'!D30+'RESEARCH 2yr'!D30+'PUBLIC SERVICE 2yr'!D30+'ASptISptSSv 2yr'!D30+'PLANT OPER MAIN 2yr'!D30+'SCHOLAR FELLOW 2yr'!D30+'All Other 2yr'!D30)-D30</f>
        <v>0</v>
      </c>
      <c r="AI30" s="74">
        <f>('INSTRUCTION-2YR'!E30+'RESEARCH 2yr'!E30+'PUBLIC SERVICE 2yr'!E30+'ASptISptSSv 2yr'!E30+'PLANT OPER MAIN 2yr'!E30+'SCHOLAR FELLOW 2yr'!E30+'All Other 2yr'!E30)-E30</f>
        <v>0</v>
      </c>
      <c r="AJ30" s="74">
        <f>('INSTRUCTION-2YR'!F30+'RESEARCH 2yr'!F30+'PUBLIC SERVICE 2yr'!F30+'ASptISptSSv 2yr'!F30+'PLANT OPER MAIN 2yr'!F30+'SCHOLAR FELLOW 2yr'!F30+'All Other 2yr'!F30)-F30</f>
        <v>0</v>
      </c>
      <c r="AK30" s="74">
        <f>('INSTRUCTION-2YR'!G30+'RESEARCH 2yr'!G30+'PUBLIC SERVICE 2yr'!G30+'ASptISptSSv 2yr'!G30+'PLANT OPER MAIN 2yr'!G30+'SCHOLAR FELLOW 2yr'!G30+'All Other 2yr'!G30)-G30</f>
        <v>0</v>
      </c>
      <c r="AL30" s="74">
        <f>('INSTRUCTION-2YR'!H30+'RESEARCH 2yr'!H30+'PUBLIC SERVICE 2yr'!H30+'ASptISptSSv 2yr'!H30+'PLANT OPER MAIN 2yr'!H30+'SCHOLAR FELLOW 2yr'!H30+'All Other 2yr'!H30)-H30</f>
        <v>0</v>
      </c>
      <c r="AM30" s="74">
        <f>('INSTRUCTION-2YR'!I30+'RESEARCH 2yr'!I30+'PUBLIC SERVICE 2yr'!I30+'ASptISptSSv 2yr'!I30+'PLANT OPER MAIN 2yr'!I30+'SCHOLAR FELLOW 2yr'!I30+'All Other 2yr'!I30)-I30</f>
        <v>0</v>
      </c>
      <c r="AN30" s="74">
        <f>('INSTRUCTION-2YR'!J30+'RESEARCH 2yr'!J30+'PUBLIC SERVICE 2yr'!J30+'ASptISptSSv 2yr'!J30+'PLANT OPER MAIN 2yr'!J30+'SCHOLAR FELLOW 2yr'!J30+'All Other 2yr'!J30)-J30</f>
        <v>0</v>
      </c>
      <c r="AO30" s="74">
        <f>('INSTRUCTION-2YR'!K30+'RESEARCH 2yr'!K30+'PUBLIC SERVICE 2yr'!K30+'ASptISptSSv 2yr'!K30+'PLANT OPER MAIN 2yr'!K30+'SCHOLAR FELLOW 2yr'!K30+'All Other 2yr'!K30)-K30</f>
        <v>0</v>
      </c>
      <c r="AP30" s="74">
        <f>('INSTRUCTION-2YR'!L30+'RESEARCH 2yr'!L30+'PUBLIC SERVICE 2yr'!L30+'ASptISptSSv 2yr'!L30+'PLANT OPER MAIN 2yr'!L30+'SCHOLAR FELLOW 2yr'!L30+'All Other 2yr'!L30)-L30</f>
        <v>0</v>
      </c>
      <c r="AQ30" s="74">
        <f>('INSTRUCTION-2YR'!M30+'RESEARCH 2yr'!M30+'PUBLIC SERVICE 2yr'!M30+'ASptISptSSv 2yr'!M30+'PLANT OPER MAIN 2yr'!M30+'SCHOLAR FELLOW 2yr'!M30+'All Other 2yr'!M30)-M30</f>
        <v>0</v>
      </c>
      <c r="AR30" s="74">
        <f>('INSTRUCTION-2YR'!N30+'RESEARCH 2yr'!N30+'PUBLIC SERVICE 2yr'!N30+'ASptISptSSv 2yr'!N30+'PLANT OPER MAIN 2yr'!N30+'SCHOLAR FELLOW 2yr'!N30+'All Other 2yr'!N30)-N30</f>
        <v>0</v>
      </c>
      <c r="AS30" s="74">
        <f>('INSTRUCTION-2YR'!O30+'RESEARCH 2yr'!O30+'PUBLIC SERVICE 2yr'!O30+'ASptISptSSv 2yr'!O30+'PLANT OPER MAIN 2yr'!O30+'SCHOLAR FELLOW 2yr'!O30+'All Other 2yr'!O30)-O30</f>
        <v>0</v>
      </c>
      <c r="AT30" s="74">
        <f>('INSTRUCTION-2YR'!P30+'RESEARCH 2yr'!P30+'PUBLIC SERVICE 2yr'!P30+'ASptISptSSv 2yr'!P30+'PLANT OPER MAIN 2yr'!P30+'SCHOLAR FELLOW 2yr'!P30+'All Other 2yr'!P30)-P30</f>
        <v>0</v>
      </c>
      <c r="AU30" s="74">
        <f>('INSTRUCTION-2YR'!Q30+'RESEARCH 2yr'!Q30+'PUBLIC SERVICE 2yr'!Q30+'ASptISptSSv 2yr'!Q30+'PLANT OPER MAIN 2yr'!Q30+'SCHOLAR FELLOW 2yr'!Q30+'All Other 2yr'!Q30)-Q30</f>
        <v>0</v>
      </c>
      <c r="AV30" s="74">
        <f>('INSTRUCTION-2YR'!R30+'RESEARCH 2yr'!R30+'PUBLIC SERVICE 2yr'!R30+'ASptISptSSv 2yr'!R30+'PLANT OPER MAIN 2yr'!R30+'SCHOLAR FELLOW 2yr'!R30+'All Other 2yr'!R30)-R30</f>
        <v>0</v>
      </c>
      <c r="AW30" s="74">
        <f>('INSTRUCTION-2YR'!S30+'RESEARCH 2yr'!S30+'PUBLIC SERVICE 2yr'!S30+'ASptISptSSv 2yr'!S30+'PLANT OPER MAIN 2yr'!S30+'SCHOLAR FELLOW 2yr'!S30+'All Other 2yr'!S30)-S30</f>
        <v>0</v>
      </c>
      <c r="AX30" s="74">
        <f>('INSTRUCTION-2YR'!T30+'RESEARCH 2yr'!T30+'PUBLIC SERVICE 2yr'!T30+'ASptISptSSv 2yr'!T30+'PLANT OPER MAIN 2yr'!T30+'SCHOLAR FELLOW 2yr'!T30+'All Other 2yr'!T30)-T30</f>
        <v>0</v>
      </c>
      <c r="AY30" s="74">
        <f>('INSTRUCTION-2YR'!U30+'RESEARCH 2yr'!U30+'PUBLIC SERVICE 2yr'!U30+'ASptISptSSv 2yr'!U30+'PLANT OPER MAIN 2yr'!U30+'SCHOLAR FELLOW 2yr'!U30+'All Other 2yr'!U30)-U30</f>
        <v>0</v>
      </c>
      <c r="AZ30" s="74">
        <f>('INSTRUCTION-2YR'!V30+'RESEARCH 2yr'!V30+'PUBLIC SERVICE 2yr'!V30+'ASptISptSSv 2yr'!V30+'PLANT OPER MAIN 2yr'!V30+'SCHOLAR FELLOW 2yr'!V30+'All Other 2yr'!V30)-V30</f>
        <v>0</v>
      </c>
      <c r="BA30" s="74">
        <f>('INSTRUCTION-2YR'!W30+'RESEARCH 2yr'!W30+'PUBLIC SERVICE 2yr'!W30+'ASptISptSSv 2yr'!W30+'PLANT OPER MAIN 2yr'!W30+'SCHOLAR FELLOW 2yr'!W30+'All Other 2yr'!W30)-W30</f>
        <v>0</v>
      </c>
      <c r="BB30" s="74">
        <f>('INSTRUCTION-2YR'!X30+'RESEARCH 2yr'!X30+'PUBLIC SERVICE 2yr'!X30+'ASptISptSSv 2yr'!X30+'PLANT OPER MAIN 2yr'!X30+'SCHOLAR FELLOW 2yr'!X30+'All Other 2yr'!X30)-X30</f>
        <v>0</v>
      </c>
      <c r="BC30" s="74">
        <f>('INSTRUCTION-2YR'!Y30+'RESEARCH 2yr'!Y30+'PUBLIC SERVICE 2yr'!Y30+'ASptISptSSv 2yr'!Y30+'PLANT OPER MAIN 2yr'!Y30+'SCHOLAR FELLOW 2yr'!Y30+'All Other 2yr'!Y30)-Y30</f>
        <v>0</v>
      </c>
      <c r="BD30" s="74">
        <f>('INSTRUCTION-2YR'!Z30+'RESEARCH 2yr'!Z30+'PUBLIC SERVICE 2yr'!Z30+'ASptISptSSv 2yr'!Z30+'PLANT OPER MAIN 2yr'!Z30+'SCHOLAR FELLOW 2yr'!Z30+'All Other 2yr'!Z30)-Z30</f>
        <v>0</v>
      </c>
      <c r="BE30" s="74">
        <f>('INSTRUCTION-2YR'!AA30+'RESEARCH 2yr'!AA30+'PUBLIC SERVICE 2yr'!AA30+'ASptISptSSv 2yr'!AA30+'PLANT OPER MAIN 2yr'!AA30+'SCHOLAR FELLOW 2yr'!AA30+'All Other 2yr'!AA30)-AA30</f>
        <v>0</v>
      </c>
      <c r="BF30" s="74">
        <f>('INSTRUCTION-2YR'!AB30+'RESEARCH 2yr'!AB30+'PUBLIC SERVICE 2yr'!AB30+'ASptISptSSv 2yr'!AB30+'PLANT OPER MAIN 2yr'!AB30+'SCHOLAR FELLOW 2yr'!AB30+'All Other 2yr'!AB30)-AB30</f>
        <v>0</v>
      </c>
      <c r="BG30" s="74">
        <f>('INSTRUCTION-2YR'!AC30+'RESEARCH 2yr'!AC30+'PUBLIC SERVICE 2yr'!AC30+'ASptISptSSv 2yr'!AC30+'PLANT OPER MAIN 2yr'!AC30+'SCHOLAR FELLOW 2yr'!AC30+'All Other 2yr'!AC30)-AC30</f>
        <v>0</v>
      </c>
      <c r="BH30" s="74">
        <f>('INSTRUCTION-2YR'!AD30+'RESEARCH 2yr'!AD30+'PUBLIC SERVICE 2yr'!AD30+'ASptISptSSv 2yr'!AD30+'PLANT OPER MAIN 2yr'!AD30+'SCHOLAR FELLOW 2yr'!AD30+'All Other 2yr'!AD30)-AD30</f>
        <v>0</v>
      </c>
      <c r="BI30" s="74">
        <f>('INSTRUCTION-2YR'!AE30+'RESEARCH 2yr'!AE30+'PUBLIC SERVICE 2yr'!AE30+'ASptISptSSv 2yr'!AE30+'PLANT OPER MAIN 2yr'!AE30+'SCHOLAR FELLOW 2yr'!AE30+'All Other 2yr'!AE30)-AE30</f>
        <v>0</v>
      </c>
    </row>
    <row r="31" spans="1:61">
      <c r="A31" s="1" t="s">
        <v>47</v>
      </c>
      <c r="F31" s="41">
        <v>97550.804000000004</v>
      </c>
      <c r="I31" s="1">
        <v>114336.895</v>
      </c>
      <c r="K31" s="1">
        <v>118847.82</v>
      </c>
      <c r="L31" s="1">
        <v>130485.81600000001</v>
      </c>
      <c r="M31" s="1">
        <v>131597.22500000001</v>
      </c>
      <c r="N31" s="1">
        <v>159636.49</v>
      </c>
      <c r="O31" s="1">
        <v>176313.79</v>
      </c>
      <c r="P31" s="1">
        <v>154724.552</v>
      </c>
      <c r="Q31" s="1">
        <v>157190.81400000001</v>
      </c>
      <c r="R31" s="1">
        <v>158527.21799999999</v>
      </c>
      <c r="S31" s="1">
        <v>174005.46599999999</v>
      </c>
      <c r="T31" s="1">
        <v>197522.935</v>
      </c>
      <c r="U31" s="1">
        <v>271804.17200000002</v>
      </c>
      <c r="V31" s="1">
        <v>262094.93799999999</v>
      </c>
      <c r="W31" s="1">
        <v>284002.71799999999</v>
      </c>
      <c r="X31" s="1">
        <v>298623.73300000001</v>
      </c>
      <c r="Y31" s="1">
        <v>308842.674</v>
      </c>
      <c r="Z31" s="1">
        <v>318989.47899999999</v>
      </c>
      <c r="AA31" s="1">
        <v>329547.326</v>
      </c>
      <c r="AB31" s="1">
        <v>397288.55</v>
      </c>
      <c r="AC31" s="1">
        <v>342938.51699999999</v>
      </c>
      <c r="AE31" s="1">
        <v>367194.57699999999</v>
      </c>
      <c r="AF31" s="74">
        <f>('INSTRUCTION-2YR'!B31+'RESEARCH 2yr'!B31+'PUBLIC SERVICE 2yr'!B31+'ASptISptSSv 2yr'!B31+'PLANT OPER MAIN 2yr'!B31+'SCHOLAR FELLOW 2yr'!B31+'All Other 2yr'!B31)-B31</f>
        <v>0</v>
      </c>
      <c r="AG31" s="74">
        <f>('INSTRUCTION-2YR'!C31+'RESEARCH 2yr'!C31+'PUBLIC SERVICE 2yr'!C31+'ASptISptSSv 2yr'!C31+'PLANT OPER MAIN 2yr'!C31+'SCHOLAR FELLOW 2yr'!C31+'All Other 2yr'!C31)-C31</f>
        <v>0</v>
      </c>
      <c r="AH31" s="74">
        <f>('INSTRUCTION-2YR'!D31+'RESEARCH 2yr'!D31+'PUBLIC SERVICE 2yr'!D31+'ASptISptSSv 2yr'!D31+'PLANT OPER MAIN 2yr'!D31+'SCHOLAR FELLOW 2yr'!D31+'All Other 2yr'!D31)-D31</f>
        <v>0</v>
      </c>
      <c r="AI31" s="74">
        <f>('INSTRUCTION-2YR'!E31+'RESEARCH 2yr'!E31+'PUBLIC SERVICE 2yr'!E31+'ASptISptSSv 2yr'!E31+'PLANT OPER MAIN 2yr'!E31+'SCHOLAR FELLOW 2yr'!E31+'All Other 2yr'!E31)-E31</f>
        <v>0</v>
      </c>
      <c r="AJ31" s="74">
        <f>('INSTRUCTION-2YR'!F31+'RESEARCH 2yr'!F31+'PUBLIC SERVICE 2yr'!F31+'ASptISptSSv 2yr'!F31+'PLANT OPER MAIN 2yr'!F31+'SCHOLAR FELLOW 2yr'!F31+'All Other 2yr'!F31)-F31</f>
        <v>0</v>
      </c>
      <c r="AK31" s="74">
        <f>('INSTRUCTION-2YR'!G31+'RESEARCH 2yr'!G31+'PUBLIC SERVICE 2yr'!G31+'ASptISptSSv 2yr'!G31+'PLANT OPER MAIN 2yr'!G31+'SCHOLAR FELLOW 2yr'!G31+'All Other 2yr'!G31)-G31</f>
        <v>0</v>
      </c>
      <c r="AL31" s="74">
        <f>('INSTRUCTION-2YR'!H31+'RESEARCH 2yr'!H31+'PUBLIC SERVICE 2yr'!H31+'ASptISptSSv 2yr'!H31+'PLANT OPER MAIN 2yr'!H31+'SCHOLAR FELLOW 2yr'!H31+'All Other 2yr'!H31)-H31</f>
        <v>0</v>
      </c>
      <c r="AM31" s="74">
        <f>('INSTRUCTION-2YR'!I31+'RESEARCH 2yr'!I31+'PUBLIC SERVICE 2yr'!I31+'ASptISptSSv 2yr'!I31+'PLANT OPER MAIN 2yr'!I31+'SCHOLAR FELLOW 2yr'!I31+'All Other 2yr'!I31)-I31</f>
        <v>0</v>
      </c>
      <c r="AN31" s="74">
        <f>('INSTRUCTION-2YR'!J31+'RESEARCH 2yr'!J31+'PUBLIC SERVICE 2yr'!J31+'ASptISptSSv 2yr'!J31+'PLANT OPER MAIN 2yr'!J31+'SCHOLAR FELLOW 2yr'!J31+'All Other 2yr'!J31)-J31</f>
        <v>0</v>
      </c>
      <c r="AO31" s="74">
        <f>('INSTRUCTION-2YR'!K31+'RESEARCH 2yr'!K31+'PUBLIC SERVICE 2yr'!K31+'ASptISptSSv 2yr'!K31+'PLANT OPER MAIN 2yr'!K31+'SCHOLAR FELLOW 2yr'!K31+'All Other 2yr'!K31)-K31</f>
        <v>0</v>
      </c>
      <c r="AP31" s="74">
        <f>('INSTRUCTION-2YR'!L31+'RESEARCH 2yr'!L31+'PUBLIC SERVICE 2yr'!L31+'ASptISptSSv 2yr'!L31+'PLANT OPER MAIN 2yr'!L31+'SCHOLAR FELLOW 2yr'!L31+'All Other 2yr'!L31)-L31</f>
        <v>0</v>
      </c>
      <c r="AQ31" s="74">
        <f>('INSTRUCTION-2YR'!M31+'RESEARCH 2yr'!M31+'PUBLIC SERVICE 2yr'!M31+'ASptISptSSv 2yr'!M31+'PLANT OPER MAIN 2yr'!M31+'SCHOLAR FELLOW 2yr'!M31+'All Other 2yr'!M31)-M31</f>
        <v>0</v>
      </c>
      <c r="AR31" s="74">
        <f>('INSTRUCTION-2YR'!N31+'RESEARCH 2yr'!N31+'PUBLIC SERVICE 2yr'!N31+'ASptISptSSv 2yr'!N31+'PLANT OPER MAIN 2yr'!N31+'SCHOLAR FELLOW 2yr'!N31+'All Other 2yr'!N31)-N31</f>
        <v>0</v>
      </c>
      <c r="AS31" s="74">
        <f>('INSTRUCTION-2YR'!O31+'RESEARCH 2yr'!O31+'PUBLIC SERVICE 2yr'!O31+'ASptISptSSv 2yr'!O31+'PLANT OPER MAIN 2yr'!O31+'SCHOLAR FELLOW 2yr'!O31+'All Other 2yr'!O31)-O31</f>
        <v>0</v>
      </c>
      <c r="AT31" s="74">
        <f>('INSTRUCTION-2YR'!P31+'RESEARCH 2yr'!P31+'PUBLIC SERVICE 2yr'!P31+'ASptISptSSv 2yr'!P31+'PLANT OPER MAIN 2yr'!P31+'SCHOLAR FELLOW 2yr'!P31+'All Other 2yr'!P31)-P31</f>
        <v>0</v>
      </c>
      <c r="AU31" s="74">
        <f>('INSTRUCTION-2YR'!Q31+'RESEARCH 2yr'!Q31+'PUBLIC SERVICE 2yr'!Q31+'ASptISptSSv 2yr'!Q31+'PLANT OPER MAIN 2yr'!Q31+'SCHOLAR FELLOW 2yr'!Q31+'All Other 2yr'!Q31)-Q31</f>
        <v>0</v>
      </c>
      <c r="AV31" s="74">
        <f>('INSTRUCTION-2YR'!R31+'RESEARCH 2yr'!R31+'PUBLIC SERVICE 2yr'!R31+'ASptISptSSv 2yr'!R31+'PLANT OPER MAIN 2yr'!R31+'SCHOLAR FELLOW 2yr'!R31+'All Other 2yr'!R31)-R31</f>
        <v>0</v>
      </c>
      <c r="AW31" s="74">
        <f>('INSTRUCTION-2YR'!S31+'RESEARCH 2yr'!S31+'PUBLIC SERVICE 2yr'!S31+'ASptISptSSv 2yr'!S31+'PLANT OPER MAIN 2yr'!S31+'SCHOLAR FELLOW 2yr'!S31+'All Other 2yr'!S31)-S31</f>
        <v>0</v>
      </c>
      <c r="AX31" s="74">
        <f>('INSTRUCTION-2YR'!T31+'RESEARCH 2yr'!T31+'PUBLIC SERVICE 2yr'!T31+'ASptISptSSv 2yr'!T31+'PLANT OPER MAIN 2yr'!T31+'SCHOLAR FELLOW 2yr'!T31+'All Other 2yr'!T31)-T31</f>
        <v>0</v>
      </c>
      <c r="AY31" s="74">
        <f>('INSTRUCTION-2YR'!U31+'RESEARCH 2yr'!U31+'PUBLIC SERVICE 2yr'!U31+'ASptISptSSv 2yr'!U31+'PLANT OPER MAIN 2yr'!U31+'SCHOLAR FELLOW 2yr'!U31+'All Other 2yr'!U31)-U31</f>
        <v>0</v>
      </c>
      <c r="AZ31" s="74">
        <f>('INSTRUCTION-2YR'!V31+'RESEARCH 2yr'!V31+'PUBLIC SERVICE 2yr'!V31+'ASptISptSSv 2yr'!V31+'PLANT OPER MAIN 2yr'!V31+'SCHOLAR FELLOW 2yr'!V31+'All Other 2yr'!V31)-V31</f>
        <v>0</v>
      </c>
      <c r="BA31" s="74">
        <f>('INSTRUCTION-2YR'!W31+'RESEARCH 2yr'!W31+'PUBLIC SERVICE 2yr'!W31+'ASptISptSSv 2yr'!W31+'PLANT OPER MAIN 2yr'!W31+'SCHOLAR FELLOW 2yr'!W31+'All Other 2yr'!W31)-W31</f>
        <v>0</v>
      </c>
      <c r="BB31" s="74">
        <f>('INSTRUCTION-2YR'!X31+'RESEARCH 2yr'!X31+'PUBLIC SERVICE 2yr'!X31+'ASptISptSSv 2yr'!X31+'PLANT OPER MAIN 2yr'!X31+'SCHOLAR FELLOW 2yr'!X31+'All Other 2yr'!X31)-X31</f>
        <v>0</v>
      </c>
      <c r="BC31" s="74">
        <f>('INSTRUCTION-2YR'!Y31+'RESEARCH 2yr'!Y31+'PUBLIC SERVICE 2yr'!Y31+'ASptISptSSv 2yr'!Y31+'PLANT OPER MAIN 2yr'!Y31+'SCHOLAR FELLOW 2yr'!Y31+'All Other 2yr'!Y31)-Y31</f>
        <v>0</v>
      </c>
      <c r="BD31" s="74">
        <f>('INSTRUCTION-2YR'!Z31+'RESEARCH 2yr'!Z31+'PUBLIC SERVICE 2yr'!Z31+'ASptISptSSv 2yr'!Z31+'PLANT OPER MAIN 2yr'!Z31+'SCHOLAR FELLOW 2yr'!Z31+'All Other 2yr'!Z31)-Z31</f>
        <v>0</v>
      </c>
      <c r="BE31" s="74">
        <f>('INSTRUCTION-2YR'!AA31+'RESEARCH 2yr'!AA31+'PUBLIC SERVICE 2yr'!AA31+'ASptISptSSv 2yr'!AA31+'PLANT OPER MAIN 2yr'!AA31+'SCHOLAR FELLOW 2yr'!AA31+'All Other 2yr'!AA31)-AA31</f>
        <v>0</v>
      </c>
      <c r="BF31" s="74">
        <f>('INSTRUCTION-2YR'!AB31+'RESEARCH 2yr'!AB31+'PUBLIC SERVICE 2yr'!AB31+'ASptISptSSv 2yr'!AB31+'PLANT OPER MAIN 2yr'!AB31+'SCHOLAR FELLOW 2yr'!AB31+'All Other 2yr'!AB31)-AB31</f>
        <v>0</v>
      </c>
      <c r="BG31" s="74">
        <f>('INSTRUCTION-2YR'!AC31+'RESEARCH 2yr'!AC31+'PUBLIC SERVICE 2yr'!AC31+'ASptISptSSv 2yr'!AC31+'PLANT OPER MAIN 2yr'!AC31+'SCHOLAR FELLOW 2yr'!AC31+'All Other 2yr'!AC31)-AC31</f>
        <v>0</v>
      </c>
      <c r="BH31" s="74">
        <f>('INSTRUCTION-2YR'!AD31+'RESEARCH 2yr'!AD31+'PUBLIC SERVICE 2yr'!AD31+'ASptISptSSv 2yr'!AD31+'PLANT OPER MAIN 2yr'!AD31+'SCHOLAR FELLOW 2yr'!AD31+'All Other 2yr'!AD31)-AD31</f>
        <v>0</v>
      </c>
      <c r="BI31" s="74">
        <f>('INSTRUCTION-2YR'!AE31+'RESEARCH 2yr'!AE31+'PUBLIC SERVICE 2yr'!AE31+'ASptISptSSv 2yr'!AE31+'PLANT OPER MAIN 2yr'!AE31+'SCHOLAR FELLOW 2yr'!AE31+'All Other 2yr'!AE31)-AE31</f>
        <v>0</v>
      </c>
    </row>
    <row r="32" spans="1:61">
      <c r="A32" s="1" t="s">
        <v>48</v>
      </c>
      <c r="F32" s="41">
        <v>38762.355000000003</v>
      </c>
      <c r="I32" s="1">
        <v>45222.82</v>
      </c>
      <c r="K32" s="1">
        <v>59213.902999999998</v>
      </c>
      <c r="L32" s="1">
        <v>73347.051999999996</v>
      </c>
      <c r="M32" s="1">
        <v>81172.069000000003</v>
      </c>
      <c r="N32" s="1">
        <v>88977.48</v>
      </c>
      <c r="O32" s="1">
        <v>104890.762</v>
      </c>
      <c r="P32" s="1">
        <v>125928.99099999999</v>
      </c>
      <c r="Q32" s="1">
        <v>128571.287</v>
      </c>
      <c r="R32" s="1">
        <v>133915.413</v>
      </c>
      <c r="S32" s="1">
        <v>126518.186</v>
      </c>
      <c r="T32" s="1">
        <v>135089.878</v>
      </c>
      <c r="U32" s="1">
        <v>152188.951</v>
      </c>
      <c r="V32" s="1">
        <v>196971.22700000001</v>
      </c>
      <c r="W32" s="1">
        <v>229219.46299999999</v>
      </c>
      <c r="X32" s="1">
        <v>295634.04200000002</v>
      </c>
      <c r="Y32" s="1">
        <v>218226.12700000001</v>
      </c>
      <c r="Z32" s="1">
        <v>216058.69399999999</v>
      </c>
      <c r="AA32" s="1">
        <v>201480.08199999999</v>
      </c>
      <c r="AB32" s="1">
        <v>216250.861</v>
      </c>
      <c r="AC32" s="1">
        <v>225517.19699999999</v>
      </c>
      <c r="AE32" s="1">
        <v>244835.27499999999</v>
      </c>
      <c r="AF32" s="74">
        <f>('INSTRUCTION-2YR'!B32+'RESEARCH 2yr'!B32+'PUBLIC SERVICE 2yr'!B32+'ASptISptSSv 2yr'!B32+'PLANT OPER MAIN 2yr'!B32+'SCHOLAR FELLOW 2yr'!B32+'All Other 2yr'!B32)-B32</f>
        <v>0</v>
      </c>
      <c r="AG32" s="74">
        <f>('INSTRUCTION-2YR'!C32+'RESEARCH 2yr'!C32+'PUBLIC SERVICE 2yr'!C32+'ASptISptSSv 2yr'!C32+'PLANT OPER MAIN 2yr'!C32+'SCHOLAR FELLOW 2yr'!C32+'All Other 2yr'!C32)-C32</f>
        <v>0</v>
      </c>
      <c r="AH32" s="74">
        <f>('INSTRUCTION-2YR'!D32+'RESEARCH 2yr'!D32+'PUBLIC SERVICE 2yr'!D32+'ASptISptSSv 2yr'!D32+'PLANT OPER MAIN 2yr'!D32+'SCHOLAR FELLOW 2yr'!D32+'All Other 2yr'!D32)-D32</f>
        <v>0</v>
      </c>
      <c r="AI32" s="74">
        <f>('INSTRUCTION-2YR'!E32+'RESEARCH 2yr'!E32+'PUBLIC SERVICE 2yr'!E32+'ASptISptSSv 2yr'!E32+'PLANT OPER MAIN 2yr'!E32+'SCHOLAR FELLOW 2yr'!E32+'All Other 2yr'!E32)-E32</f>
        <v>0</v>
      </c>
      <c r="AJ32" s="74">
        <f>('INSTRUCTION-2YR'!F32+'RESEARCH 2yr'!F32+'PUBLIC SERVICE 2yr'!F32+'ASptISptSSv 2yr'!F32+'PLANT OPER MAIN 2yr'!F32+'SCHOLAR FELLOW 2yr'!F32+'All Other 2yr'!F32)-F32</f>
        <v>0</v>
      </c>
      <c r="AK32" s="74">
        <f>('INSTRUCTION-2YR'!G32+'RESEARCH 2yr'!G32+'PUBLIC SERVICE 2yr'!G32+'ASptISptSSv 2yr'!G32+'PLANT OPER MAIN 2yr'!G32+'SCHOLAR FELLOW 2yr'!G32+'All Other 2yr'!G32)-G32</f>
        <v>0</v>
      </c>
      <c r="AL32" s="74">
        <f>('INSTRUCTION-2YR'!H32+'RESEARCH 2yr'!H32+'PUBLIC SERVICE 2yr'!H32+'ASptISptSSv 2yr'!H32+'PLANT OPER MAIN 2yr'!H32+'SCHOLAR FELLOW 2yr'!H32+'All Other 2yr'!H32)-H32</f>
        <v>0</v>
      </c>
      <c r="AM32" s="74">
        <f>('INSTRUCTION-2YR'!I32+'RESEARCH 2yr'!I32+'PUBLIC SERVICE 2yr'!I32+'ASptISptSSv 2yr'!I32+'PLANT OPER MAIN 2yr'!I32+'SCHOLAR FELLOW 2yr'!I32+'All Other 2yr'!I32)-I32</f>
        <v>0</v>
      </c>
      <c r="AN32" s="74">
        <f>('INSTRUCTION-2YR'!J32+'RESEARCH 2yr'!J32+'PUBLIC SERVICE 2yr'!J32+'ASptISptSSv 2yr'!J32+'PLANT OPER MAIN 2yr'!J32+'SCHOLAR FELLOW 2yr'!J32+'All Other 2yr'!J32)-J32</f>
        <v>0</v>
      </c>
      <c r="AO32" s="74">
        <f>('INSTRUCTION-2YR'!K32+'RESEARCH 2yr'!K32+'PUBLIC SERVICE 2yr'!K32+'ASptISptSSv 2yr'!K32+'PLANT OPER MAIN 2yr'!K32+'SCHOLAR FELLOW 2yr'!K32+'All Other 2yr'!K32)-K32</f>
        <v>0</v>
      </c>
      <c r="AP32" s="74">
        <f>('INSTRUCTION-2YR'!L32+'RESEARCH 2yr'!L32+'PUBLIC SERVICE 2yr'!L32+'ASptISptSSv 2yr'!L32+'PLANT OPER MAIN 2yr'!L32+'SCHOLAR FELLOW 2yr'!L32+'All Other 2yr'!L32)-L32</f>
        <v>0</v>
      </c>
      <c r="AQ32" s="74">
        <f>('INSTRUCTION-2YR'!M32+'RESEARCH 2yr'!M32+'PUBLIC SERVICE 2yr'!M32+'ASptISptSSv 2yr'!M32+'PLANT OPER MAIN 2yr'!M32+'SCHOLAR FELLOW 2yr'!M32+'All Other 2yr'!M32)-M32</f>
        <v>0</v>
      </c>
      <c r="AR32" s="74">
        <f>('INSTRUCTION-2YR'!N32+'RESEARCH 2yr'!N32+'PUBLIC SERVICE 2yr'!N32+'ASptISptSSv 2yr'!N32+'PLANT OPER MAIN 2yr'!N32+'SCHOLAR FELLOW 2yr'!N32+'All Other 2yr'!N32)-N32</f>
        <v>0</v>
      </c>
      <c r="AS32" s="74">
        <f>('INSTRUCTION-2YR'!O32+'RESEARCH 2yr'!O32+'PUBLIC SERVICE 2yr'!O32+'ASptISptSSv 2yr'!O32+'PLANT OPER MAIN 2yr'!O32+'SCHOLAR FELLOW 2yr'!O32+'All Other 2yr'!O32)-O32</f>
        <v>0</v>
      </c>
      <c r="AT32" s="74">
        <f>('INSTRUCTION-2YR'!P32+'RESEARCH 2yr'!P32+'PUBLIC SERVICE 2yr'!P32+'ASptISptSSv 2yr'!P32+'PLANT OPER MAIN 2yr'!P32+'SCHOLAR FELLOW 2yr'!P32+'All Other 2yr'!P32)-P32</f>
        <v>0</v>
      </c>
      <c r="AU32" s="74">
        <f>('INSTRUCTION-2YR'!Q32+'RESEARCH 2yr'!Q32+'PUBLIC SERVICE 2yr'!Q32+'ASptISptSSv 2yr'!Q32+'PLANT OPER MAIN 2yr'!Q32+'SCHOLAR FELLOW 2yr'!Q32+'All Other 2yr'!Q32)-Q32</f>
        <v>0</v>
      </c>
      <c r="AV32" s="74">
        <f>('INSTRUCTION-2YR'!R32+'RESEARCH 2yr'!R32+'PUBLIC SERVICE 2yr'!R32+'ASptISptSSv 2yr'!R32+'PLANT OPER MAIN 2yr'!R32+'SCHOLAR FELLOW 2yr'!R32+'All Other 2yr'!R32)-R32</f>
        <v>0</v>
      </c>
      <c r="AW32" s="74">
        <f>('INSTRUCTION-2YR'!S32+'RESEARCH 2yr'!S32+'PUBLIC SERVICE 2yr'!S32+'ASptISptSSv 2yr'!S32+'PLANT OPER MAIN 2yr'!S32+'SCHOLAR FELLOW 2yr'!S32+'All Other 2yr'!S32)-S32</f>
        <v>0</v>
      </c>
      <c r="AX32" s="74">
        <f>('INSTRUCTION-2YR'!T32+'RESEARCH 2yr'!T32+'PUBLIC SERVICE 2yr'!T32+'ASptISptSSv 2yr'!T32+'PLANT OPER MAIN 2yr'!T32+'SCHOLAR FELLOW 2yr'!T32+'All Other 2yr'!T32)-T32</f>
        <v>0</v>
      </c>
      <c r="AY32" s="74">
        <f>('INSTRUCTION-2YR'!U32+'RESEARCH 2yr'!U32+'PUBLIC SERVICE 2yr'!U32+'ASptISptSSv 2yr'!U32+'PLANT OPER MAIN 2yr'!U32+'SCHOLAR FELLOW 2yr'!U32+'All Other 2yr'!U32)-U32</f>
        <v>0</v>
      </c>
      <c r="AZ32" s="74">
        <f>('INSTRUCTION-2YR'!V32+'RESEARCH 2yr'!V32+'PUBLIC SERVICE 2yr'!V32+'ASptISptSSv 2yr'!V32+'PLANT OPER MAIN 2yr'!V32+'SCHOLAR FELLOW 2yr'!V32+'All Other 2yr'!V32)-V32</f>
        <v>0</v>
      </c>
      <c r="BA32" s="74">
        <f>('INSTRUCTION-2YR'!W32+'RESEARCH 2yr'!W32+'PUBLIC SERVICE 2yr'!W32+'ASptISptSSv 2yr'!W32+'PLANT OPER MAIN 2yr'!W32+'SCHOLAR FELLOW 2yr'!W32+'All Other 2yr'!W32)-W32</f>
        <v>0</v>
      </c>
      <c r="BB32" s="74">
        <f>('INSTRUCTION-2YR'!X32+'RESEARCH 2yr'!X32+'PUBLIC SERVICE 2yr'!X32+'ASptISptSSv 2yr'!X32+'PLANT OPER MAIN 2yr'!X32+'SCHOLAR FELLOW 2yr'!X32+'All Other 2yr'!X32)-X32</f>
        <v>0</v>
      </c>
      <c r="BC32" s="74">
        <f>('INSTRUCTION-2YR'!Y32+'RESEARCH 2yr'!Y32+'PUBLIC SERVICE 2yr'!Y32+'ASptISptSSv 2yr'!Y32+'PLANT OPER MAIN 2yr'!Y32+'SCHOLAR FELLOW 2yr'!Y32+'All Other 2yr'!Y32)-Y32</f>
        <v>0</v>
      </c>
      <c r="BD32" s="74">
        <f>('INSTRUCTION-2YR'!Z32+'RESEARCH 2yr'!Z32+'PUBLIC SERVICE 2yr'!Z32+'ASptISptSSv 2yr'!Z32+'PLANT OPER MAIN 2yr'!Z32+'SCHOLAR FELLOW 2yr'!Z32+'All Other 2yr'!Z32)-Z32</f>
        <v>0</v>
      </c>
      <c r="BE32" s="74">
        <f>('INSTRUCTION-2YR'!AA32+'RESEARCH 2yr'!AA32+'PUBLIC SERVICE 2yr'!AA32+'ASptISptSSv 2yr'!AA32+'PLANT OPER MAIN 2yr'!AA32+'SCHOLAR FELLOW 2yr'!AA32+'All Other 2yr'!AA32)-AA32</f>
        <v>0</v>
      </c>
      <c r="BF32" s="74">
        <f>('INSTRUCTION-2YR'!AB32+'RESEARCH 2yr'!AB32+'PUBLIC SERVICE 2yr'!AB32+'ASptISptSSv 2yr'!AB32+'PLANT OPER MAIN 2yr'!AB32+'SCHOLAR FELLOW 2yr'!AB32+'All Other 2yr'!AB32)-AB32</f>
        <v>0</v>
      </c>
      <c r="BG32" s="74">
        <f>('INSTRUCTION-2YR'!AC32+'RESEARCH 2yr'!AC32+'PUBLIC SERVICE 2yr'!AC32+'ASptISptSSv 2yr'!AC32+'PLANT OPER MAIN 2yr'!AC32+'SCHOLAR FELLOW 2yr'!AC32+'All Other 2yr'!AC32)-AC32</f>
        <v>0</v>
      </c>
      <c r="BH32" s="74">
        <f>('INSTRUCTION-2YR'!AD32+'RESEARCH 2yr'!AD32+'PUBLIC SERVICE 2yr'!AD32+'ASptISptSSv 2yr'!AD32+'PLANT OPER MAIN 2yr'!AD32+'SCHOLAR FELLOW 2yr'!AD32+'All Other 2yr'!AD32)-AD32</f>
        <v>0</v>
      </c>
      <c r="BI32" s="74">
        <f>('INSTRUCTION-2YR'!AE32+'RESEARCH 2yr'!AE32+'PUBLIC SERVICE 2yr'!AE32+'ASptISptSSv 2yr'!AE32+'PLANT OPER MAIN 2yr'!AE32+'SCHOLAR FELLOW 2yr'!AE32+'All Other 2yr'!AE32)-AE32</f>
        <v>0</v>
      </c>
    </row>
    <row r="33" spans="1:61">
      <c r="A33" s="1" t="s">
        <v>49</v>
      </c>
      <c r="F33" s="41">
        <v>28013.615000000002</v>
      </c>
      <c r="I33" s="1">
        <v>42617.489000000001</v>
      </c>
      <c r="K33" s="1">
        <v>42603.248510000012</v>
      </c>
      <c r="L33" s="1">
        <v>46263.13</v>
      </c>
      <c r="M33" s="1">
        <v>53650.197</v>
      </c>
      <c r="N33" s="1">
        <v>65109.055</v>
      </c>
      <c r="O33" s="1">
        <v>64363.023000000001</v>
      </c>
      <c r="P33" s="1">
        <v>70198.403999999995</v>
      </c>
      <c r="Q33" s="1">
        <v>82077.119000000006</v>
      </c>
      <c r="R33" s="1">
        <v>88573.213000000003</v>
      </c>
      <c r="S33" s="1">
        <v>82563.956000000006</v>
      </c>
      <c r="T33" s="1">
        <v>92329.84</v>
      </c>
      <c r="U33" s="1">
        <v>103518.727</v>
      </c>
      <c r="V33" s="1">
        <v>117203.08</v>
      </c>
      <c r="W33" s="1">
        <v>121049.448</v>
      </c>
      <c r="X33" s="1">
        <v>126546.511</v>
      </c>
      <c r="Y33" s="1">
        <v>115843.04700000001</v>
      </c>
      <c r="Z33" s="1">
        <v>116614.601</v>
      </c>
      <c r="AA33" s="1">
        <v>112852.41099999999</v>
      </c>
      <c r="AB33" s="1">
        <v>119060.416</v>
      </c>
      <c r="AC33" s="1">
        <v>119399.601</v>
      </c>
      <c r="AE33" s="1">
        <v>119446.74400000001</v>
      </c>
      <c r="AF33" s="74">
        <f>('INSTRUCTION-2YR'!B33+'RESEARCH 2yr'!B33+'PUBLIC SERVICE 2yr'!B33+'ASptISptSSv 2yr'!B33+'PLANT OPER MAIN 2yr'!B33+'SCHOLAR FELLOW 2yr'!B33+'All Other 2yr'!B33)-B33</f>
        <v>0</v>
      </c>
      <c r="AG33" s="74">
        <f>('INSTRUCTION-2YR'!C33+'RESEARCH 2yr'!C33+'PUBLIC SERVICE 2yr'!C33+'ASptISptSSv 2yr'!C33+'PLANT OPER MAIN 2yr'!C33+'SCHOLAR FELLOW 2yr'!C33+'All Other 2yr'!C33)-C33</f>
        <v>0</v>
      </c>
      <c r="AH33" s="74">
        <f>('INSTRUCTION-2YR'!D33+'RESEARCH 2yr'!D33+'PUBLIC SERVICE 2yr'!D33+'ASptISptSSv 2yr'!D33+'PLANT OPER MAIN 2yr'!D33+'SCHOLAR FELLOW 2yr'!D33+'All Other 2yr'!D33)-D33</f>
        <v>0</v>
      </c>
      <c r="AI33" s="74">
        <f>('INSTRUCTION-2YR'!E33+'RESEARCH 2yr'!E33+'PUBLIC SERVICE 2yr'!E33+'ASptISptSSv 2yr'!E33+'PLANT OPER MAIN 2yr'!E33+'SCHOLAR FELLOW 2yr'!E33+'All Other 2yr'!E33)-E33</f>
        <v>0</v>
      </c>
      <c r="AJ33" s="74">
        <f>('INSTRUCTION-2YR'!F33+'RESEARCH 2yr'!F33+'PUBLIC SERVICE 2yr'!F33+'ASptISptSSv 2yr'!F33+'PLANT OPER MAIN 2yr'!F33+'SCHOLAR FELLOW 2yr'!F33+'All Other 2yr'!F33)-F33</f>
        <v>0</v>
      </c>
      <c r="AK33" s="74">
        <f>('INSTRUCTION-2YR'!G33+'RESEARCH 2yr'!G33+'PUBLIC SERVICE 2yr'!G33+'ASptISptSSv 2yr'!G33+'PLANT OPER MAIN 2yr'!G33+'SCHOLAR FELLOW 2yr'!G33+'All Other 2yr'!G33)-G33</f>
        <v>0</v>
      </c>
      <c r="AL33" s="74">
        <f>('INSTRUCTION-2YR'!H33+'RESEARCH 2yr'!H33+'PUBLIC SERVICE 2yr'!H33+'ASptISptSSv 2yr'!H33+'PLANT OPER MAIN 2yr'!H33+'SCHOLAR FELLOW 2yr'!H33+'All Other 2yr'!H33)-H33</f>
        <v>0</v>
      </c>
      <c r="AM33" s="74">
        <f>('INSTRUCTION-2YR'!I33+'RESEARCH 2yr'!I33+'PUBLIC SERVICE 2yr'!I33+'ASptISptSSv 2yr'!I33+'PLANT OPER MAIN 2yr'!I33+'SCHOLAR FELLOW 2yr'!I33+'All Other 2yr'!I33)-I33</f>
        <v>0</v>
      </c>
      <c r="AN33" s="74">
        <f>('INSTRUCTION-2YR'!J33+'RESEARCH 2yr'!J33+'PUBLIC SERVICE 2yr'!J33+'ASptISptSSv 2yr'!J33+'PLANT OPER MAIN 2yr'!J33+'SCHOLAR FELLOW 2yr'!J33+'All Other 2yr'!J33)-J33</f>
        <v>0</v>
      </c>
      <c r="AO33" s="74">
        <f>('INSTRUCTION-2YR'!K33+'RESEARCH 2yr'!K33+'PUBLIC SERVICE 2yr'!K33+'ASptISptSSv 2yr'!K33+'PLANT OPER MAIN 2yr'!K33+'SCHOLAR FELLOW 2yr'!K33+'All Other 2yr'!K33)-K33</f>
        <v>0</v>
      </c>
      <c r="AP33" s="74">
        <f>('INSTRUCTION-2YR'!L33+'RESEARCH 2yr'!L33+'PUBLIC SERVICE 2yr'!L33+'ASptISptSSv 2yr'!L33+'PLANT OPER MAIN 2yr'!L33+'SCHOLAR FELLOW 2yr'!L33+'All Other 2yr'!L33)-L33</f>
        <v>0</v>
      </c>
      <c r="AQ33" s="74">
        <f>('INSTRUCTION-2YR'!M33+'RESEARCH 2yr'!M33+'PUBLIC SERVICE 2yr'!M33+'ASptISptSSv 2yr'!M33+'PLANT OPER MAIN 2yr'!M33+'SCHOLAR FELLOW 2yr'!M33+'All Other 2yr'!M33)-M33</f>
        <v>0</v>
      </c>
      <c r="AR33" s="74">
        <f>('INSTRUCTION-2YR'!N33+'RESEARCH 2yr'!N33+'PUBLIC SERVICE 2yr'!N33+'ASptISptSSv 2yr'!N33+'PLANT OPER MAIN 2yr'!N33+'SCHOLAR FELLOW 2yr'!N33+'All Other 2yr'!N33)-N33</f>
        <v>0</v>
      </c>
      <c r="AS33" s="74">
        <f>('INSTRUCTION-2YR'!O33+'RESEARCH 2yr'!O33+'PUBLIC SERVICE 2yr'!O33+'ASptISptSSv 2yr'!O33+'PLANT OPER MAIN 2yr'!O33+'SCHOLAR FELLOW 2yr'!O33+'All Other 2yr'!O33)-O33</f>
        <v>0</v>
      </c>
      <c r="AT33" s="74">
        <f>('INSTRUCTION-2YR'!P33+'RESEARCH 2yr'!P33+'PUBLIC SERVICE 2yr'!P33+'ASptISptSSv 2yr'!P33+'PLANT OPER MAIN 2yr'!P33+'SCHOLAR FELLOW 2yr'!P33+'All Other 2yr'!P33)-P33</f>
        <v>0</v>
      </c>
      <c r="AU33" s="74">
        <f>('INSTRUCTION-2YR'!Q33+'RESEARCH 2yr'!Q33+'PUBLIC SERVICE 2yr'!Q33+'ASptISptSSv 2yr'!Q33+'PLANT OPER MAIN 2yr'!Q33+'SCHOLAR FELLOW 2yr'!Q33+'All Other 2yr'!Q33)-Q33</f>
        <v>0</v>
      </c>
      <c r="AV33" s="74">
        <f>('INSTRUCTION-2YR'!R33+'RESEARCH 2yr'!R33+'PUBLIC SERVICE 2yr'!R33+'ASptISptSSv 2yr'!R33+'PLANT OPER MAIN 2yr'!R33+'SCHOLAR FELLOW 2yr'!R33+'All Other 2yr'!R33)-R33</f>
        <v>0</v>
      </c>
      <c r="AW33" s="74">
        <f>('INSTRUCTION-2YR'!S33+'RESEARCH 2yr'!S33+'PUBLIC SERVICE 2yr'!S33+'ASptISptSSv 2yr'!S33+'PLANT OPER MAIN 2yr'!S33+'SCHOLAR FELLOW 2yr'!S33+'All Other 2yr'!S33)-S33</f>
        <v>0</v>
      </c>
      <c r="AX33" s="74">
        <f>('INSTRUCTION-2YR'!T33+'RESEARCH 2yr'!T33+'PUBLIC SERVICE 2yr'!T33+'ASptISptSSv 2yr'!T33+'PLANT OPER MAIN 2yr'!T33+'SCHOLAR FELLOW 2yr'!T33+'All Other 2yr'!T33)-T33</f>
        <v>0</v>
      </c>
      <c r="AY33" s="74">
        <f>('INSTRUCTION-2YR'!U33+'RESEARCH 2yr'!U33+'PUBLIC SERVICE 2yr'!U33+'ASptISptSSv 2yr'!U33+'PLANT OPER MAIN 2yr'!U33+'SCHOLAR FELLOW 2yr'!U33+'All Other 2yr'!U33)-U33</f>
        <v>0</v>
      </c>
      <c r="AZ33" s="74">
        <f>('INSTRUCTION-2YR'!V33+'RESEARCH 2yr'!V33+'PUBLIC SERVICE 2yr'!V33+'ASptISptSSv 2yr'!V33+'PLANT OPER MAIN 2yr'!V33+'SCHOLAR FELLOW 2yr'!V33+'All Other 2yr'!V33)-V33</f>
        <v>0</v>
      </c>
      <c r="BA33" s="74">
        <f>('INSTRUCTION-2YR'!W33+'RESEARCH 2yr'!W33+'PUBLIC SERVICE 2yr'!W33+'ASptISptSSv 2yr'!W33+'PLANT OPER MAIN 2yr'!W33+'SCHOLAR FELLOW 2yr'!W33+'All Other 2yr'!W33)-W33</f>
        <v>0</v>
      </c>
      <c r="BB33" s="74">
        <f>('INSTRUCTION-2YR'!X33+'RESEARCH 2yr'!X33+'PUBLIC SERVICE 2yr'!X33+'ASptISptSSv 2yr'!X33+'PLANT OPER MAIN 2yr'!X33+'SCHOLAR FELLOW 2yr'!X33+'All Other 2yr'!X33)-X33</f>
        <v>0</v>
      </c>
      <c r="BC33" s="74">
        <f>('INSTRUCTION-2YR'!Y33+'RESEARCH 2yr'!Y33+'PUBLIC SERVICE 2yr'!Y33+'ASptISptSSv 2yr'!Y33+'PLANT OPER MAIN 2yr'!Y33+'SCHOLAR FELLOW 2yr'!Y33+'All Other 2yr'!Y33)-Y33</f>
        <v>0</v>
      </c>
      <c r="BD33" s="74">
        <f>('INSTRUCTION-2YR'!Z33+'RESEARCH 2yr'!Z33+'PUBLIC SERVICE 2yr'!Z33+'ASptISptSSv 2yr'!Z33+'PLANT OPER MAIN 2yr'!Z33+'SCHOLAR FELLOW 2yr'!Z33+'All Other 2yr'!Z33)-Z33</f>
        <v>0</v>
      </c>
      <c r="BE33" s="74">
        <f>('INSTRUCTION-2YR'!AA33+'RESEARCH 2yr'!AA33+'PUBLIC SERVICE 2yr'!AA33+'ASptISptSSv 2yr'!AA33+'PLANT OPER MAIN 2yr'!AA33+'SCHOLAR FELLOW 2yr'!AA33+'All Other 2yr'!AA33)-AA33</f>
        <v>0</v>
      </c>
      <c r="BF33" s="74">
        <f>('INSTRUCTION-2YR'!AB33+'RESEARCH 2yr'!AB33+'PUBLIC SERVICE 2yr'!AB33+'ASptISptSSv 2yr'!AB33+'PLANT OPER MAIN 2yr'!AB33+'SCHOLAR FELLOW 2yr'!AB33+'All Other 2yr'!AB33)-AB33</f>
        <v>0</v>
      </c>
      <c r="BG33" s="74">
        <f>('INSTRUCTION-2YR'!AC33+'RESEARCH 2yr'!AC33+'PUBLIC SERVICE 2yr'!AC33+'ASptISptSSv 2yr'!AC33+'PLANT OPER MAIN 2yr'!AC33+'SCHOLAR FELLOW 2yr'!AC33+'All Other 2yr'!AC33)-AC33</f>
        <v>0</v>
      </c>
      <c r="BH33" s="74">
        <f>('INSTRUCTION-2YR'!AD33+'RESEARCH 2yr'!AD33+'PUBLIC SERVICE 2yr'!AD33+'ASptISptSSv 2yr'!AD33+'PLANT OPER MAIN 2yr'!AD33+'SCHOLAR FELLOW 2yr'!AD33+'All Other 2yr'!AD33)-AD33</f>
        <v>0</v>
      </c>
      <c r="BI33" s="74">
        <f>('INSTRUCTION-2YR'!AE33+'RESEARCH 2yr'!AE33+'PUBLIC SERVICE 2yr'!AE33+'ASptISptSSv 2yr'!AE33+'PLANT OPER MAIN 2yr'!AE33+'SCHOLAR FELLOW 2yr'!AE33+'All Other 2yr'!AE33)-AE33</f>
        <v>0</v>
      </c>
    </row>
    <row r="34" spans="1:61">
      <c r="A34" s="1" t="s">
        <v>50</v>
      </c>
      <c r="F34" s="41">
        <v>62255.595999999998</v>
      </c>
      <c r="I34" s="1">
        <v>71677.506999999998</v>
      </c>
      <c r="K34" s="1">
        <v>104611</v>
      </c>
      <c r="L34" s="1">
        <v>142973.80799999999</v>
      </c>
      <c r="M34" s="1">
        <v>146047</v>
      </c>
      <c r="N34" s="1">
        <v>177458.19399999999</v>
      </c>
      <c r="O34" s="1">
        <v>192381</v>
      </c>
      <c r="P34" s="1">
        <v>74704.217000000004</v>
      </c>
      <c r="Q34" s="1">
        <v>81151.002999999997</v>
      </c>
      <c r="R34" s="1">
        <v>86427.490999999995</v>
      </c>
      <c r="S34" s="1">
        <v>60861</v>
      </c>
      <c r="T34" s="1">
        <v>66294</v>
      </c>
      <c r="U34" s="1">
        <v>303752.12300000002</v>
      </c>
      <c r="V34" s="1">
        <v>332517.68300000002</v>
      </c>
      <c r="W34" s="1">
        <v>352081.25099999999</v>
      </c>
      <c r="X34" s="1">
        <v>338058.59600000002</v>
      </c>
      <c r="Y34" s="1">
        <v>339699.92499999999</v>
      </c>
      <c r="Z34" s="1">
        <v>352564.47899999999</v>
      </c>
      <c r="AA34" s="1">
        <v>365202.55800000002</v>
      </c>
      <c r="AB34" s="1">
        <v>361295.77399999998</v>
      </c>
      <c r="AC34" s="1">
        <v>355771.68300000002</v>
      </c>
      <c r="AE34" s="1">
        <v>392866.54100000003</v>
      </c>
      <c r="AF34" s="74">
        <f>('INSTRUCTION-2YR'!B34+'RESEARCH 2yr'!B34+'PUBLIC SERVICE 2yr'!B34+'ASptISptSSv 2yr'!B34+'PLANT OPER MAIN 2yr'!B34+'SCHOLAR FELLOW 2yr'!B34+'All Other 2yr'!B34)-B34</f>
        <v>0</v>
      </c>
      <c r="AG34" s="74">
        <f>('INSTRUCTION-2YR'!C34+'RESEARCH 2yr'!C34+'PUBLIC SERVICE 2yr'!C34+'ASptISptSSv 2yr'!C34+'PLANT OPER MAIN 2yr'!C34+'SCHOLAR FELLOW 2yr'!C34+'All Other 2yr'!C34)-C34</f>
        <v>0</v>
      </c>
      <c r="AH34" s="74">
        <f>('INSTRUCTION-2YR'!D34+'RESEARCH 2yr'!D34+'PUBLIC SERVICE 2yr'!D34+'ASptISptSSv 2yr'!D34+'PLANT OPER MAIN 2yr'!D34+'SCHOLAR FELLOW 2yr'!D34+'All Other 2yr'!D34)-D34</f>
        <v>0</v>
      </c>
      <c r="AI34" s="74">
        <f>('INSTRUCTION-2YR'!E34+'RESEARCH 2yr'!E34+'PUBLIC SERVICE 2yr'!E34+'ASptISptSSv 2yr'!E34+'PLANT OPER MAIN 2yr'!E34+'SCHOLAR FELLOW 2yr'!E34+'All Other 2yr'!E34)-E34</f>
        <v>0</v>
      </c>
      <c r="AJ34" s="74">
        <f>('INSTRUCTION-2YR'!F34+'RESEARCH 2yr'!F34+'PUBLIC SERVICE 2yr'!F34+'ASptISptSSv 2yr'!F34+'PLANT OPER MAIN 2yr'!F34+'SCHOLAR FELLOW 2yr'!F34+'All Other 2yr'!F34)-F34</f>
        <v>0</v>
      </c>
      <c r="AK34" s="74">
        <f>('INSTRUCTION-2YR'!G34+'RESEARCH 2yr'!G34+'PUBLIC SERVICE 2yr'!G34+'ASptISptSSv 2yr'!G34+'PLANT OPER MAIN 2yr'!G34+'SCHOLAR FELLOW 2yr'!G34+'All Other 2yr'!G34)-G34</f>
        <v>0</v>
      </c>
      <c r="AL34" s="74">
        <f>('INSTRUCTION-2YR'!H34+'RESEARCH 2yr'!H34+'PUBLIC SERVICE 2yr'!H34+'ASptISptSSv 2yr'!H34+'PLANT OPER MAIN 2yr'!H34+'SCHOLAR FELLOW 2yr'!H34+'All Other 2yr'!H34)-H34</f>
        <v>0</v>
      </c>
      <c r="AM34" s="74">
        <f>('INSTRUCTION-2YR'!I34+'RESEARCH 2yr'!I34+'PUBLIC SERVICE 2yr'!I34+'ASptISptSSv 2yr'!I34+'PLANT OPER MAIN 2yr'!I34+'SCHOLAR FELLOW 2yr'!I34+'All Other 2yr'!I34)-I34</f>
        <v>0</v>
      </c>
      <c r="AN34" s="74">
        <f>('INSTRUCTION-2YR'!J34+'RESEARCH 2yr'!J34+'PUBLIC SERVICE 2yr'!J34+'ASptISptSSv 2yr'!J34+'PLANT OPER MAIN 2yr'!J34+'SCHOLAR FELLOW 2yr'!J34+'All Other 2yr'!J34)-J34</f>
        <v>0</v>
      </c>
      <c r="AO34" s="74">
        <f>('INSTRUCTION-2YR'!K34+'RESEARCH 2yr'!K34+'PUBLIC SERVICE 2yr'!K34+'ASptISptSSv 2yr'!K34+'PLANT OPER MAIN 2yr'!K34+'SCHOLAR FELLOW 2yr'!K34+'All Other 2yr'!K34)-K34</f>
        <v>0</v>
      </c>
      <c r="AP34" s="74">
        <f>('INSTRUCTION-2YR'!L34+'RESEARCH 2yr'!L34+'PUBLIC SERVICE 2yr'!L34+'ASptISptSSv 2yr'!L34+'PLANT OPER MAIN 2yr'!L34+'SCHOLAR FELLOW 2yr'!L34+'All Other 2yr'!L34)-L34</f>
        <v>0</v>
      </c>
      <c r="AQ34" s="74">
        <f>('INSTRUCTION-2YR'!M34+'RESEARCH 2yr'!M34+'PUBLIC SERVICE 2yr'!M34+'ASptISptSSv 2yr'!M34+'PLANT OPER MAIN 2yr'!M34+'SCHOLAR FELLOW 2yr'!M34+'All Other 2yr'!M34)-M34</f>
        <v>0</v>
      </c>
      <c r="AR34" s="74">
        <f>('INSTRUCTION-2YR'!N34+'RESEARCH 2yr'!N34+'PUBLIC SERVICE 2yr'!N34+'ASptISptSSv 2yr'!N34+'PLANT OPER MAIN 2yr'!N34+'SCHOLAR FELLOW 2yr'!N34+'All Other 2yr'!N34)-N34</f>
        <v>0</v>
      </c>
      <c r="AS34" s="74">
        <f>('INSTRUCTION-2YR'!O34+'RESEARCH 2yr'!O34+'PUBLIC SERVICE 2yr'!O34+'ASptISptSSv 2yr'!O34+'PLANT OPER MAIN 2yr'!O34+'SCHOLAR FELLOW 2yr'!O34+'All Other 2yr'!O34)-O34</f>
        <v>0</v>
      </c>
      <c r="AT34" s="74">
        <f>('INSTRUCTION-2YR'!P34+'RESEARCH 2yr'!P34+'PUBLIC SERVICE 2yr'!P34+'ASptISptSSv 2yr'!P34+'PLANT OPER MAIN 2yr'!P34+'SCHOLAR FELLOW 2yr'!P34+'All Other 2yr'!P34)-P34</f>
        <v>0</v>
      </c>
      <c r="AU34" s="74">
        <f>('INSTRUCTION-2YR'!Q34+'RESEARCH 2yr'!Q34+'PUBLIC SERVICE 2yr'!Q34+'ASptISptSSv 2yr'!Q34+'PLANT OPER MAIN 2yr'!Q34+'SCHOLAR FELLOW 2yr'!Q34+'All Other 2yr'!Q34)-Q34</f>
        <v>0</v>
      </c>
      <c r="AV34" s="74">
        <f>('INSTRUCTION-2YR'!R34+'RESEARCH 2yr'!R34+'PUBLIC SERVICE 2yr'!R34+'ASptISptSSv 2yr'!R34+'PLANT OPER MAIN 2yr'!R34+'SCHOLAR FELLOW 2yr'!R34+'All Other 2yr'!R34)-R34</f>
        <v>0</v>
      </c>
      <c r="AW34" s="74">
        <f>('INSTRUCTION-2YR'!S34+'RESEARCH 2yr'!S34+'PUBLIC SERVICE 2yr'!S34+'ASptISptSSv 2yr'!S34+'PLANT OPER MAIN 2yr'!S34+'SCHOLAR FELLOW 2yr'!S34+'All Other 2yr'!S34)-S34</f>
        <v>0</v>
      </c>
      <c r="AX34" s="74">
        <f>('INSTRUCTION-2YR'!T34+'RESEARCH 2yr'!T34+'PUBLIC SERVICE 2yr'!T34+'ASptISptSSv 2yr'!T34+'PLANT OPER MAIN 2yr'!T34+'SCHOLAR FELLOW 2yr'!T34+'All Other 2yr'!T34)-T34</f>
        <v>0</v>
      </c>
      <c r="AY34" s="74">
        <f>('INSTRUCTION-2YR'!U34+'RESEARCH 2yr'!U34+'PUBLIC SERVICE 2yr'!U34+'ASptISptSSv 2yr'!U34+'PLANT OPER MAIN 2yr'!U34+'SCHOLAR FELLOW 2yr'!U34+'All Other 2yr'!U34)-U34</f>
        <v>0</v>
      </c>
      <c r="AZ34" s="74">
        <f>('INSTRUCTION-2YR'!V34+'RESEARCH 2yr'!V34+'PUBLIC SERVICE 2yr'!V34+'ASptISptSSv 2yr'!V34+'PLANT OPER MAIN 2yr'!V34+'SCHOLAR FELLOW 2yr'!V34+'All Other 2yr'!V34)-V34</f>
        <v>0</v>
      </c>
      <c r="BA34" s="74">
        <f>('INSTRUCTION-2YR'!W34+'RESEARCH 2yr'!W34+'PUBLIC SERVICE 2yr'!W34+'ASptISptSSv 2yr'!W34+'PLANT OPER MAIN 2yr'!W34+'SCHOLAR FELLOW 2yr'!W34+'All Other 2yr'!W34)-W34</f>
        <v>0</v>
      </c>
      <c r="BB34" s="74">
        <f>('INSTRUCTION-2YR'!X34+'RESEARCH 2yr'!X34+'PUBLIC SERVICE 2yr'!X34+'ASptISptSSv 2yr'!X34+'PLANT OPER MAIN 2yr'!X34+'SCHOLAR FELLOW 2yr'!X34+'All Other 2yr'!X34)-X34</f>
        <v>0</v>
      </c>
      <c r="BC34" s="74">
        <f>('INSTRUCTION-2YR'!Y34+'RESEARCH 2yr'!Y34+'PUBLIC SERVICE 2yr'!Y34+'ASptISptSSv 2yr'!Y34+'PLANT OPER MAIN 2yr'!Y34+'SCHOLAR FELLOW 2yr'!Y34+'All Other 2yr'!Y34)-Y34</f>
        <v>0</v>
      </c>
      <c r="BD34" s="74">
        <f>('INSTRUCTION-2YR'!Z34+'RESEARCH 2yr'!Z34+'PUBLIC SERVICE 2yr'!Z34+'ASptISptSSv 2yr'!Z34+'PLANT OPER MAIN 2yr'!Z34+'SCHOLAR FELLOW 2yr'!Z34+'All Other 2yr'!Z34)-Z34</f>
        <v>0</v>
      </c>
      <c r="BE34" s="74">
        <f>('INSTRUCTION-2YR'!AA34+'RESEARCH 2yr'!AA34+'PUBLIC SERVICE 2yr'!AA34+'ASptISptSSv 2yr'!AA34+'PLANT OPER MAIN 2yr'!AA34+'SCHOLAR FELLOW 2yr'!AA34+'All Other 2yr'!AA34)-AA34</f>
        <v>0</v>
      </c>
      <c r="BF34" s="74">
        <f>('INSTRUCTION-2YR'!AB34+'RESEARCH 2yr'!AB34+'PUBLIC SERVICE 2yr'!AB34+'ASptISptSSv 2yr'!AB34+'PLANT OPER MAIN 2yr'!AB34+'SCHOLAR FELLOW 2yr'!AB34+'All Other 2yr'!AB34)-AB34</f>
        <v>0</v>
      </c>
      <c r="BG34" s="74">
        <f>('INSTRUCTION-2YR'!AC34+'RESEARCH 2yr'!AC34+'PUBLIC SERVICE 2yr'!AC34+'ASptISptSSv 2yr'!AC34+'PLANT OPER MAIN 2yr'!AC34+'SCHOLAR FELLOW 2yr'!AC34+'All Other 2yr'!AC34)-AC34</f>
        <v>0</v>
      </c>
      <c r="BH34" s="74">
        <f>('INSTRUCTION-2YR'!AD34+'RESEARCH 2yr'!AD34+'PUBLIC SERVICE 2yr'!AD34+'ASptISptSSv 2yr'!AD34+'PLANT OPER MAIN 2yr'!AD34+'SCHOLAR FELLOW 2yr'!AD34+'All Other 2yr'!AD34)-AD34</f>
        <v>0</v>
      </c>
      <c r="BI34" s="74">
        <f>('INSTRUCTION-2YR'!AE34+'RESEARCH 2yr'!AE34+'PUBLIC SERVICE 2yr'!AE34+'ASptISptSSv 2yr'!AE34+'PLANT OPER MAIN 2yr'!AE34+'SCHOLAR FELLOW 2yr'!AE34+'All Other 2yr'!AE34)-AE34</f>
        <v>0</v>
      </c>
    </row>
    <row r="35" spans="1:61">
      <c r="A35" s="1" t="s">
        <v>51</v>
      </c>
      <c r="F35" s="41">
        <v>140280.38699999999</v>
      </c>
      <c r="I35" s="1">
        <v>195458.75</v>
      </c>
      <c r="K35" s="1">
        <v>244214.27297000002</v>
      </c>
      <c r="L35" s="1">
        <v>304624.62099999998</v>
      </c>
      <c r="M35" s="1">
        <v>315354.03000000003</v>
      </c>
      <c r="N35" s="1">
        <v>348094.69400000002</v>
      </c>
      <c r="O35" s="1">
        <v>382237.47399999999</v>
      </c>
      <c r="P35" s="1">
        <v>404949.21500000003</v>
      </c>
      <c r="Q35" s="1">
        <v>434359.33399999997</v>
      </c>
      <c r="R35" s="1">
        <v>451228.49699999997</v>
      </c>
      <c r="S35" s="1">
        <v>475800.13299999997</v>
      </c>
      <c r="T35" s="1">
        <v>508380.54300000001</v>
      </c>
      <c r="U35" s="1">
        <v>574969.29</v>
      </c>
      <c r="V35" s="1">
        <v>613609.70299999998</v>
      </c>
      <c r="W35" s="1">
        <v>667439.96600000001</v>
      </c>
      <c r="X35" s="1">
        <v>667213.04299999995</v>
      </c>
      <c r="Y35" s="1">
        <v>432511.37300000002</v>
      </c>
      <c r="Z35" s="1">
        <v>437442.49599999998</v>
      </c>
      <c r="AA35" s="1">
        <v>428523.299</v>
      </c>
      <c r="AB35" s="1">
        <v>667931.01500000001</v>
      </c>
      <c r="AC35" s="1">
        <v>665567.40399999998</v>
      </c>
      <c r="AE35" s="1">
        <v>781956.84100000001</v>
      </c>
      <c r="AF35" s="74">
        <f>('INSTRUCTION-2YR'!B35+'RESEARCH 2yr'!B35+'PUBLIC SERVICE 2yr'!B35+'ASptISptSSv 2yr'!B35+'PLANT OPER MAIN 2yr'!B35+'SCHOLAR FELLOW 2yr'!B35+'All Other 2yr'!B35)-B35</f>
        <v>0</v>
      </c>
      <c r="AG35" s="74">
        <f>('INSTRUCTION-2YR'!C35+'RESEARCH 2yr'!C35+'PUBLIC SERVICE 2yr'!C35+'ASptISptSSv 2yr'!C35+'PLANT OPER MAIN 2yr'!C35+'SCHOLAR FELLOW 2yr'!C35+'All Other 2yr'!C35)-C35</f>
        <v>0</v>
      </c>
      <c r="AH35" s="74">
        <f>('INSTRUCTION-2YR'!D35+'RESEARCH 2yr'!D35+'PUBLIC SERVICE 2yr'!D35+'ASptISptSSv 2yr'!D35+'PLANT OPER MAIN 2yr'!D35+'SCHOLAR FELLOW 2yr'!D35+'All Other 2yr'!D35)-D35</f>
        <v>0</v>
      </c>
      <c r="AI35" s="74">
        <f>('INSTRUCTION-2YR'!E35+'RESEARCH 2yr'!E35+'PUBLIC SERVICE 2yr'!E35+'ASptISptSSv 2yr'!E35+'PLANT OPER MAIN 2yr'!E35+'SCHOLAR FELLOW 2yr'!E35+'All Other 2yr'!E35)-E35</f>
        <v>0</v>
      </c>
      <c r="AJ35" s="74">
        <f>('INSTRUCTION-2YR'!F35+'RESEARCH 2yr'!F35+'PUBLIC SERVICE 2yr'!F35+'ASptISptSSv 2yr'!F35+'PLANT OPER MAIN 2yr'!F35+'SCHOLAR FELLOW 2yr'!F35+'All Other 2yr'!F35)-F35</f>
        <v>0</v>
      </c>
      <c r="AK35" s="74">
        <f>('INSTRUCTION-2YR'!G35+'RESEARCH 2yr'!G35+'PUBLIC SERVICE 2yr'!G35+'ASptISptSSv 2yr'!G35+'PLANT OPER MAIN 2yr'!G35+'SCHOLAR FELLOW 2yr'!G35+'All Other 2yr'!G35)-G35</f>
        <v>0</v>
      </c>
      <c r="AL35" s="74">
        <f>('INSTRUCTION-2YR'!H35+'RESEARCH 2yr'!H35+'PUBLIC SERVICE 2yr'!H35+'ASptISptSSv 2yr'!H35+'PLANT OPER MAIN 2yr'!H35+'SCHOLAR FELLOW 2yr'!H35+'All Other 2yr'!H35)-H35</f>
        <v>0</v>
      </c>
      <c r="AM35" s="74">
        <f>('INSTRUCTION-2YR'!I35+'RESEARCH 2yr'!I35+'PUBLIC SERVICE 2yr'!I35+'ASptISptSSv 2yr'!I35+'PLANT OPER MAIN 2yr'!I35+'SCHOLAR FELLOW 2yr'!I35+'All Other 2yr'!I35)-I35</f>
        <v>0</v>
      </c>
      <c r="AN35" s="74">
        <f>('INSTRUCTION-2YR'!J35+'RESEARCH 2yr'!J35+'PUBLIC SERVICE 2yr'!J35+'ASptISptSSv 2yr'!J35+'PLANT OPER MAIN 2yr'!J35+'SCHOLAR FELLOW 2yr'!J35+'All Other 2yr'!J35)-J35</f>
        <v>0</v>
      </c>
      <c r="AO35" s="74">
        <f>('INSTRUCTION-2YR'!K35+'RESEARCH 2yr'!K35+'PUBLIC SERVICE 2yr'!K35+'ASptISptSSv 2yr'!K35+'PLANT OPER MAIN 2yr'!K35+'SCHOLAR FELLOW 2yr'!K35+'All Other 2yr'!K35)-K35</f>
        <v>0</v>
      </c>
      <c r="AP35" s="74">
        <f>('INSTRUCTION-2YR'!L35+'RESEARCH 2yr'!L35+'PUBLIC SERVICE 2yr'!L35+'ASptISptSSv 2yr'!L35+'PLANT OPER MAIN 2yr'!L35+'SCHOLAR FELLOW 2yr'!L35+'All Other 2yr'!L35)-L35</f>
        <v>0</v>
      </c>
      <c r="AQ35" s="74">
        <f>('INSTRUCTION-2YR'!M35+'RESEARCH 2yr'!M35+'PUBLIC SERVICE 2yr'!M35+'ASptISptSSv 2yr'!M35+'PLANT OPER MAIN 2yr'!M35+'SCHOLAR FELLOW 2yr'!M35+'All Other 2yr'!M35)-M35</f>
        <v>0</v>
      </c>
      <c r="AR35" s="74">
        <f>('INSTRUCTION-2YR'!N35+'RESEARCH 2yr'!N35+'PUBLIC SERVICE 2yr'!N35+'ASptISptSSv 2yr'!N35+'PLANT OPER MAIN 2yr'!N35+'SCHOLAR FELLOW 2yr'!N35+'All Other 2yr'!N35)-N35</f>
        <v>0</v>
      </c>
      <c r="AS35" s="74">
        <f>('INSTRUCTION-2YR'!O35+'RESEARCH 2yr'!O35+'PUBLIC SERVICE 2yr'!O35+'ASptISptSSv 2yr'!O35+'PLANT OPER MAIN 2yr'!O35+'SCHOLAR FELLOW 2yr'!O35+'All Other 2yr'!O35)-O35</f>
        <v>0</v>
      </c>
      <c r="AT35" s="74">
        <f>('INSTRUCTION-2YR'!P35+'RESEARCH 2yr'!P35+'PUBLIC SERVICE 2yr'!P35+'ASptISptSSv 2yr'!P35+'PLANT OPER MAIN 2yr'!P35+'SCHOLAR FELLOW 2yr'!P35+'All Other 2yr'!P35)-P35</f>
        <v>0</v>
      </c>
      <c r="AU35" s="74">
        <f>('INSTRUCTION-2YR'!Q35+'RESEARCH 2yr'!Q35+'PUBLIC SERVICE 2yr'!Q35+'ASptISptSSv 2yr'!Q35+'PLANT OPER MAIN 2yr'!Q35+'SCHOLAR FELLOW 2yr'!Q35+'All Other 2yr'!Q35)-Q35</f>
        <v>0</v>
      </c>
      <c r="AV35" s="74">
        <f>('INSTRUCTION-2YR'!R35+'RESEARCH 2yr'!R35+'PUBLIC SERVICE 2yr'!R35+'ASptISptSSv 2yr'!R35+'PLANT OPER MAIN 2yr'!R35+'SCHOLAR FELLOW 2yr'!R35+'All Other 2yr'!R35)-R35</f>
        <v>0</v>
      </c>
      <c r="AW35" s="74">
        <f>('INSTRUCTION-2YR'!S35+'RESEARCH 2yr'!S35+'PUBLIC SERVICE 2yr'!S35+'ASptISptSSv 2yr'!S35+'PLANT OPER MAIN 2yr'!S35+'SCHOLAR FELLOW 2yr'!S35+'All Other 2yr'!S35)-S35</f>
        <v>0</v>
      </c>
      <c r="AX35" s="74">
        <f>('INSTRUCTION-2YR'!T35+'RESEARCH 2yr'!T35+'PUBLIC SERVICE 2yr'!T35+'ASptISptSSv 2yr'!T35+'PLANT OPER MAIN 2yr'!T35+'SCHOLAR FELLOW 2yr'!T35+'All Other 2yr'!T35)-T35</f>
        <v>0</v>
      </c>
      <c r="AY35" s="74">
        <f>('INSTRUCTION-2YR'!U35+'RESEARCH 2yr'!U35+'PUBLIC SERVICE 2yr'!U35+'ASptISptSSv 2yr'!U35+'PLANT OPER MAIN 2yr'!U35+'SCHOLAR FELLOW 2yr'!U35+'All Other 2yr'!U35)-U35</f>
        <v>0</v>
      </c>
      <c r="AZ35" s="74">
        <f>('INSTRUCTION-2YR'!V35+'RESEARCH 2yr'!V35+'PUBLIC SERVICE 2yr'!V35+'ASptISptSSv 2yr'!V35+'PLANT OPER MAIN 2yr'!V35+'SCHOLAR FELLOW 2yr'!V35+'All Other 2yr'!V35)-V35</f>
        <v>0</v>
      </c>
      <c r="BA35" s="74">
        <f>('INSTRUCTION-2YR'!W35+'RESEARCH 2yr'!W35+'PUBLIC SERVICE 2yr'!W35+'ASptISptSSv 2yr'!W35+'PLANT OPER MAIN 2yr'!W35+'SCHOLAR FELLOW 2yr'!W35+'All Other 2yr'!W35)-W35</f>
        <v>0</v>
      </c>
      <c r="BB35" s="74">
        <f>('INSTRUCTION-2YR'!X35+'RESEARCH 2yr'!X35+'PUBLIC SERVICE 2yr'!X35+'ASptISptSSv 2yr'!X35+'PLANT OPER MAIN 2yr'!X35+'SCHOLAR FELLOW 2yr'!X35+'All Other 2yr'!X35)-X35</f>
        <v>0</v>
      </c>
      <c r="BC35" s="74">
        <f>('INSTRUCTION-2YR'!Y35+'RESEARCH 2yr'!Y35+'PUBLIC SERVICE 2yr'!Y35+'ASptISptSSv 2yr'!Y35+'PLANT OPER MAIN 2yr'!Y35+'SCHOLAR FELLOW 2yr'!Y35+'All Other 2yr'!Y35)-Y35</f>
        <v>0</v>
      </c>
      <c r="BD35" s="74">
        <f>('INSTRUCTION-2YR'!Z35+'RESEARCH 2yr'!Z35+'PUBLIC SERVICE 2yr'!Z35+'ASptISptSSv 2yr'!Z35+'PLANT OPER MAIN 2yr'!Z35+'SCHOLAR FELLOW 2yr'!Z35+'All Other 2yr'!Z35)-Z35</f>
        <v>0</v>
      </c>
      <c r="BE35" s="74">
        <f>('INSTRUCTION-2YR'!AA35+'RESEARCH 2yr'!AA35+'PUBLIC SERVICE 2yr'!AA35+'ASptISptSSv 2yr'!AA35+'PLANT OPER MAIN 2yr'!AA35+'SCHOLAR FELLOW 2yr'!AA35+'All Other 2yr'!AA35)-AA35</f>
        <v>0</v>
      </c>
      <c r="BF35" s="74">
        <f>('INSTRUCTION-2YR'!AB35+'RESEARCH 2yr'!AB35+'PUBLIC SERVICE 2yr'!AB35+'ASptISptSSv 2yr'!AB35+'PLANT OPER MAIN 2yr'!AB35+'SCHOLAR FELLOW 2yr'!AB35+'All Other 2yr'!AB35)-AB35</f>
        <v>0</v>
      </c>
      <c r="BG35" s="74">
        <f>('INSTRUCTION-2YR'!AC35+'RESEARCH 2yr'!AC35+'PUBLIC SERVICE 2yr'!AC35+'ASptISptSSv 2yr'!AC35+'PLANT OPER MAIN 2yr'!AC35+'SCHOLAR FELLOW 2yr'!AC35+'All Other 2yr'!AC35)-AC35</f>
        <v>0</v>
      </c>
      <c r="BH35" s="74">
        <f>('INSTRUCTION-2YR'!AD35+'RESEARCH 2yr'!AD35+'PUBLIC SERVICE 2yr'!AD35+'ASptISptSSv 2yr'!AD35+'PLANT OPER MAIN 2yr'!AD35+'SCHOLAR FELLOW 2yr'!AD35+'All Other 2yr'!AD35)-AD35</f>
        <v>0</v>
      </c>
      <c r="BI35" s="74">
        <f>('INSTRUCTION-2YR'!AE35+'RESEARCH 2yr'!AE35+'PUBLIC SERVICE 2yr'!AE35+'ASptISptSSv 2yr'!AE35+'PLANT OPER MAIN 2yr'!AE35+'SCHOLAR FELLOW 2yr'!AE35+'All Other 2yr'!AE35)-AE35</f>
        <v>0</v>
      </c>
    </row>
    <row r="36" spans="1:61">
      <c r="A36" s="1" t="s">
        <v>52</v>
      </c>
      <c r="F36" s="41">
        <v>360126.71399999998</v>
      </c>
      <c r="I36" s="1">
        <v>414274.95299999998</v>
      </c>
      <c r="K36" s="1">
        <v>486216.39627999999</v>
      </c>
      <c r="L36" s="1">
        <v>571613.20299999998</v>
      </c>
      <c r="M36" s="1">
        <v>594902.23499999999</v>
      </c>
      <c r="N36" s="1">
        <v>650017.72699999996</v>
      </c>
      <c r="O36" s="1">
        <v>687806.70200000005</v>
      </c>
      <c r="P36" s="1">
        <v>699439.66200000001</v>
      </c>
      <c r="Q36" s="1">
        <v>741730.19499999995</v>
      </c>
      <c r="R36" s="1">
        <v>788742.527</v>
      </c>
      <c r="S36" s="1">
        <v>810007.58200000005</v>
      </c>
      <c r="T36" s="1">
        <v>851164.32</v>
      </c>
      <c r="U36" s="1">
        <v>1059219.79</v>
      </c>
      <c r="V36" s="1">
        <v>1105389.9410000001</v>
      </c>
      <c r="W36" s="1">
        <v>1241330.7990000001</v>
      </c>
      <c r="X36" s="1">
        <v>1201190.098</v>
      </c>
      <c r="Y36" s="1">
        <v>1190908.037</v>
      </c>
      <c r="Z36" s="1">
        <v>1166059.7039999999</v>
      </c>
      <c r="AA36" s="1">
        <v>1017320.495</v>
      </c>
      <c r="AB36" s="1">
        <v>1318927.155</v>
      </c>
      <c r="AC36" s="1">
        <v>1233079.8570000001</v>
      </c>
      <c r="AE36" s="1">
        <v>1225328.2450000001</v>
      </c>
      <c r="AF36" s="74">
        <f>('INSTRUCTION-2YR'!B36+'RESEARCH 2yr'!B36+'PUBLIC SERVICE 2yr'!B36+'ASptISptSSv 2yr'!B36+'PLANT OPER MAIN 2yr'!B36+'SCHOLAR FELLOW 2yr'!B36+'All Other 2yr'!B36)-B36</f>
        <v>0</v>
      </c>
      <c r="AG36" s="74">
        <f>('INSTRUCTION-2YR'!C36+'RESEARCH 2yr'!C36+'PUBLIC SERVICE 2yr'!C36+'ASptISptSSv 2yr'!C36+'PLANT OPER MAIN 2yr'!C36+'SCHOLAR FELLOW 2yr'!C36+'All Other 2yr'!C36)-C36</f>
        <v>0</v>
      </c>
      <c r="AH36" s="74">
        <f>('INSTRUCTION-2YR'!D36+'RESEARCH 2yr'!D36+'PUBLIC SERVICE 2yr'!D36+'ASptISptSSv 2yr'!D36+'PLANT OPER MAIN 2yr'!D36+'SCHOLAR FELLOW 2yr'!D36+'All Other 2yr'!D36)-D36</f>
        <v>0</v>
      </c>
      <c r="AI36" s="74">
        <f>('INSTRUCTION-2YR'!E36+'RESEARCH 2yr'!E36+'PUBLIC SERVICE 2yr'!E36+'ASptISptSSv 2yr'!E36+'PLANT OPER MAIN 2yr'!E36+'SCHOLAR FELLOW 2yr'!E36+'All Other 2yr'!E36)-E36</f>
        <v>0</v>
      </c>
      <c r="AJ36" s="74">
        <f>('INSTRUCTION-2YR'!F36+'RESEARCH 2yr'!F36+'PUBLIC SERVICE 2yr'!F36+'ASptISptSSv 2yr'!F36+'PLANT OPER MAIN 2yr'!F36+'SCHOLAR FELLOW 2yr'!F36+'All Other 2yr'!F36)-F36</f>
        <v>0</v>
      </c>
      <c r="AK36" s="74">
        <f>('INSTRUCTION-2YR'!G36+'RESEARCH 2yr'!G36+'PUBLIC SERVICE 2yr'!G36+'ASptISptSSv 2yr'!G36+'PLANT OPER MAIN 2yr'!G36+'SCHOLAR FELLOW 2yr'!G36+'All Other 2yr'!G36)-G36</f>
        <v>0</v>
      </c>
      <c r="AL36" s="74">
        <f>('INSTRUCTION-2YR'!H36+'RESEARCH 2yr'!H36+'PUBLIC SERVICE 2yr'!H36+'ASptISptSSv 2yr'!H36+'PLANT OPER MAIN 2yr'!H36+'SCHOLAR FELLOW 2yr'!H36+'All Other 2yr'!H36)-H36</f>
        <v>0</v>
      </c>
      <c r="AM36" s="74">
        <f>('INSTRUCTION-2YR'!I36+'RESEARCH 2yr'!I36+'PUBLIC SERVICE 2yr'!I36+'ASptISptSSv 2yr'!I36+'PLANT OPER MAIN 2yr'!I36+'SCHOLAR FELLOW 2yr'!I36+'All Other 2yr'!I36)-I36</f>
        <v>0</v>
      </c>
      <c r="AN36" s="74">
        <f>('INSTRUCTION-2YR'!J36+'RESEARCH 2yr'!J36+'PUBLIC SERVICE 2yr'!J36+'ASptISptSSv 2yr'!J36+'PLANT OPER MAIN 2yr'!J36+'SCHOLAR FELLOW 2yr'!J36+'All Other 2yr'!J36)-J36</f>
        <v>0</v>
      </c>
      <c r="AO36" s="74">
        <f>('INSTRUCTION-2YR'!K36+'RESEARCH 2yr'!K36+'PUBLIC SERVICE 2yr'!K36+'ASptISptSSv 2yr'!K36+'PLANT OPER MAIN 2yr'!K36+'SCHOLAR FELLOW 2yr'!K36+'All Other 2yr'!K36)-K36</f>
        <v>0</v>
      </c>
      <c r="AP36" s="74">
        <f>('INSTRUCTION-2YR'!L36+'RESEARCH 2yr'!L36+'PUBLIC SERVICE 2yr'!L36+'ASptISptSSv 2yr'!L36+'PLANT OPER MAIN 2yr'!L36+'SCHOLAR FELLOW 2yr'!L36+'All Other 2yr'!L36)-L36</f>
        <v>0</v>
      </c>
      <c r="AQ36" s="74">
        <f>('INSTRUCTION-2YR'!M36+'RESEARCH 2yr'!M36+'PUBLIC SERVICE 2yr'!M36+'ASptISptSSv 2yr'!M36+'PLANT OPER MAIN 2yr'!M36+'SCHOLAR FELLOW 2yr'!M36+'All Other 2yr'!M36)-M36</f>
        <v>0</v>
      </c>
      <c r="AR36" s="74">
        <f>('INSTRUCTION-2YR'!N36+'RESEARCH 2yr'!N36+'PUBLIC SERVICE 2yr'!N36+'ASptISptSSv 2yr'!N36+'PLANT OPER MAIN 2yr'!N36+'SCHOLAR FELLOW 2yr'!N36+'All Other 2yr'!N36)-N36</f>
        <v>0</v>
      </c>
      <c r="AS36" s="74">
        <f>('INSTRUCTION-2YR'!O36+'RESEARCH 2yr'!O36+'PUBLIC SERVICE 2yr'!O36+'ASptISptSSv 2yr'!O36+'PLANT OPER MAIN 2yr'!O36+'SCHOLAR FELLOW 2yr'!O36+'All Other 2yr'!O36)-O36</f>
        <v>0</v>
      </c>
      <c r="AT36" s="74">
        <f>('INSTRUCTION-2YR'!P36+'RESEARCH 2yr'!P36+'PUBLIC SERVICE 2yr'!P36+'ASptISptSSv 2yr'!P36+'PLANT OPER MAIN 2yr'!P36+'SCHOLAR FELLOW 2yr'!P36+'All Other 2yr'!P36)-P36</f>
        <v>0</v>
      </c>
      <c r="AU36" s="74">
        <f>('INSTRUCTION-2YR'!Q36+'RESEARCH 2yr'!Q36+'PUBLIC SERVICE 2yr'!Q36+'ASptISptSSv 2yr'!Q36+'PLANT OPER MAIN 2yr'!Q36+'SCHOLAR FELLOW 2yr'!Q36+'All Other 2yr'!Q36)-Q36</f>
        <v>0</v>
      </c>
      <c r="AV36" s="74">
        <f>('INSTRUCTION-2YR'!R36+'RESEARCH 2yr'!R36+'PUBLIC SERVICE 2yr'!R36+'ASptISptSSv 2yr'!R36+'PLANT OPER MAIN 2yr'!R36+'SCHOLAR FELLOW 2yr'!R36+'All Other 2yr'!R36)-R36</f>
        <v>0</v>
      </c>
      <c r="AW36" s="74">
        <f>('INSTRUCTION-2YR'!S36+'RESEARCH 2yr'!S36+'PUBLIC SERVICE 2yr'!S36+'ASptISptSSv 2yr'!S36+'PLANT OPER MAIN 2yr'!S36+'SCHOLAR FELLOW 2yr'!S36+'All Other 2yr'!S36)-S36</f>
        <v>0</v>
      </c>
      <c r="AX36" s="74">
        <f>('INSTRUCTION-2YR'!T36+'RESEARCH 2yr'!T36+'PUBLIC SERVICE 2yr'!T36+'ASptISptSSv 2yr'!T36+'PLANT OPER MAIN 2yr'!T36+'SCHOLAR FELLOW 2yr'!T36+'All Other 2yr'!T36)-T36</f>
        <v>0</v>
      </c>
      <c r="AY36" s="74">
        <f>('INSTRUCTION-2YR'!U36+'RESEARCH 2yr'!U36+'PUBLIC SERVICE 2yr'!U36+'ASptISptSSv 2yr'!U36+'PLANT OPER MAIN 2yr'!U36+'SCHOLAR FELLOW 2yr'!U36+'All Other 2yr'!U36)-U36</f>
        <v>0</v>
      </c>
      <c r="AZ36" s="74">
        <f>('INSTRUCTION-2YR'!V36+'RESEARCH 2yr'!V36+'PUBLIC SERVICE 2yr'!V36+'ASptISptSSv 2yr'!V36+'PLANT OPER MAIN 2yr'!V36+'SCHOLAR FELLOW 2yr'!V36+'All Other 2yr'!V36)-V36</f>
        <v>0</v>
      </c>
      <c r="BA36" s="74">
        <f>('INSTRUCTION-2YR'!W36+'RESEARCH 2yr'!W36+'PUBLIC SERVICE 2yr'!W36+'ASptISptSSv 2yr'!W36+'PLANT OPER MAIN 2yr'!W36+'SCHOLAR FELLOW 2yr'!W36+'All Other 2yr'!W36)-W36</f>
        <v>0</v>
      </c>
      <c r="BB36" s="74">
        <f>('INSTRUCTION-2YR'!X36+'RESEARCH 2yr'!X36+'PUBLIC SERVICE 2yr'!X36+'ASptISptSSv 2yr'!X36+'PLANT OPER MAIN 2yr'!X36+'SCHOLAR FELLOW 2yr'!X36+'All Other 2yr'!X36)-X36</f>
        <v>0</v>
      </c>
      <c r="BC36" s="74">
        <f>('INSTRUCTION-2YR'!Y36+'RESEARCH 2yr'!Y36+'PUBLIC SERVICE 2yr'!Y36+'ASptISptSSv 2yr'!Y36+'PLANT OPER MAIN 2yr'!Y36+'SCHOLAR FELLOW 2yr'!Y36+'All Other 2yr'!Y36)-Y36</f>
        <v>0</v>
      </c>
      <c r="BD36" s="74">
        <f>('INSTRUCTION-2YR'!Z36+'RESEARCH 2yr'!Z36+'PUBLIC SERVICE 2yr'!Z36+'ASptISptSSv 2yr'!Z36+'PLANT OPER MAIN 2yr'!Z36+'SCHOLAR FELLOW 2yr'!Z36+'All Other 2yr'!Z36)-Z36</f>
        <v>0</v>
      </c>
      <c r="BE36" s="74">
        <f>('INSTRUCTION-2YR'!AA36+'RESEARCH 2yr'!AA36+'PUBLIC SERVICE 2yr'!AA36+'ASptISptSSv 2yr'!AA36+'PLANT OPER MAIN 2yr'!AA36+'SCHOLAR FELLOW 2yr'!AA36+'All Other 2yr'!AA36)-AA36</f>
        <v>0</v>
      </c>
      <c r="BF36" s="74">
        <f>('INSTRUCTION-2YR'!AB36+'RESEARCH 2yr'!AB36+'PUBLIC SERVICE 2yr'!AB36+'ASptISptSSv 2yr'!AB36+'PLANT OPER MAIN 2yr'!AB36+'SCHOLAR FELLOW 2yr'!AB36+'All Other 2yr'!AB36)-AB36</f>
        <v>0</v>
      </c>
      <c r="BG36" s="74">
        <f>('INSTRUCTION-2YR'!AC36+'RESEARCH 2yr'!AC36+'PUBLIC SERVICE 2yr'!AC36+'ASptISptSSv 2yr'!AC36+'PLANT OPER MAIN 2yr'!AC36+'SCHOLAR FELLOW 2yr'!AC36+'All Other 2yr'!AC36)-AC36</f>
        <v>0</v>
      </c>
      <c r="BH36" s="74">
        <f>('INSTRUCTION-2YR'!AD36+'RESEARCH 2yr'!AD36+'PUBLIC SERVICE 2yr'!AD36+'ASptISptSSv 2yr'!AD36+'PLANT OPER MAIN 2yr'!AD36+'SCHOLAR FELLOW 2yr'!AD36+'All Other 2yr'!AD36)-AD36</f>
        <v>0</v>
      </c>
      <c r="BI36" s="74">
        <f>('INSTRUCTION-2YR'!AE36+'RESEARCH 2yr'!AE36+'PUBLIC SERVICE 2yr'!AE36+'ASptISptSSv 2yr'!AE36+'PLANT OPER MAIN 2yr'!AE36+'SCHOLAR FELLOW 2yr'!AE36+'All Other 2yr'!AE36)-AE36</f>
        <v>0</v>
      </c>
    </row>
    <row r="37" spans="1:61">
      <c r="A37" s="1" t="s">
        <v>53</v>
      </c>
      <c r="F37" s="41">
        <v>130846.202</v>
      </c>
      <c r="I37" s="1">
        <v>122423.94</v>
      </c>
      <c r="K37" s="1">
        <v>143080.527</v>
      </c>
      <c r="L37" s="1">
        <v>139353.334</v>
      </c>
      <c r="M37" s="1">
        <v>162095.149</v>
      </c>
      <c r="N37" s="1">
        <v>177274.788</v>
      </c>
      <c r="O37" s="1">
        <v>181125.204</v>
      </c>
      <c r="P37" s="1">
        <v>213127.51</v>
      </c>
      <c r="Q37" s="1">
        <v>227300.72899999999</v>
      </c>
      <c r="R37" s="1">
        <v>232773.611</v>
      </c>
      <c r="S37" s="1">
        <v>250604.23699999999</v>
      </c>
      <c r="T37" s="1">
        <v>270884.66399999999</v>
      </c>
      <c r="U37" s="1">
        <v>264923.42</v>
      </c>
      <c r="V37" s="1">
        <v>321129.88299999997</v>
      </c>
      <c r="W37" s="1">
        <v>305240.41499999998</v>
      </c>
      <c r="X37" s="1">
        <v>249484.85399999999</v>
      </c>
      <c r="Y37" s="1">
        <v>345209.51</v>
      </c>
      <c r="Z37" s="1">
        <v>345571.70899999997</v>
      </c>
      <c r="AA37" s="1">
        <v>351448.24300000002</v>
      </c>
      <c r="AB37" s="1">
        <v>262660.745</v>
      </c>
      <c r="AC37" s="1">
        <v>274456.29800000001</v>
      </c>
      <c r="AE37" s="1">
        <v>287664.33299999998</v>
      </c>
      <c r="AF37" s="74">
        <f>('INSTRUCTION-2YR'!B37+'RESEARCH 2yr'!B37+'PUBLIC SERVICE 2yr'!B37+'ASptISptSSv 2yr'!B37+'PLANT OPER MAIN 2yr'!B37+'SCHOLAR FELLOW 2yr'!B37+'All Other 2yr'!B37)-B37</f>
        <v>0</v>
      </c>
      <c r="AG37" s="74">
        <f>('INSTRUCTION-2YR'!C37+'RESEARCH 2yr'!C37+'PUBLIC SERVICE 2yr'!C37+'ASptISptSSv 2yr'!C37+'PLANT OPER MAIN 2yr'!C37+'SCHOLAR FELLOW 2yr'!C37+'All Other 2yr'!C37)-C37</f>
        <v>0</v>
      </c>
      <c r="AH37" s="74">
        <f>('INSTRUCTION-2YR'!D37+'RESEARCH 2yr'!D37+'PUBLIC SERVICE 2yr'!D37+'ASptISptSSv 2yr'!D37+'PLANT OPER MAIN 2yr'!D37+'SCHOLAR FELLOW 2yr'!D37+'All Other 2yr'!D37)-D37</f>
        <v>0</v>
      </c>
      <c r="AI37" s="74">
        <f>('INSTRUCTION-2YR'!E37+'RESEARCH 2yr'!E37+'PUBLIC SERVICE 2yr'!E37+'ASptISptSSv 2yr'!E37+'PLANT OPER MAIN 2yr'!E37+'SCHOLAR FELLOW 2yr'!E37+'All Other 2yr'!E37)-E37</f>
        <v>0</v>
      </c>
      <c r="AJ37" s="74">
        <f>('INSTRUCTION-2YR'!F37+'RESEARCH 2yr'!F37+'PUBLIC SERVICE 2yr'!F37+'ASptISptSSv 2yr'!F37+'PLANT OPER MAIN 2yr'!F37+'SCHOLAR FELLOW 2yr'!F37+'All Other 2yr'!F37)-F37</f>
        <v>0</v>
      </c>
      <c r="AK37" s="74">
        <f>('INSTRUCTION-2YR'!G37+'RESEARCH 2yr'!G37+'PUBLIC SERVICE 2yr'!G37+'ASptISptSSv 2yr'!G37+'PLANT OPER MAIN 2yr'!G37+'SCHOLAR FELLOW 2yr'!G37+'All Other 2yr'!G37)-G37</f>
        <v>0</v>
      </c>
      <c r="AL37" s="74">
        <f>('INSTRUCTION-2YR'!H37+'RESEARCH 2yr'!H37+'PUBLIC SERVICE 2yr'!H37+'ASptISptSSv 2yr'!H37+'PLANT OPER MAIN 2yr'!H37+'SCHOLAR FELLOW 2yr'!H37+'All Other 2yr'!H37)-H37</f>
        <v>0</v>
      </c>
      <c r="AM37" s="74">
        <f>('INSTRUCTION-2YR'!I37+'RESEARCH 2yr'!I37+'PUBLIC SERVICE 2yr'!I37+'ASptISptSSv 2yr'!I37+'PLANT OPER MAIN 2yr'!I37+'SCHOLAR FELLOW 2yr'!I37+'All Other 2yr'!I37)-I37</f>
        <v>0</v>
      </c>
      <c r="AN37" s="74">
        <f>('INSTRUCTION-2YR'!J37+'RESEARCH 2yr'!J37+'PUBLIC SERVICE 2yr'!J37+'ASptISptSSv 2yr'!J37+'PLANT OPER MAIN 2yr'!J37+'SCHOLAR FELLOW 2yr'!J37+'All Other 2yr'!J37)-J37</f>
        <v>0</v>
      </c>
      <c r="AO37" s="74">
        <f>('INSTRUCTION-2YR'!K37+'RESEARCH 2yr'!K37+'PUBLIC SERVICE 2yr'!K37+'ASptISptSSv 2yr'!K37+'PLANT OPER MAIN 2yr'!K37+'SCHOLAR FELLOW 2yr'!K37+'All Other 2yr'!K37)-K37</f>
        <v>0</v>
      </c>
      <c r="AP37" s="74">
        <f>('INSTRUCTION-2YR'!L37+'RESEARCH 2yr'!L37+'PUBLIC SERVICE 2yr'!L37+'ASptISptSSv 2yr'!L37+'PLANT OPER MAIN 2yr'!L37+'SCHOLAR FELLOW 2yr'!L37+'All Other 2yr'!L37)-L37</f>
        <v>0</v>
      </c>
      <c r="AQ37" s="74">
        <f>('INSTRUCTION-2YR'!M37+'RESEARCH 2yr'!M37+'PUBLIC SERVICE 2yr'!M37+'ASptISptSSv 2yr'!M37+'PLANT OPER MAIN 2yr'!M37+'SCHOLAR FELLOW 2yr'!M37+'All Other 2yr'!M37)-M37</f>
        <v>0</v>
      </c>
      <c r="AR37" s="74">
        <f>('INSTRUCTION-2YR'!N37+'RESEARCH 2yr'!N37+'PUBLIC SERVICE 2yr'!N37+'ASptISptSSv 2yr'!N37+'PLANT OPER MAIN 2yr'!N37+'SCHOLAR FELLOW 2yr'!N37+'All Other 2yr'!N37)-N37</f>
        <v>0</v>
      </c>
      <c r="AS37" s="74">
        <f>('INSTRUCTION-2YR'!O37+'RESEARCH 2yr'!O37+'PUBLIC SERVICE 2yr'!O37+'ASptISptSSv 2yr'!O37+'PLANT OPER MAIN 2yr'!O37+'SCHOLAR FELLOW 2yr'!O37+'All Other 2yr'!O37)-O37</f>
        <v>0</v>
      </c>
      <c r="AT37" s="74">
        <f>('INSTRUCTION-2YR'!P37+'RESEARCH 2yr'!P37+'PUBLIC SERVICE 2yr'!P37+'ASptISptSSv 2yr'!P37+'PLANT OPER MAIN 2yr'!P37+'SCHOLAR FELLOW 2yr'!P37+'All Other 2yr'!P37)-P37</f>
        <v>0</v>
      </c>
      <c r="AU37" s="74">
        <f>('INSTRUCTION-2YR'!Q37+'RESEARCH 2yr'!Q37+'PUBLIC SERVICE 2yr'!Q37+'ASptISptSSv 2yr'!Q37+'PLANT OPER MAIN 2yr'!Q37+'SCHOLAR FELLOW 2yr'!Q37+'All Other 2yr'!Q37)-Q37</f>
        <v>0</v>
      </c>
      <c r="AV37" s="74">
        <f>('INSTRUCTION-2YR'!R37+'RESEARCH 2yr'!R37+'PUBLIC SERVICE 2yr'!R37+'ASptISptSSv 2yr'!R37+'PLANT OPER MAIN 2yr'!R37+'SCHOLAR FELLOW 2yr'!R37+'All Other 2yr'!R37)-R37</f>
        <v>0</v>
      </c>
      <c r="AW37" s="74">
        <f>('INSTRUCTION-2YR'!S37+'RESEARCH 2yr'!S37+'PUBLIC SERVICE 2yr'!S37+'ASptISptSSv 2yr'!S37+'PLANT OPER MAIN 2yr'!S37+'SCHOLAR FELLOW 2yr'!S37+'All Other 2yr'!S37)-S37</f>
        <v>0</v>
      </c>
      <c r="AX37" s="74">
        <f>('INSTRUCTION-2YR'!T37+'RESEARCH 2yr'!T37+'PUBLIC SERVICE 2yr'!T37+'ASptISptSSv 2yr'!T37+'PLANT OPER MAIN 2yr'!T37+'SCHOLAR FELLOW 2yr'!T37+'All Other 2yr'!T37)-T37</f>
        <v>0</v>
      </c>
      <c r="AY37" s="74">
        <f>('INSTRUCTION-2YR'!U37+'RESEARCH 2yr'!U37+'PUBLIC SERVICE 2yr'!U37+'ASptISptSSv 2yr'!U37+'PLANT OPER MAIN 2yr'!U37+'SCHOLAR FELLOW 2yr'!U37+'All Other 2yr'!U37)-U37</f>
        <v>0</v>
      </c>
      <c r="AZ37" s="74">
        <f>('INSTRUCTION-2YR'!V37+'RESEARCH 2yr'!V37+'PUBLIC SERVICE 2yr'!V37+'ASptISptSSv 2yr'!V37+'PLANT OPER MAIN 2yr'!V37+'SCHOLAR FELLOW 2yr'!V37+'All Other 2yr'!V37)-V37</f>
        <v>0</v>
      </c>
      <c r="BA37" s="74">
        <f>('INSTRUCTION-2YR'!W37+'RESEARCH 2yr'!W37+'PUBLIC SERVICE 2yr'!W37+'ASptISptSSv 2yr'!W37+'PLANT OPER MAIN 2yr'!W37+'SCHOLAR FELLOW 2yr'!W37+'All Other 2yr'!W37)-W37</f>
        <v>0</v>
      </c>
      <c r="BB37" s="74">
        <f>('INSTRUCTION-2YR'!X37+'RESEARCH 2yr'!X37+'PUBLIC SERVICE 2yr'!X37+'ASptISptSSv 2yr'!X37+'PLANT OPER MAIN 2yr'!X37+'SCHOLAR FELLOW 2yr'!X37+'All Other 2yr'!X37)-X37</f>
        <v>0</v>
      </c>
      <c r="BC37" s="74">
        <f>('INSTRUCTION-2YR'!Y37+'RESEARCH 2yr'!Y37+'PUBLIC SERVICE 2yr'!Y37+'ASptISptSSv 2yr'!Y37+'PLANT OPER MAIN 2yr'!Y37+'SCHOLAR FELLOW 2yr'!Y37+'All Other 2yr'!Y37)-Y37</f>
        <v>0</v>
      </c>
      <c r="BD37" s="74">
        <f>('INSTRUCTION-2YR'!Z37+'RESEARCH 2yr'!Z37+'PUBLIC SERVICE 2yr'!Z37+'ASptISptSSv 2yr'!Z37+'PLANT OPER MAIN 2yr'!Z37+'SCHOLAR FELLOW 2yr'!Z37+'All Other 2yr'!Z37)-Z37</f>
        <v>0</v>
      </c>
      <c r="BE37" s="74">
        <f>('INSTRUCTION-2YR'!AA37+'RESEARCH 2yr'!AA37+'PUBLIC SERVICE 2yr'!AA37+'ASptISptSSv 2yr'!AA37+'PLANT OPER MAIN 2yr'!AA37+'SCHOLAR FELLOW 2yr'!AA37+'All Other 2yr'!AA37)-AA37</f>
        <v>0</v>
      </c>
      <c r="BF37" s="74">
        <f>('INSTRUCTION-2YR'!AB37+'RESEARCH 2yr'!AB37+'PUBLIC SERVICE 2yr'!AB37+'ASptISptSSv 2yr'!AB37+'PLANT OPER MAIN 2yr'!AB37+'SCHOLAR FELLOW 2yr'!AB37+'All Other 2yr'!AB37)-AB37</f>
        <v>0</v>
      </c>
      <c r="BG37" s="74">
        <f>('INSTRUCTION-2YR'!AC37+'RESEARCH 2yr'!AC37+'PUBLIC SERVICE 2yr'!AC37+'ASptISptSSv 2yr'!AC37+'PLANT OPER MAIN 2yr'!AC37+'SCHOLAR FELLOW 2yr'!AC37+'All Other 2yr'!AC37)-AC37</f>
        <v>0</v>
      </c>
      <c r="BH37" s="74">
        <f>('INSTRUCTION-2YR'!AD37+'RESEARCH 2yr'!AD37+'PUBLIC SERVICE 2yr'!AD37+'ASptISptSSv 2yr'!AD37+'PLANT OPER MAIN 2yr'!AD37+'SCHOLAR FELLOW 2yr'!AD37+'All Other 2yr'!AD37)-AD37</f>
        <v>0</v>
      </c>
      <c r="BI37" s="74">
        <f>('INSTRUCTION-2YR'!AE37+'RESEARCH 2yr'!AE37+'PUBLIC SERVICE 2yr'!AE37+'ASptISptSSv 2yr'!AE37+'PLANT OPER MAIN 2yr'!AE37+'SCHOLAR FELLOW 2yr'!AE37+'All Other 2yr'!AE37)-AE37</f>
        <v>0</v>
      </c>
    </row>
    <row r="38" spans="1:61">
      <c r="A38" s="1" t="s">
        <v>54</v>
      </c>
      <c r="F38" s="41">
        <v>511025.64</v>
      </c>
      <c r="I38" s="1">
        <v>677485.38100000005</v>
      </c>
      <c r="K38" s="1">
        <v>791166.17807000002</v>
      </c>
      <c r="L38" s="1">
        <v>948229.98</v>
      </c>
      <c r="M38" s="1">
        <v>1071851.7479999999</v>
      </c>
      <c r="N38" s="1">
        <v>1098175.9669999999</v>
      </c>
      <c r="O38" s="1">
        <v>1173529.611</v>
      </c>
      <c r="P38" s="1">
        <v>1317011.3189999999</v>
      </c>
      <c r="Q38" s="1">
        <v>1379717.9439999999</v>
      </c>
      <c r="R38" s="1">
        <v>1415428.655</v>
      </c>
      <c r="S38" s="1">
        <v>1277729.504</v>
      </c>
      <c r="T38" s="1">
        <v>1396505.426</v>
      </c>
      <c r="U38" s="1">
        <v>1690458.7660000001</v>
      </c>
      <c r="V38" s="1">
        <v>1798259.44</v>
      </c>
      <c r="W38" s="1">
        <v>1929269.5160000001</v>
      </c>
      <c r="X38" s="1">
        <v>1909230.379</v>
      </c>
      <c r="Y38" s="1">
        <v>1510719.2679999999</v>
      </c>
      <c r="Z38" s="1">
        <v>1539961.89</v>
      </c>
      <c r="AA38" s="1">
        <v>1549907.58</v>
      </c>
      <c r="AB38" s="1">
        <v>1983808.987</v>
      </c>
      <c r="AC38" s="1">
        <v>2087138.81</v>
      </c>
      <c r="AE38" s="1">
        <v>2257016.0299999998</v>
      </c>
      <c r="AF38" s="74">
        <f>('INSTRUCTION-2YR'!B38+'RESEARCH 2yr'!B38+'PUBLIC SERVICE 2yr'!B38+'ASptISptSSv 2yr'!B38+'PLANT OPER MAIN 2yr'!B38+'SCHOLAR FELLOW 2yr'!B38+'All Other 2yr'!B38)-B38</f>
        <v>0</v>
      </c>
      <c r="AG38" s="74">
        <f>('INSTRUCTION-2YR'!C38+'RESEARCH 2yr'!C38+'PUBLIC SERVICE 2yr'!C38+'ASptISptSSv 2yr'!C38+'PLANT OPER MAIN 2yr'!C38+'SCHOLAR FELLOW 2yr'!C38+'All Other 2yr'!C38)-C38</f>
        <v>0</v>
      </c>
      <c r="AH38" s="74">
        <f>('INSTRUCTION-2YR'!D38+'RESEARCH 2yr'!D38+'PUBLIC SERVICE 2yr'!D38+'ASptISptSSv 2yr'!D38+'PLANT OPER MAIN 2yr'!D38+'SCHOLAR FELLOW 2yr'!D38+'All Other 2yr'!D38)-D38</f>
        <v>0</v>
      </c>
      <c r="AI38" s="74">
        <f>('INSTRUCTION-2YR'!E38+'RESEARCH 2yr'!E38+'PUBLIC SERVICE 2yr'!E38+'ASptISptSSv 2yr'!E38+'PLANT OPER MAIN 2yr'!E38+'SCHOLAR FELLOW 2yr'!E38+'All Other 2yr'!E38)-E38</f>
        <v>0</v>
      </c>
      <c r="AJ38" s="74">
        <f>('INSTRUCTION-2YR'!F38+'RESEARCH 2yr'!F38+'PUBLIC SERVICE 2yr'!F38+'ASptISptSSv 2yr'!F38+'PLANT OPER MAIN 2yr'!F38+'SCHOLAR FELLOW 2yr'!F38+'All Other 2yr'!F38)-F38</f>
        <v>0</v>
      </c>
      <c r="AK38" s="74">
        <f>('INSTRUCTION-2YR'!G38+'RESEARCH 2yr'!G38+'PUBLIC SERVICE 2yr'!G38+'ASptISptSSv 2yr'!G38+'PLANT OPER MAIN 2yr'!G38+'SCHOLAR FELLOW 2yr'!G38+'All Other 2yr'!G38)-G38</f>
        <v>0</v>
      </c>
      <c r="AL38" s="74">
        <f>('INSTRUCTION-2YR'!H38+'RESEARCH 2yr'!H38+'PUBLIC SERVICE 2yr'!H38+'ASptISptSSv 2yr'!H38+'PLANT OPER MAIN 2yr'!H38+'SCHOLAR FELLOW 2yr'!H38+'All Other 2yr'!H38)-H38</f>
        <v>0</v>
      </c>
      <c r="AM38" s="74">
        <f>('INSTRUCTION-2YR'!I38+'RESEARCH 2yr'!I38+'PUBLIC SERVICE 2yr'!I38+'ASptISptSSv 2yr'!I38+'PLANT OPER MAIN 2yr'!I38+'SCHOLAR FELLOW 2yr'!I38+'All Other 2yr'!I38)-I38</f>
        <v>0</v>
      </c>
      <c r="AN38" s="74">
        <f>('INSTRUCTION-2YR'!J38+'RESEARCH 2yr'!J38+'PUBLIC SERVICE 2yr'!J38+'ASptISptSSv 2yr'!J38+'PLANT OPER MAIN 2yr'!J38+'SCHOLAR FELLOW 2yr'!J38+'All Other 2yr'!J38)-J38</f>
        <v>0</v>
      </c>
      <c r="AO38" s="74">
        <f>('INSTRUCTION-2YR'!K38+'RESEARCH 2yr'!K38+'PUBLIC SERVICE 2yr'!K38+'ASptISptSSv 2yr'!K38+'PLANT OPER MAIN 2yr'!K38+'SCHOLAR FELLOW 2yr'!K38+'All Other 2yr'!K38)-K38</f>
        <v>0</v>
      </c>
      <c r="AP38" s="74">
        <f>('INSTRUCTION-2YR'!L38+'RESEARCH 2yr'!L38+'PUBLIC SERVICE 2yr'!L38+'ASptISptSSv 2yr'!L38+'PLANT OPER MAIN 2yr'!L38+'SCHOLAR FELLOW 2yr'!L38+'All Other 2yr'!L38)-L38</f>
        <v>0</v>
      </c>
      <c r="AQ38" s="74">
        <f>('INSTRUCTION-2YR'!M38+'RESEARCH 2yr'!M38+'PUBLIC SERVICE 2yr'!M38+'ASptISptSSv 2yr'!M38+'PLANT OPER MAIN 2yr'!M38+'SCHOLAR FELLOW 2yr'!M38+'All Other 2yr'!M38)-M38</f>
        <v>0</v>
      </c>
      <c r="AR38" s="74">
        <f>('INSTRUCTION-2YR'!N38+'RESEARCH 2yr'!N38+'PUBLIC SERVICE 2yr'!N38+'ASptISptSSv 2yr'!N38+'PLANT OPER MAIN 2yr'!N38+'SCHOLAR FELLOW 2yr'!N38+'All Other 2yr'!N38)-N38</f>
        <v>0</v>
      </c>
      <c r="AS38" s="74">
        <f>('INSTRUCTION-2YR'!O38+'RESEARCH 2yr'!O38+'PUBLIC SERVICE 2yr'!O38+'ASptISptSSv 2yr'!O38+'PLANT OPER MAIN 2yr'!O38+'SCHOLAR FELLOW 2yr'!O38+'All Other 2yr'!O38)-O38</f>
        <v>0</v>
      </c>
      <c r="AT38" s="74">
        <f>('INSTRUCTION-2YR'!P38+'RESEARCH 2yr'!P38+'PUBLIC SERVICE 2yr'!P38+'ASptISptSSv 2yr'!P38+'PLANT OPER MAIN 2yr'!P38+'SCHOLAR FELLOW 2yr'!P38+'All Other 2yr'!P38)-P38</f>
        <v>0</v>
      </c>
      <c r="AU38" s="74">
        <f>('INSTRUCTION-2YR'!Q38+'RESEARCH 2yr'!Q38+'PUBLIC SERVICE 2yr'!Q38+'ASptISptSSv 2yr'!Q38+'PLANT OPER MAIN 2yr'!Q38+'SCHOLAR FELLOW 2yr'!Q38+'All Other 2yr'!Q38)-Q38</f>
        <v>0</v>
      </c>
      <c r="AV38" s="74">
        <f>('INSTRUCTION-2YR'!R38+'RESEARCH 2yr'!R38+'PUBLIC SERVICE 2yr'!R38+'ASptISptSSv 2yr'!R38+'PLANT OPER MAIN 2yr'!R38+'SCHOLAR FELLOW 2yr'!R38+'All Other 2yr'!R38)-R38</f>
        <v>0</v>
      </c>
      <c r="AW38" s="74">
        <f>('INSTRUCTION-2YR'!S38+'RESEARCH 2yr'!S38+'PUBLIC SERVICE 2yr'!S38+'ASptISptSSv 2yr'!S38+'PLANT OPER MAIN 2yr'!S38+'SCHOLAR FELLOW 2yr'!S38+'All Other 2yr'!S38)-S38</f>
        <v>0</v>
      </c>
      <c r="AX38" s="74">
        <f>('INSTRUCTION-2YR'!T38+'RESEARCH 2yr'!T38+'PUBLIC SERVICE 2yr'!T38+'ASptISptSSv 2yr'!T38+'PLANT OPER MAIN 2yr'!T38+'SCHOLAR FELLOW 2yr'!T38+'All Other 2yr'!T38)-T38</f>
        <v>0</v>
      </c>
      <c r="AY38" s="74">
        <f>('INSTRUCTION-2YR'!U38+'RESEARCH 2yr'!U38+'PUBLIC SERVICE 2yr'!U38+'ASptISptSSv 2yr'!U38+'PLANT OPER MAIN 2yr'!U38+'SCHOLAR FELLOW 2yr'!U38+'All Other 2yr'!U38)-U38</f>
        <v>0</v>
      </c>
      <c r="AZ38" s="74">
        <f>('INSTRUCTION-2YR'!V38+'RESEARCH 2yr'!V38+'PUBLIC SERVICE 2yr'!V38+'ASptISptSSv 2yr'!V38+'PLANT OPER MAIN 2yr'!V38+'SCHOLAR FELLOW 2yr'!V38+'All Other 2yr'!V38)-V38</f>
        <v>0</v>
      </c>
      <c r="BA38" s="74">
        <f>('INSTRUCTION-2YR'!W38+'RESEARCH 2yr'!W38+'PUBLIC SERVICE 2yr'!W38+'ASptISptSSv 2yr'!W38+'PLANT OPER MAIN 2yr'!W38+'SCHOLAR FELLOW 2yr'!W38+'All Other 2yr'!W38)-W38</f>
        <v>0</v>
      </c>
      <c r="BB38" s="74">
        <f>('INSTRUCTION-2YR'!X38+'RESEARCH 2yr'!X38+'PUBLIC SERVICE 2yr'!X38+'ASptISptSSv 2yr'!X38+'PLANT OPER MAIN 2yr'!X38+'SCHOLAR FELLOW 2yr'!X38+'All Other 2yr'!X38)-X38</f>
        <v>0</v>
      </c>
      <c r="BC38" s="74">
        <f>('INSTRUCTION-2YR'!Y38+'RESEARCH 2yr'!Y38+'PUBLIC SERVICE 2yr'!Y38+'ASptISptSSv 2yr'!Y38+'PLANT OPER MAIN 2yr'!Y38+'SCHOLAR FELLOW 2yr'!Y38+'All Other 2yr'!Y38)-Y38</f>
        <v>0</v>
      </c>
      <c r="BD38" s="74">
        <f>('INSTRUCTION-2YR'!Z38+'RESEARCH 2yr'!Z38+'PUBLIC SERVICE 2yr'!Z38+'ASptISptSSv 2yr'!Z38+'PLANT OPER MAIN 2yr'!Z38+'SCHOLAR FELLOW 2yr'!Z38+'All Other 2yr'!Z38)-Z38</f>
        <v>0</v>
      </c>
      <c r="BE38" s="74">
        <f>('INSTRUCTION-2YR'!AA38+'RESEARCH 2yr'!AA38+'PUBLIC SERVICE 2yr'!AA38+'ASptISptSSv 2yr'!AA38+'PLANT OPER MAIN 2yr'!AA38+'SCHOLAR FELLOW 2yr'!AA38+'All Other 2yr'!AA38)-AA38</f>
        <v>0</v>
      </c>
      <c r="BF38" s="74">
        <f>('INSTRUCTION-2YR'!AB38+'RESEARCH 2yr'!AB38+'PUBLIC SERVICE 2yr'!AB38+'ASptISptSSv 2yr'!AB38+'PLANT OPER MAIN 2yr'!AB38+'SCHOLAR FELLOW 2yr'!AB38+'All Other 2yr'!AB38)-AB38</f>
        <v>0</v>
      </c>
      <c r="BG38" s="74">
        <f>('INSTRUCTION-2YR'!AC38+'RESEARCH 2yr'!AC38+'PUBLIC SERVICE 2yr'!AC38+'ASptISptSSv 2yr'!AC38+'PLANT OPER MAIN 2yr'!AC38+'SCHOLAR FELLOW 2yr'!AC38+'All Other 2yr'!AC38)-AC38</f>
        <v>0</v>
      </c>
      <c r="BH38" s="74">
        <f>('INSTRUCTION-2YR'!AD38+'RESEARCH 2yr'!AD38+'PUBLIC SERVICE 2yr'!AD38+'ASptISptSSv 2yr'!AD38+'PLANT OPER MAIN 2yr'!AD38+'SCHOLAR FELLOW 2yr'!AD38+'All Other 2yr'!AD38)-AD38</f>
        <v>0</v>
      </c>
      <c r="BI38" s="74">
        <f>('INSTRUCTION-2YR'!AE38+'RESEARCH 2yr'!AE38+'PUBLIC SERVICE 2yr'!AE38+'ASptISptSSv 2yr'!AE38+'PLANT OPER MAIN 2yr'!AE38+'SCHOLAR FELLOW 2yr'!AE38+'All Other 2yr'!AE38)-AE38</f>
        <v>0</v>
      </c>
    </row>
    <row r="39" spans="1:61">
      <c r="A39" s="23" t="s">
        <v>55</v>
      </c>
      <c r="B39" s="23"/>
      <c r="C39" s="23"/>
      <c r="D39" s="23"/>
      <c r="E39" s="23"/>
      <c r="F39" s="44">
        <v>83610.176000000007</v>
      </c>
      <c r="G39" s="23"/>
      <c r="H39" s="23"/>
      <c r="I39" s="23">
        <v>83880.491999999998</v>
      </c>
      <c r="J39" s="23"/>
      <c r="K39" s="23">
        <v>87501.766000000003</v>
      </c>
      <c r="L39" s="23">
        <v>98254.82</v>
      </c>
      <c r="M39" s="23">
        <v>105341.41499999999</v>
      </c>
      <c r="N39" s="23">
        <v>124657.099</v>
      </c>
      <c r="O39" s="23">
        <v>137398.69500000001</v>
      </c>
      <c r="P39" s="23">
        <v>149250.533</v>
      </c>
      <c r="Q39" s="23">
        <v>153824.75200000001</v>
      </c>
      <c r="R39" s="23">
        <v>165634.78200000001</v>
      </c>
      <c r="S39" s="23">
        <v>182299.98199999999</v>
      </c>
      <c r="T39" s="23">
        <v>212489.70499999999</v>
      </c>
      <c r="U39" s="23">
        <v>228931.35200000001</v>
      </c>
      <c r="V39" s="23">
        <v>235065.571</v>
      </c>
      <c r="W39" s="23">
        <v>249146.772</v>
      </c>
      <c r="X39" s="23">
        <v>266532.19099999999</v>
      </c>
      <c r="Y39" s="23">
        <v>268757.42800000001</v>
      </c>
      <c r="Z39" s="23">
        <v>270141.07199999999</v>
      </c>
      <c r="AA39" s="23">
        <v>288181.89199999999</v>
      </c>
      <c r="AB39" s="23">
        <v>299655.17499999999</v>
      </c>
      <c r="AC39" s="23">
        <v>291605.17099999997</v>
      </c>
      <c r="AD39" s="23"/>
      <c r="AE39" s="23">
        <v>288652.39199999999</v>
      </c>
      <c r="AF39" s="74">
        <f>('INSTRUCTION-2YR'!B39+'RESEARCH 2yr'!B39+'PUBLIC SERVICE 2yr'!B39+'ASptISptSSv 2yr'!B39+'PLANT OPER MAIN 2yr'!B39+'SCHOLAR FELLOW 2yr'!B39+'All Other 2yr'!B39)-B39</f>
        <v>0</v>
      </c>
      <c r="AG39" s="74">
        <f>('INSTRUCTION-2YR'!C39+'RESEARCH 2yr'!C39+'PUBLIC SERVICE 2yr'!C39+'ASptISptSSv 2yr'!C39+'PLANT OPER MAIN 2yr'!C39+'SCHOLAR FELLOW 2yr'!C39+'All Other 2yr'!C39)-C39</f>
        <v>0</v>
      </c>
      <c r="AH39" s="74">
        <f>('INSTRUCTION-2YR'!D39+'RESEARCH 2yr'!D39+'PUBLIC SERVICE 2yr'!D39+'ASptISptSSv 2yr'!D39+'PLANT OPER MAIN 2yr'!D39+'SCHOLAR FELLOW 2yr'!D39+'All Other 2yr'!D39)-D39</f>
        <v>0</v>
      </c>
      <c r="AI39" s="74">
        <f>('INSTRUCTION-2YR'!E39+'RESEARCH 2yr'!E39+'PUBLIC SERVICE 2yr'!E39+'ASptISptSSv 2yr'!E39+'PLANT OPER MAIN 2yr'!E39+'SCHOLAR FELLOW 2yr'!E39+'All Other 2yr'!E39)-E39</f>
        <v>0</v>
      </c>
      <c r="AJ39" s="74">
        <f>('INSTRUCTION-2YR'!F39+'RESEARCH 2yr'!F39+'PUBLIC SERVICE 2yr'!F39+'ASptISptSSv 2yr'!F39+'PLANT OPER MAIN 2yr'!F39+'SCHOLAR FELLOW 2yr'!F39+'All Other 2yr'!F39)-F39</f>
        <v>0</v>
      </c>
      <c r="AK39" s="74">
        <f>('INSTRUCTION-2YR'!G39+'RESEARCH 2yr'!G39+'PUBLIC SERVICE 2yr'!G39+'ASptISptSSv 2yr'!G39+'PLANT OPER MAIN 2yr'!G39+'SCHOLAR FELLOW 2yr'!G39+'All Other 2yr'!G39)-G39</f>
        <v>0</v>
      </c>
      <c r="AL39" s="74">
        <f>('INSTRUCTION-2YR'!H39+'RESEARCH 2yr'!H39+'PUBLIC SERVICE 2yr'!H39+'ASptISptSSv 2yr'!H39+'PLANT OPER MAIN 2yr'!H39+'SCHOLAR FELLOW 2yr'!H39+'All Other 2yr'!H39)-H39</f>
        <v>0</v>
      </c>
      <c r="AM39" s="74">
        <f>('INSTRUCTION-2YR'!I39+'RESEARCH 2yr'!I39+'PUBLIC SERVICE 2yr'!I39+'ASptISptSSv 2yr'!I39+'PLANT OPER MAIN 2yr'!I39+'SCHOLAR FELLOW 2yr'!I39+'All Other 2yr'!I39)-I39</f>
        <v>0</v>
      </c>
      <c r="AN39" s="74">
        <f>('INSTRUCTION-2YR'!J39+'RESEARCH 2yr'!J39+'PUBLIC SERVICE 2yr'!J39+'ASptISptSSv 2yr'!J39+'PLANT OPER MAIN 2yr'!J39+'SCHOLAR FELLOW 2yr'!J39+'All Other 2yr'!J39)-J39</f>
        <v>0</v>
      </c>
      <c r="AO39" s="74">
        <f>('INSTRUCTION-2YR'!K39+'RESEARCH 2yr'!K39+'PUBLIC SERVICE 2yr'!K39+'ASptISptSSv 2yr'!K39+'PLANT OPER MAIN 2yr'!K39+'SCHOLAR FELLOW 2yr'!K39+'All Other 2yr'!K39)-K39</f>
        <v>0</v>
      </c>
      <c r="AP39" s="74">
        <f>('INSTRUCTION-2YR'!L39+'RESEARCH 2yr'!L39+'PUBLIC SERVICE 2yr'!L39+'ASptISptSSv 2yr'!L39+'PLANT OPER MAIN 2yr'!L39+'SCHOLAR FELLOW 2yr'!L39+'All Other 2yr'!L39)-L39</f>
        <v>0</v>
      </c>
      <c r="AQ39" s="74">
        <f>('INSTRUCTION-2YR'!M39+'RESEARCH 2yr'!M39+'PUBLIC SERVICE 2yr'!M39+'ASptISptSSv 2yr'!M39+'PLANT OPER MAIN 2yr'!M39+'SCHOLAR FELLOW 2yr'!M39+'All Other 2yr'!M39)-M39</f>
        <v>0</v>
      </c>
      <c r="AR39" s="74">
        <f>('INSTRUCTION-2YR'!N39+'RESEARCH 2yr'!N39+'PUBLIC SERVICE 2yr'!N39+'ASptISptSSv 2yr'!N39+'PLANT OPER MAIN 2yr'!N39+'SCHOLAR FELLOW 2yr'!N39+'All Other 2yr'!N39)-N39</f>
        <v>0</v>
      </c>
      <c r="AS39" s="74">
        <f>('INSTRUCTION-2YR'!O39+'RESEARCH 2yr'!O39+'PUBLIC SERVICE 2yr'!O39+'ASptISptSSv 2yr'!O39+'PLANT OPER MAIN 2yr'!O39+'SCHOLAR FELLOW 2yr'!O39+'All Other 2yr'!O39)-O39</f>
        <v>0</v>
      </c>
      <c r="AT39" s="74">
        <f>('INSTRUCTION-2YR'!P39+'RESEARCH 2yr'!P39+'PUBLIC SERVICE 2yr'!P39+'ASptISptSSv 2yr'!P39+'PLANT OPER MAIN 2yr'!P39+'SCHOLAR FELLOW 2yr'!P39+'All Other 2yr'!P39)-P39</f>
        <v>0</v>
      </c>
      <c r="AU39" s="74">
        <f>('INSTRUCTION-2YR'!Q39+'RESEARCH 2yr'!Q39+'PUBLIC SERVICE 2yr'!Q39+'ASptISptSSv 2yr'!Q39+'PLANT OPER MAIN 2yr'!Q39+'SCHOLAR FELLOW 2yr'!Q39+'All Other 2yr'!Q39)-Q39</f>
        <v>0</v>
      </c>
      <c r="AV39" s="74">
        <f>('INSTRUCTION-2YR'!R39+'RESEARCH 2yr'!R39+'PUBLIC SERVICE 2yr'!R39+'ASptISptSSv 2yr'!R39+'PLANT OPER MAIN 2yr'!R39+'SCHOLAR FELLOW 2yr'!R39+'All Other 2yr'!R39)-R39</f>
        <v>0</v>
      </c>
      <c r="AW39" s="74">
        <f>('INSTRUCTION-2YR'!S39+'RESEARCH 2yr'!S39+'PUBLIC SERVICE 2yr'!S39+'ASptISptSSv 2yr'!S39+'PLANT OPER MAIN 2yr'!S39+'SCHOLAR FELLOW 2yr'!S39+'All Other 2yr'!S39)-S39</f>
        <v>0</v>
      </c>
      <c r="AX39" s="74">
        <f>('INSTRUCTION-2YR'!T39+'RESEARCH 2yr'!T39+'PUBLIC SERVICE 2yr'!T39+'ASptISptSSv 2yr'!T39+'PLANT OPER MAIN 2yr'!T39+'SCHOLAR FELLOW 2yr'!T39+'All Other 2yr'!T39)-T39</f>
        <v>0</v>
      </c>
      <c r="AY39" s="74">
        <f>('INSTRUCTION-2YR'!U39+'RESEARCH 2yr'!U39+'PUBLIC SERVICE 2yr'!U39+'ASptISptSSv 2yr'!U39+'PLANT OPER MAIN 2yr'!U39+'SCHOLAR FELLOW 2yr'!U39+'All Other 2yr'!U39)-U39</f>
        <v>0</v>
      </c>
      <c r="AZ39" s="74">
        <f>('INSTRUCTION-2YR'!V39+'RESEARCH 2yr'!V39+'PUBLIC SERVICE 2yr'!V39+'ASptISptSSv 2yr'!V39+'PLANT OPER MAIN 2yr'!V39+'SCHOLAR FELLOW 2yr'!V39+'All Other 2yr'!V39)-V39</f>
        <v>0</v>
      </c>
      <c r="BA39" s="74">
        <f>('INSTRUCTION-2YR'!W39+'RESEARCH 2yr'!W39+'PUBLIC SERVICE 2yr'!W39+'ASptISptSSv 2yr'!W39+'PLANT OPER MAIN 2yr'!W39+'SCHOLAR FELLOW 2yr'!W39+'All Other 2yr'!W39)-W39</f>
        <v>0</v>
      </c>
      <c r="BB39" s="74">
        <f>('INSTRUCTION-2YR'!X39+'RESEARCH 2yr'!X39+'PUBLIC SERVICE 2yr'!X39+'ASptISptSSv 2yr'!X39+'PLANT OPER MAIN 2yr'!X39+'SCHOLAR FELLOW 2yr'!X39+'All Other 2yr'!X39)-X39</f>
        <v>0</v>
      </c>
      <c r="BC39" s="74">
        <f>('INSTRUCTION-2YR'!Y39+'RESEARCH 2yr'!Y39+'PUBLIC SERVICE 2yr'!Y39+'ASptISptSSv 2yr'!Y39+'PLANT OPER MAIN 2yr'!Y39+'SCHOLAR FELLOW 2yr'!Y39+'All Other 2yr'!Y39)-Y39</f>
        <v>0</v>
      </c>
      <c r="BD39" s="74">
        <f>('INSTRUCTION-2YR'!Z39+'RESEARCH 2yr'!Z39+'PUBLIC SERVICE 2yr'!Z39+'ASptISptSSv 2yr'!Z39+'PLANT OPER MAIN 2yr'!Z39+'SCHOLAR FELLOW 2yr'!Z39+'All Other 2yr'!Z39)-Z39</f>
        <v>0</v>
      </c>
      <c r="BE39" s="74">
        <f>('INSTRUCTION-2YR'!AA39+'RESEARCH 2yr'!AA39+'PUBLIC SERVICE 2yr'!AA39+'ASptISptSSv 2yr'!AA39+'PLANT OPER MAIN 2yr'!AA39+'SCHOLAR FELLOW 2yr'!AA39+'All Other 2yr'!AA39)-AA39</f>
        <v>0</v>
      </c>
      <c r="BF39" s="74">
        <f>('INSTRUCTION-2YR'!AB39+'RESEARCH 2yr'!AB39+'PUBLIC SERVICE 2yr'!AB39+'ASptISptSSv 2yr'!AB39+'PLANT OPER MAIN 2yr'!AB39+'SCHOLAR FELLOW 2yr'!AB39+'All Other 2yr'!AB39)-AB39</f>
        <v>0</v>
      </c>
      <c r="BG39" s="74">
        <f>('INSTRUCTION-2YR'!AC39+'RESEARCH 2yr'!AC39+'PUBLIC SERVICE 2yr'!AC39+'ASptISptSSv 2yr'!AC39+'PLANT OPER MAIN 2yr'!AC39+'SCHOLAR FELLOW 2yr'!AC39+'All Other 2yr'!AC39)-AC39</f>
        <v>0</v>
      </c>
      <c r="BH39" s="74">
        <f>('INSTRUCTION-2YR'!AD39+'RESEARCH 2yr'!AD39+'PUBLIC SERVICE 2yr'!AD39+'ASptISptSSv 2yr'!AD39+'PLANT OPER MAIN 2yr'!AD39+'SCHOLAR FELLOW 2yr'!AD39+'All Other 2yr'!AD39)-AD39</f>
        <v>0</v>
      </c>
      <c r="BI39" s="74">
        <f>('INSTRUCTION-2YR'!AE39+'RESEARCH 2yr'!AE39+'PUBLIC SERVICE 2yr'!AE39+'ASptISptSSv 2yr'!AE39+'PLANT OPER MAIN 2yr'!AE39+'SCHOLAR FELLOW 2yr'!AE39+'All Other 2yr'!AE39)-AE39</f>
        <v>0</v>
      </c>
    </row>
    <row r="40" spans="1:61">
      <c r="A40" s="7" t="s">
        <v>56</v>
      </c>
      <c r="B40" s="47">
        <f>SUM(B42:B53)</f>
        <v>0</v>
      </c>
      <c r="C40" s="47">
        <f t="shared" ref="C40:AE40" si="14">SUM(C42:C53)</f>
        <v>0</v>
      </c>
      <c r="D40" s="47">
        <f t="shared" si="14"/>
        <v>0</v>
      </c>
      <c r="E40" s="47">
        <f t="shared" si="14"/>
        <v>0</v>
      </c>
      <c r="F40" s="47">
        <f t="shared" si="14"/>
        <v>4259626.72</v>
      </c>
      <c r="G40" s="47">
        <f t="shared" si="14"/>
        <v>0</v>
      </c>
      <c r="H40" s="47">
        <f t="shared" si="14"/>
        <v>0</v>
      </c>
      <c r="I40" s="47">
        <f t="shared" si="14"/>
        <v>4820534.1730000004</v>
      </c>
      <c r="J40" s="47">
        <f t="shared" si="14"/>
        <v>0</v>
      </c>
      <c r="K40" s="47">
        <f t="shared" si="14"/>
        <v>5609860.1867300002</v>
      </c>
      <c r="L40" s="47">
        <f t="shared" si="14"/>
        <v>6424138.4040000001</v>
      </c>
      <c r="M40" s="47">
        <f t="shared" si="14"/>
        <v>6939268.0340000009</v>
      </c>
      <c r="N40" s="47">
        <f t="shared" si="14"/>
        <v>7448520.0999999996</v>
      </c>
      <c r="O40" s="47">
        <f t="shared" si="14"/>
        <v>7926938.9130000006</v>
      </c>
      <c r="P40" s="47">
        <f t="shared" si="14"/>
        <v>8483175.4470000006</v>
      </c>
      <c r="Q40" s="47">
        <f t="shared" si="14"/>
        <v>8647448.5929999985</v>
      </c>
      <c r="R40" s="47">
        <f t="shared" si="14"/>
        <v>9066584.3829999994</v>
      </c>
      <c r="S40" s="47">
        <f t="shared" si="14"/>
        <v>9338104.6229999997</v>
      </c>
      <c r="T40" s="47">
        <f t="shared" si="14"/>
        <v>9894923.9419999998</v>
      </c>
      <c r="U40" s="47">
        <f t="shared" si="14"/>
        <v>11053874.666999999</v>
      </c>
      <c r="V40" s="47">
        <f t="shared" si="14"/>
        <v>12479881.108000003</v>
      </c>
      <c r="W40" s="47">
        <f t="shared" si="14"/>
        <v>13633926.005000001</v>
      </c>
      <c r="X40" s="47">
        <f t="shared" si="14"/>
        <v>13632667.156000001</v>
      </c>
      <c r="Y40" s="47">
        <f t="shared" si="14"/>
        <v>10556927.597000001</v>
      </c>
      <c r="Z40" s="47">
        <f t="shared" si="14"/>
        <v>10653037.125999998</v>
      </c>
      <c r="AA40" s="47">
        <f t="shared" si="14"/>
        <v>10535388.676000001</v>
      </c>
      <c r="AB40" s="47">
        <f t="shared" si="14"/>
        <v>13739985.577</v>
      </c>
      <c r="AC40" s="47">
        <f t="shared" si="14"/>
        <v>13894922.088</v>
      </c>
      <c r="AD40" s="47">
        <f t="shared" si="14"/>
        <v>0</v>
      </c>
      <c r="AE40" s="47">
        <f t="shared" si="14"/>
        <v>14103174.103</v>
      </c>
      <c r="AF40" s="74">
        <f>('INSTRUCTION-2YR'!B40+'RESEARCH 2yr'!B40+'PUBLIC SERVICE 2yr'!B40+'ASptISptSSv 2yr'!B40+'PLANT OPER MAIN 2yr'!B40+'SCHOLAR FELLOW 2yr'!B40+'All Other 2yr'!B40)-B40</f>
        <v>0</v>
      </c>
      <c r="AG40" s="74">
        <f>('INSTRUCTION-2YR'!C40+'RESEARCH 2yr'!C40+'PUBLIC SERVICE 2yr'!C40+'ASptISptSSv 2yr'!C40+'PLANT OPER MAIN 2yr'!C40+'SCHOLAR FELLOW 2yr'!C40+'All Other 2yr'!C40)-C40</f>
        <v>0</v>
      </c>
      <c r="AH40" s="74">
        <f>('INSTRUCTION-2YR'!D40+'RESEARCH 2yr'!D40+'PUBLIC SERVICE 2yr'!D40+'ASptISptSSv 2yr'!D40+'PLANT OPER MAIN 2yr'!D40+'SCHOLAR FELLOW 2yr'!D40+'All Other 2yr'!D40)-D40</f>
        <v>0</v>
      </c>
      <c r="AI40" s="74">
        <f>('INSTRUCTION-2YR'!E40+'RESEARCH 2yr'!E40+'PUBLIC SERVICE 2yr'!E40+'ASptISptSSv 2yr'!E40+'PLANT OPER MAIN 2yr'!E40+'SCHOLAR FELLOW 2yr'!E40+'All Other 2yr'!E40)-E40</f>
        <v>0</v>
      </c>
      <c r="AJ40" s="74">
        <f>('INSTRUCTION-2YR'!F40+'RESEARCH 2yr'!F40+'PUBLIC SERVICE 2yr'!F40+'ASptISptSSv 2yr'!F40+'PLANT OPER MAIN 2yr'!F40+'SCHOLAR FELLOW 2yr'!F40+'All Other 2yr'!F40)-F40</f>
        <v>0</v>
      </c>
      <c r="AK40" s="74">
        <f>('INSTRUCTION-2YR'!G40+'RESEARCH 2yr'!G40+'PUBLIC SERVICE 2yr'!G40+'ASptISptSSv 2yr'!G40+'PLANT OPER MAIN 2yr'!G40+'SCHOLAR FELLOW 2yr'!G40+'All Other 2yr'!G40)-G40</f>
        <v>0</v>
      </c>
      <c r="AL40" s="74">
        <f>('INSTRUCTION-2YR'!H40+'RESEARCH 2yr'!H40+'PUBLIC SERVICE 2yr'!H40+'ASptISptSSv 2yr'!H40+'PLANT OPER MAIN 2yr'!H40+'SCHOLAR FELLOW 2yr'!H40+'All Other 2yr'!H40)-H40</f>
        <v>0</v>
      </c>
      <c r="AM40" s="74">
        <f>('INSTRUCTION-2YR'!I40+'RESEARCH 2yr'!I40+'PUBLIC SERVICE 2yr'!I40+'ASptISptSSv 2yr'!I40+'PLANT OPER MAIN 2yr'!I40+'SCHOLAR FELLOW 2yr'!I40+'All Other 2yr'!I40)-I40</f>
        <v>0</v>
      </c>
      <c r="AN40" s="74">
        <f>('INSTRUCTION-2YR'!J40+'RESEARCH 2yr'!J40+'PUBLIC SERVICE 2yr'!J40+'ASptISptSSv 2yr'!J40+'PLANT OPER MAIN 2yr'!J40+'SCHOLAR FELLOW 2yr'!J40+'All Other 2yr'!J40)-J40</f>
        <v>0</v>
      </c>
      <c r="AO40" s="74">
        <f>('INSTRUCTION-2YR'!K40+'RESEARCH 2yr'!K40+'PUBLIC SERVICE 2yr'!K40+'ASptISptSSv 2yr'!K40+'PLANT OPER MAIN 2yr'!K40+'SCHOLAR FELLOW 2yr'!K40+'All Other 2yr'!K40)-K40</f>
        <v>0</v>
      </c>
      <c r="AP40" s="74">
        <f>('INSTRUCTION-2YR'!L40+'RESEARCH 2yr'!L40+'PUBLIC SERVICE 2yr'!L40+'ASptISptSSv 2yr'!L40+'PLANT OPER MAIN 2yr'!L40+'SCHOLAR FELLOW 2yr'!L40+'All Other 2yr'!L40)-L40</f>
        <v>0</v>
      </c>
      <c r="AQ40" s="74">
        <f>('INSTRUCTION-2YR'!M40+'RESEARCH 2yr'!M40+'PUBLIC SERVICE 2yr'!M40+'ASptISptSSv 2yr'!M40+'PLANT OPER MAIN 2yr'!M40+'SCHOLAR FELLOW 2yr'!M40+'All Other 2yr'!M40)-M40</f>
        <v>0</v>
      </c>
      <c r="AR40" s="74">
        <f>('INSTRUCTION-2YR'!N40+'RESEARCH 2yr'!N40+'PUBLIC SERVICE 2yr'!N40+'ASptISptSSv 2yr'!N40+'PLANT OPER MAIN 2yr'!N40+'SCHOLAR FELLOW 2yr'!N40+'All Other 2yr'!N40)-N40</f>
        <v>0</v>
      </c>
      <c r="AS40" s="74">
        <f>('INSTRUCTION-2YR'!O40+'RESEARCH 2yr'!O40+'PUBLIC SERVICE 2yr'!O40+'ASptISptSSv 2yr'!O40+'PLANT OPER MAIN 2yr'!O40+'SCHOLAR FELLOW 2yr'!O40+'All Other 2yr'!O40)-O40</f>
        <v>0</v>
      </c>
      <c r="AT40" s="74">
        <f>('INSTRUCTION-2YR'!P40+'RESEARCH 2yr'!P40+'PUBLIC SERVICE 2yr'!P40+'ASptISptSSv 2yr'!P40+'PLANT OPER MAIN 2yr'!P40+'SCHOLAR FELLOW 2yr'!P40+'All Other 2yr'!P40)-P40</f>
        <v>0</v>
      </c>
      <c r="AU40" s="74">
        <f>('INSTRUCTION-2YR'!Q40+'RESEARCH 2yr'!Q40+'PUBLIC SERVICE 2yr'!Q40+'ASptISptSSv 2yr'!Q40+'PLANT OPER MAIN 2yr'!Q40+'SCHOLAR FELLOW 2yr'!Q40+'All Other 2yr'!Q40)-Q40</f>
        <v>0</v>
      </c>
      <c r="AV40" s="74">
        <f>('INSTRUCTION-2YR'!R40+'RESEARCH 2yr'!R40+'PUBLIC SERVICE 2yr'!R40+'ASptISptSSv 2yr'!R40+'PLANT OPER MAIN 2yr'!R40+'SCHOLAR FELLOW 2yr'!R40+'All Other 2yr'!R40)-R40</f>
        <v>0</v>
      </c>
      <c r="AW40" s="74">
        <f>('INSTRUCTION-2YR'!S40+'RESEARCH 2yr'!S40+'PUBLIC SERVICE 2yr'!S40+'ASptISptSSv 2yr'!S40+'PLANT OPER MAIN 2yr'!S40+'SCHOLAR FELLOW 2yr'!S40+'All Other 2yr'!S40)-S40</f>
        <v>0</v>
      </c>
      <c r="AX40" s="74">
        <f>('INSTRUCTION-2YR'!T40+'RESEARCH 2yr'!T40+'PUBLIC SERVICE 2yr'!T40+'ASptISptSSv 2yr'!T40+'PLANT OPER MAIN 2yr'!T40+'SCHOLAR FELLOW 2yr'!T40+'All Other 2yr'!T40)-T40</f>
        <v>0</v>
      </c>
      <c r="AY40" s="74">
        <f>('INSTRUCTION-2YR'!U40+'RESEARCH 2yr'!U40+'PUBLIC SERVICE 2yr'!U40+'ASptISptSSv 2yr'!U40+'PLANT OPER MAIN 2yr'!U40+'SCHOLAR FELLOW 2yr'!U40+'All Other 2yr'!U40)-U40</f>
        <v>0</v>
      </c>
      <c r="AZ40" s="74">
        <f>('INSTRUCTION-2YR'!V40+'RESEARCH 2yr'!V40+'PUBLIC SERVICE 2yr'!V40+'ASptISptSSv 2yr'!V40+'PLANT OPER MAIN 2yr'!V40+'SCHOLAR FELLOW 2yr'!V40+'All Other 2yr'!V40)-V40</f>
        <v>0</v>
      </c>
      <c r="BA40" s="74">
        <f>('INSTRUCTION-2YR'!W40+'RESEARCH 2yr'!W40+'PUBLIC SERVICE 2yr'!W40+'ASptISptSSv 2yr'!W40+'PLANT OPER MAIN 2yr'!W40+'SCHOLAR FELLOW 2yr'!W40+'All Other 2yr'!W40)-W40</f>
        <v>0</v>
      </c>
      <c r="BB40" s="74">
        <f>('INSTRUCTION-2YR'!X40+'RESEARCH 2yr'!X40+'PUBLIC SERVICE 2yr'!X40+'ASptISptSSv 2yr'!X40+'PLANT OPER MAIN 2yr'!X40+'SCHOLAR FELLOW 2yr'!X40+'All Other 2yr'!X40)-X40</f>
        <v>0</v>
      </c>
      <c r="BC40" s="74">
        <f>('INSTRUCTION-2YR'!Y40+'RESEARCH 2yr'!Y40+'PUBLIC SERVICE 2yr'!Y40+'ASptISptSSv 2yr'!Y40+'PLANT OPER MAIN 2yr'!Y40+'SCHOLAR FELLOW 2yr'!Y40+'All Other 2yr'!Y40)-Y40</f>
        <v>0</v>
      </c>
      <c r="BD40" s="74">
        <f>('INSTRUCTION-2YR'!Z40+'RESEARCH 2yr'!Z40+'PUBLIC SERVICE 2yr'!Z40+'ASptISptSSv 2yr'!Z40+'PLANT OPER MAIN 2yr'!Z40+'SCHOLAR FELLOW 2yr'!Z40+'All Other 2yr'!Z40)-Z40</f>
        <v>0</v>
      </c>
      <c r="BE40" s="74">
        <f>('INSTRUCTION-2YR'!AA40+'RESEARCH 2yr'!AA40+'PUBLIC SERVICE 2yr'!AA40+'ASptISptSSv 2yr'!AA40+'PLANT OPER MAIN 2yr'!AA40+'SCHOLAR FELLOW 2yr'!AA40+'All Other 2yr'!AA40)-AA40</f>
        <v>0</v>
      </c>
      <c r="BF40" s="74">
        <f>('INSTRUCTION-2YR'!AB40+'RESEARCH 2yr'!AB40+'PUBLIC SERVICE 2yr'!AB40+'ASptISptSSv 2yr'!AB40+'PLANT OPER MAIN 2yr'!AB40+'SCHOLAR FELLOW 2yr'!AB40+'All Other 2yr'!AB40)-AB40</f>
        <v>0</v>
      </c>
      <c r="BG40" s="74">
        <f>('INSTRUCTION-2YR'!AC40+'RESEARCH 2yr'!AC40+'PUBLIC SERVICE 2yr'!AC40+'ASptISptSSv 2yr'!AC40+'PLANT OPER MAIN 2yr'!AC40+'SCHOLAR FELLOW 2yr'!AC40+'All Other 2yr'!AC40)-AC40</f>
        <v>0</v>
      </c>
      <c r="BH40" s="74">
        <f>('INSTRUCTION-2YR'!AD40+'RESEARCH 2yr'!AD40+'PUBLIC SERVICE 2yr'!AD40+'ASptISptSSv 2yr'!AD40+'PLANT OPER MAIN 2yr'!AD40+'SCHOLAR FELLOW 2yr'!AD40+'All Other 2yr'!AD40)-AD40</f>
        <v>0</v>
      </c>
      <c r="BI40" s="74">
        <f>('INSTRUCTION-2YR'!AE40+'RESEARCH 2yr'!AE40+'PUBLIC SERVICE 2yr'!AE40+'ASptISptSSv 2yr'!AE40+'PLANT OPER MAIN 2yr'!AE40+'SCHOLAR FELLOW 2yr'!AE40+'All Other 2yr'!AE40)-AE40</f>
        <v>0</v>
      </c>
    </row>
    <row r="41" spans="1:61">
      <c r="A41" s="7" t="s">
        <v>97</v>
      </c>
      <c r="X41" s="1">
        <v>0</v>
      </c>
      <c r="Y41" s="1">
        <v>0</v>
      </c>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row>
    <row r="42" spans="1:61">
      <c r="A42" s="1" t="s">
        <v>57</v>
      </c>
      <c r="F42" s="41">
        <v>990080.58100000001</v>
      </c>
      <c r="I42" s="1">
        <v>1148342.0589999999</v>
      </c>
      <c r="K42" s="1">
        <v>1266604.2897300001</v>
      </c>
      <c r="L42" s="1">
        <v>1545503.135</v>
      </c>
      <c r="M42" s="1">
        <v>1640731.716</v>
      </c>
      <c r="N42" s="1">
        <v>1817909.9469999999</v>
      </c>
      <c r="O42" s="1">
        <v>1757205.956</v>
      </c>
      <c r="P42" s="1">
        <v>2122198.8480000002</v>
      </c>
      <c r="Q42" s="1">
        <v>1983877.6329999999</v>
      </c>
      <c r="R42" s="1">
        <v>2051190.6540000001</v>
      </c>
      <c r="S42" s="1">
        <v>2126987.1069999998</v>
      </c>
      <c r="T42" s="1">
        <v>2259275.0090000001</v>
      </c>
      <c r="U42" s="1">
        <v>2402254.1120000002</v>
      </c>
      <c r="V42" s="1">
        <v>2721305.608</v>
      </c>
      <c r="W42" s="1">
        <v>2951338.16</v>
      </c>
      <c r="X42" s="1">
        <v>3002478.1860000002</v>
      </c>
      <c r="Y42" s="1">
        <v>1798311.6440000001</v>
      </c>
      <c r="Z42" s="1">
        <v>1835171.6629999999</v>
      </c>
      <c r="AA42" s="1">
        <v>1882181.7239999999</v>
      </c>
      <c r="AB42" s="1">
        <v>3252356.466</v>
      </c>
      <c r="AC42" s="1">
        <v>3352052.09</v>
      </c>
      <c r="AE42" s="1">
        <v>3579935.8450000002</v>
      </c>
      <c r="AF42" s="74">
        <f>('INSTRUCTION-2YR'!B42+'RESEARCH 2yr'!B42+'PUBLIC SERVICE 2yr'!B42+'ASptISptSSv 2yr'!B42+'PLANT OPER MAIN 2yr'!B42+'SCHOLAR FELLOW 2yr'!B42+'All Other 2yr'!B42)-B42</f>
        <v>0</v>
      </c>
      <c r="AG42" s="74">
        <f>('INSTRUCTION-2YR'!C42+'RESEARCH 2yr'!C42+'PUBLIC SERVICE 2yr'!C42+'ASptISptSSv 2yr'!C42+'PLANT OPER MAIN 2yr'!C42+'SCHOLAR FELLOW 2yr'!C42+'All Other 2yr'!C42)-C42</f>
        <v>0</v>
      </c>
      <c r="AH42" s="74">
        <f>('INSTRUCTION-2YR'!D42+'RESEARCH 2yr'!D42+'PUBLIC SERVICE 2yr'!D42+'ASptISptSSv 2yr'!D42+'PLANT OPER MAIN 2yr'!D42+'SCHOLAR FELLOW 2yr'!D42+'All Other 2yr'!D42)-D42</f>
        <v>0</v>
      </c>
      <c r="AI42" s="74">
        <f>('INSTRUCTION-2YR'!E42+'RESEARCH 2yr'!E42+'PUBLIC SERVICE 2yr'!E42+'ASptISptSSv 2yr'!E42+'PLANT OPER MAIN 2yr'!E42+'SCHOLAR FELLOW 2yr'!E42+'All Other 2yr'!E42)-E42</f>
        <v>0</v>
      </c>
      <c r="AJ42" s="74">
        <f>('INSTRUCTION-2YR'!F42+'RESEARCH 2yr'!F42+'PUBLIC SERVICE 2yr'!F42+'ASptISptSSv 2yr'!F42+'PLANT OPER MAIN 2yr'!F42+'SCHOLAR FELLOW 2yr'!F42+'All Other 2yr'!F42)-F42</f>
        <v>0</v>
      </c>
      <c r="AK42" s="74">
        <f>('INSTRUCTION-2YR'!G42+'RESEARCH 2yr'!G42+'PUBLIC SERVICE 2yr'!G42+'ASptISptSSv 2yr'!G42+'PLANT OPER MAIN 2yr'!G42+'SCHOLAR FELLOW 2yr'!G42+'All Other 2yr'!G42)-G42</f>
        <v>0</v>
      </c>
      <c r="AL42" s="74">
        <f>('INSTRUCTION-2YR'!H42+'RESEARCH 2yr'!H42+'PUBLIC SERVICE 2yr'!H42+'ASptISptSSv 2yr'!H42+'PLANT OPER MAIN 2yr'!H42+'SCHOLAR FELLOW 2yr'!H42+'All Other 2yr'!H42)-H42</f>
        <v>0</v>
      </c>
      <c r="AM42" s="74">
        <f>('INSTRUCTION-2YR'!I42+'RESEARCH 2yr'!I42+'PUBLIC SERVICE 2yr'!I42+'ASptISptSSv 2yr'!I42+'PLANT OPER MAIN 2yr'!I42+'SCHOLAR FELLOW 2yr'!I42+'All Other 2yr'!I42)-I42</f>
        <v>0</v>
      </c>
      <c r="AN42" s="74">
        <f>('INSTRUCTION-2YR'!J42+'RESEARCH 2yr'!J42+'PUBLIC SERVICE 2yr'!J42+'ASptISptSSv 2yr'!J42+'PLANT OPER MAIN 2yr'!J42+'SCHOLAR FELLOW 2yr'!J42+'All Other 2yr'!J42)-J42</f>
        <v>0</v>
      </c>
      <c r="AO42" s="74">
        <f>('INSTRUCTION-2YR'!K42+'RESEARCH 2yr'!K42+'PUBLIC SERVICE 2yr'!K42+'ASptISptSSv 2yr'!K42+'PLANT OPER MAIN 2yr'!K42+'SCHOLAR FELLOW 2yr'!K42+'All Other 2yr'!K42)-K42</f>
        <v>0</v>
      </c>
      <c r="AP42" s="74">
        <f>('INSTRUCTION-2YR'!L42+'RESEARCH 2yr'!L42+'PUBLIC SERVICE 2yr'!L42+'ASptISptSSv 2yr'!L42+'PLANT OPER MAIN 2yr'!L42+'SCHOLAR FELLOW 2yr'!L42+'All Other 2yr'!L42)-L42</f>
        <v>0</v>
      </c>
      <c r="AQ42" s="74">
        <f>('INSTRUCTION-2YR'!M42+'RESEARCH 2yr'!M42+'PUBLIC SERVICE 2yr'!M42+'ASptISptSSv 2yr'!M42+'PLANT OPER MAIN 2yr'!M42+'SCHOLAR FELLOW 2yr'!M42+'All Other 2yr'!M42)-M42</f>
        <v>0</v>
      </c>
      <c r="AR42" s="74">
        <f>('INSTRUCTION-2YR'!N42+'RESEARCH 2yr'!N42+'PUBLIC SERVICE 2yr'!N42+'ASptISptSSv 2yr'!N42+'PLANT OPER MAIN 2yr'!N42+'SCHOLAR FELLOW 2yr'!N42+'All Other 2yr'!N42)-N42</f>
        <v>0</v>
      </c>
      <c r="AS42" s="74">
        <f>('INSTRUCTION-2YR'!O42+'RESEARCH 2yr'!O42+'PUBLIC SERVICE 2yr'!O42+'ASptISptSSv 2yr'!O42+'PLANT OPER MAIN 2yr'!O42+'SCHOLAR FELLOW 2yr'!O42+'All Other 2yr'!O42)-O42</f>
        <v>0</v>
      </c>
      <c r="AT42" s="74">
        <f>('INSTRUCTION-2YR'!P42+'RESEARCH 2yr'!P42+'PUBLIC SERVICE 2yr'!P42+'ASptISptSSv 2yr'!P42+'PLANT OPER MAIN 2yr'!P42+'SCHOLAR FELLOW 2yr'!P42+'All Other 2yr'!P42)-P42</f>
        <v>0</v>
      </c>
      <c r="AU42" s="74">
        <f>('INSTRUCTION-2YR'!Q42+'RESEARCH 2yr'!Q42+'PUBLIC SERVICE 2yr'!Q42+'ASptISptSSv 2yr'!Q42+'PLANT OPER MAIN 2yr'!Q42+'SCHOLAR FELLOW 2yr'!Q42+'All Other 2yr'!Q42)-Q42</f>
        <v>0</v>
      </c>
      <c r="AV42" s="74">
        <f>('INSTRUCTION-2YR'!R42+'RESEARCH 2yr'!R42+'PUBLIC SERVICE 2yr'!R42+'ASptISptSSv 2yr'!R42+'PLANT OPER MAIN 2yr'!R42+'SCHOLAR FELLOW 2yr'!R42+'All Other 2yr'!R42)-R42</f>
        <v>0</v>
      </c>
      <c r="AW42" s="74">
        <f>('INSTRUCTION-2YR'!S42+'RESEARCH 2yr'!S42+'PUBLIC SERVICE 2yr'!S42+'ASptISptSSv 2yr'!S42+'PLANT OPER MAIN 2yr'!S42+'SCHOLAR FELLOW 2yr'!S42+'All Other 2yr'!S42)-S42</f>
        <v>0</v>
      </c>
      <c r="AX42" s="74">
        <f>('INSTRUCTION-2YR'!T42+'RESEARCH 2yr'!T42+'PUBLIC SERVICE 2yr'!T42+'ASptISptSSv 2yr'!T42+'PLANT OPER MAIN 2yr'!T42+'SCHOLAR FELLOW 2yr'!T42+'All Other 2yr'!T42)-T42</f>
        <v>0</v>
      </c>
      <c r="AY42" s="74">
        <f>('INSTRUCTION-2YR'!U42+'RESEARCH 2yr'!U42+'PUBLIC SERVICE 2yr'!U42+'ASptISptSSv 2yr'!U42+'PLANT OPER MAIN 2yr'!U42+'SCHOLAR FELLOW 2yr'!U42+'All Other 2yr'!U42)-U42</f>
        <v>0</v>
      </c>
      <c r="AZ42" s="74">
        <f>('INSTRUCTION-2YR'!V42+'RESEARCH 2yr'!V42+'PUBLIC SERVICE 2yr'!V42+'ASptISptSSv 2yr'!V42+'PLANT OPER MAIN 2yr'!V42+'SCHOLAR FELLOW 2yr'!V42+'All Other 2yr'!V42)-V42</f>
        <v>0</v>
      </c>
      <c r="BA42" s="74">
        <f>('INSTRUCTION-2YR'!W42+'RESEARCH 2yr'!W42+'PUBLIC SERVICE 2yr'!W42+'ASptISptSSv 2yr'!W42+'PLANT OPER MAIN 2yr'!W42+'SCHOLAR FELLOW 2yr'!W42+'All Other 2yr'!W42)-W42</f>
        <v>0</v>
      </c>
      <c r="BB42" s="74">
        <f>('INSTRUCTION-2YR'!X42+'RESEARCH 2yr'!X42+'PUBLIC SERVICE 2yr'!X42+'ASptISptSSv 2yr'!X42+'PLANT OPER MAIN 2yr'!X42+'SCHOLAR FELLOW 2yr'!X42+'All Other 2yr'!X42)-X42</f>
        <v>0</v>
      </c>
      <c r="BC42" s="74">
        <f>('INSTRUCTION-2YR'!Y42+'RESEARCH 2yr'!Y42+'PUBLIC SERVICE 2yr'!Y42+'ASptISptSSv 2yr'!Y42+'PLANT OPER MAIN 2yr'!Y42+'SCHOLAR FELLOW 2yr'!Y42+'All Other 2yr'!Y42)-Y42</f>
        <v>0</v>
      </c>
      <c r="BD42" s="74">
        <f>('INSTRUCTION-2YR'!Z42+'RESEARCH 2yr'!Z42+'PUBLIC SERVICE 2yr'!Z42+'ASptISptSSv 2yr'!Z42+'PLANT OPER MAIN 2yr'!Z42+'SCHOLAR FELLOW 2yr'!Z42+'All Other 2yr'!Z42)-Z42</f>
        <v>0</v>
      </c>
      <c r="BE42" s="74">
        <f>('INSTRUCTION-2YR'!AA42+'RESEARCH 2yr'!AA42+'PUBLIC SERVICE 2yr'!AA42+'ASptISptSSv 2yr'!AA42+'PLANT OPER MAIN 2yr'!AA42+'SCHOLAR FELLOW 2yr'!AA42+'All Other 2yr'!AA42)-AA42</f>
        <v>0</v>
      </c>
      <c r="BF42" s="74">
        <f>('INSTRUCTION-2YR'!AB42+'RESEARCH 2yr'!AB42+'PUBLIC SERVICE 2yr'!AB42+'ASptISptSSv 2yr'!AB42+'PLANT OPER MAIN 2yr'!AB42+'SCHOLAR FELLOW 2yr'!AB42+'All Other 2yr'!AB42)-AB42</f>
        <v>0</v>
      </c>
      <c r="BG42" s="74">
        <f>('INSTRUCTION-2YR'!AC42+'RESEARCH 2yr'!AC42+'PUBLIC SERVICE 2yr'!AC42+'ASptISptSSv 2yr'!AC42+'PLANT OPER MAIN 2yr'!AC42+'SCHOLAR FELLOW 2yr'!AC42+'All Other 2yr'!AC42)-AC42</f>
        <v>0</v>
      </c>
      <c r="BH42" s="74">
        <f>('INSTRUCTION-2YR'!AD42+'RESEARCH 2yr'!AD42+'PUBLIC SERVICE 2yr'!AD42+'ASptISptSSv 2yr'!AD42+'PLANT OPER MAIN 2yr'!AD42+'SCHOLAR FELLOW 2yr'!AD42+'All Other 2yr'!AD42)-AD42</f>
        <v>0</v>
      </c>
      <c r="BI42" s="74">
        <f>('INSTRUCTION-2YR'!AE42+'RESEARCH 2yr'!AE42+'PUBLIC SERVICE 2yr'!AE42+'ASptISptSSv 2yr'!AE42+'PLANT OPER MAIN 2yr'!AE42+'SCHOLAR FELLOW 2yr'!AE42+'All Other 2yr'!AE42)-AE42</f>
        <v>0</v>
      </c>
    </row>
    <row r="43" spans="1:61">
      <c r="A43" s="1" t="s">
        <v>58</v>
      </c>
      <c r="F43" s="41">
        <v>173731.198</v>
      </c>
      <c r="I43" s="1">
        <v>185083.34899999999</v>
      </c>
      <c r="K43" s="1">
        <v>241431.31</v>
      </c>
      <c r="L43" s="1">
        <v>255886.59700000001</v>
      </c>
      <c r="M43" s="1">
        <v>273397.88400000002</v>
      </c>
      <c r="N43" s="1">
        <v>325599.61499999999</v>
      </c>
      <c r="O43" s="1">
        <v>349803.30800000002</v>
      </c>
      <c r="P43" s="1">
        <v>294631.87099999998</v>
      </c>
      <c r="Q43" s="1">
        <v>327848.09999999998</v>
      </c>
      <c r="R43" s="1">
        <v>342187.68400000001</v>
      </c>
      <c r="S43" s="1">
        <v>363977.97</v>
      </c>
      <c r="T43" s="1">
        <v>364552.72100000002</v>
      </c>
      <c r="U43" s="1">
        <v>461340.34499999997</v>
      </c>
      <c r="V43" s="1">
        <v>618063.91</v>
      </c>
      <c r="W43" s="1">
        <v>690296.14099999995</v>
      </c>
      <c r="X43" s="1">
        <v>773367.54599999997</v>
      </c>
      <c r="Y43" s="1">
        <v>858619.08200000005</v>
      </c>
      <c r="Z43" s="1">
        <v>837089.93700000003</v>
      </c>
      <c r="AA43" s="1">
        <v>792633.21499999997</v>
      </c>
      <c r="AB43" s="1">
        <v>646059.91099999996</v>
      </c>
      <c r="AC43" s="1">
        <v>617766.02599999995</v>
      </c>
      <c r="AE43" s="1">
        <v>749435.24100000004</v>
      </c>
      <c r="AF43" s="74">
        <f>('INSTRUCTION-2YR'!B43+'RESEARCH 2yr'!B43+'PUBLIC SERVICE 2yr'!B43+'ASptISptSSv 2yr'!B43+'PLANT OPER MAIN 2yr'!B43+'SCHOLAR FELLOW 2yr'!B43+'All Other 2yr'!B43)-B43</f>
        <v>0</v>
      </c>
      <c r="AG43" s="74">
        <f>('INSTRUCTION-2YR'!C43+'RESEARCH 2yr'!C43+'PUBLIC SERVICE 2yr'!C43+'ASptISptSSv 2yr'!C43+'PLANT OPER MAIN 2yr'!C43+'SCHOLAR FELLOW 2yr'!C43+'All Other 2yr'!C43)-C43</f>
        <v>0</v>
      </c>
      <c r="AH43" s="74">
        <f>('INSTRUCTION-2YR'!D43+'RESEARCH 2yr'!D43+'PUBLIC SERVICE 2yr'!D43+'ASptISptSSv 2yr'!D43+'PLANT OPER MAIN 2yr'!D43+'SCHOLAR FELLOW 2yr'!D43+'All Other 2yr'!D43)-D43</f>
        <v>0</v>
      </c>
      <c r="AI43" s="74">
        <f>('INSTRUCTION-2YR'!E43+'RESEARCH 2yr'!E43+'PUBLIC SERVICE 2yr'!E43+'ASptISptSSv 2yr'!E43+'PLANT OPER MAIN 2yr'!E43+'SCHOLAR FELLOW 2yr'!E43+'All Other 2yr'!E43)-E43</f>
        <v>0</v>
      </c>
      <c r="AJ43" s="74">
        <f>('INSTRUCTION-2YR'!F43+'RESEARCH 2yr'!F43+'PUBLIC SERVICE 2yr'!F43+'ASptISptSSv 2yr'!F43+'PLANT OPER MAIN 2yr'!F43+'SCHOLAR FELLOW 2yr'!F43+'All Other 2yr'!F43)-F43</f>
        <v>0</v>
      </c>
      <c r="AK43" s="74">
        <f>('INSTRUCTION-2YR'!G43+'RESEARCH 2yr'!G43+'PUBLIC SERVICE 2yr'!G43+'ASptISptSSv 2yr'!G43+'PLANT OPER MAIN 2yr'!G43+'SCHOLAR FELLOW 2yr'!G43+'All Other 2yr'!G43)-G43</f>
        <v>0</v>
      </c>
      <c r="AL43" s="74">
        <f>('INSTRUCTION-2YR'!H43+'RESEARCH 2yr'!H43+'PUBLIC SERVICE 2yr'!H43+'ASptISptSSv 2yr'!H43+'PLANT OPER MAIN 2yr'!H43+'SCHOLAR FELLOW 2yr'!H43+'All Other 2yr'!H43)-H43</f>
        <v>0</v>
      </c>
      <c r="AM43" s="74">
        <f>('INSTRUCTION-2YR'!I43+'RESEARCH 2yr'!I43+'PUBLIC SERVICE 2yr'!I43+'ASptISptSSv 2yr'!I43+'PLANT OPER MAIN 2yr'!I43+'SCHOLAR FELLOW 2yr'!I43+'All Other 2yr'!I43)-I43</f>
        <v>0</v>
      </c>
      <c r="AN43" s="74">
        <f>('INSTRUCTION-2YR'!J43+'RESEARCH 2yr'!J43+'PUBLIC SERVICE 2yr'!J43+'ASptISptSSv 2yr'!J43+'PLANT OPER MAIN 2yr'!J43+'SCHOLAR FELLOW 2yr'!J43+'All Other 2yr'!J43)-J43</f>
        <v>0</v>
      </c>
      <c r="AO43" s="74">
        <f>('INSTRUCTION-2YR'!K43+'RESEARCH 2yr'!K43+'PUBLIC SERVICE 2yr'!K43+'ASptISptSSv 2yr'!K43+'PLANT OPER MAIN 2yr'!K43+'SCHOLAR FELLOW 2yr'!K43+'All Other 2yr'!K43)-K43</f>
        <v>0</v>
      </c>
      <c r="AP43" s="74">
        <f>('INSTRUCTION-2YR'!L43+'RESEARCH 2yr'!L43+'PUBLIC SERVICE 2yr'!L43+'ASptISptSSv 2yr'!L43+'PLANT OPER MAIN 2yr'!L43+'SCHOLAR FELLOW 2yr'!L43+'All Other 2yr'!L43)-L43</f>
        <v>0</v>
      </c>
      <c r="AQ43" s="74">
        <f>('INSTRUCTION-2YR'!M43+'RESEARCH 2yr'!M43+'PUBLIC SERVICE 2yr'!M43+'ASptISptSSv 2yr'!M43+'PLANT OPER MAIN 2yr'!M43+'SCHOLAR FELLOW 2yr'!M43+'All Other 2yr'!M43)-M43</f>
        <v>0</v>
      </c>
      <c r="AR43" s="74">
        <f>('INSTRUCTION-2YR'!N43+'RESEARCH 2yr'!N43+'PUBLIC SERVICE 2yr'!N43+'ASptISptSSv 2yr'!N43+'PLANT OPER MAIN 2yr'!N43+'SCHOLAR FELLOW 2yr'!N43+'All Other 2yr'!N43)-N43</f>
        <v>0</v>
      </c>
      <c r="AS43" s="74">
        <f>('INSTRUCTION-2YR'!O43+'RESEARCH 2yr'!O43+'PUBLIC SERVICE 2yr'!O43+'ASptISptSSv 2yr'!O43+'PLANT OPER MAIN 2yr'!O43+'SCHOLAR FELLOW 2yr'!O43+'All Other 2yr'!O43)-O43</f>
        <v>0</v>
      </c>
      <c r="AT43" s="74">
        <f>('INSTRUCTION-2YR'!P43+'RESEARCH 2yr'!P43+'PUBLIC SERVICE 2yr'!P43+'ASptISptSSv 2yr'!P43+'PLANT OPER MAIN 2yr'!P43+'SCHOLAR FELLOW 2yr'!P43+'All Other 2yr'!P43)-P43</f>
        <v>0</v>
      </c>
      <c r="AU43" s="74">
        <f>('INSTRUCTION-2YR'!Q43+'RESEARCH 2yr'!Q43+'PUBLIC SERVICE 2yr'!Q43+'ASptISptSSv 2yr'!Q43+'PLANT OPER MAIN 2yr'!Q43+'SCHOLAR FELLOW 2yr'!Q43+'All Other 2yr'!Q43)-Q43</f>
        <v>0</v>
      </c>
      <c r="AV43" s="74">
        <f>('INSTRUCTION-2YR'!R43+'RESEARCH 2yr'!R43+'PUBLIC SERVICE 2yr'!R43+'ASptISptSSv 2yr'!R43+'PLANT OPER MAIN 2yr'!R43+'SCHOLAR FELLOW 2yr'!R43+'All Other 2yr'!R43)-R43</f>
        <v>0</v>
      </c>
      <c r="AW43" s="74">
        <f>('INSTRUCTION-2YR'!S43+'RESEARCH 2yr'!S43+'PUBLIC SERVICE 2yr'!S43+'ASptISptSSv 2yr'!S43+'PLANT OPER MAIN 2yr'!S43+'SCHOLAR FELLOW 2yr'!S43+'All Other 2yr'!S43)-S43</f>
        <v>0</v>
      </c>
      <c r="AX43" s="74">
        <f>('INSTRUCTION-2YR'!T43+'RESEARCH 2yr'!T43+'PUBLIC SERVICE 2yr'!T43+'ASptISptSSv 2yr'!T43+'PLANT OPER MAIN 2yr'!T43+'SCHOLAR FELLOW 2yr'!T43+'All Other 2yr'!T43)-T43</f>
        <v>0</v>
      </c>
      <c r="AY43" s="74">
        <f>('INSTRUCTION-2YR'!U43+'RESEARCH 2yr'!U43+'PUBLIC SERVICE 2yr'!U43+'ASptISptSSv 2yr'!U43+'PLANT OPER MAIN 2yr'!U43+'SCHOLAR FELLOW 2yr'!U43+'All Other 2yr'!U43)-U43</f>
        <v>0</v>
      </c>
      <c r="AZ43" s="74">
        <f>('INSTRUCTION-2YR'!V43+'RESEARCH 2yr'!V43+'PUBLIC SERVICE 2yr'!V43+'ASptISptSSv 2yr'!V43+'PLANT OPER MAIN 2yr'!V43+'SCHOLAR FELLOW 2yr'!V43+'All Other 2yr'!V43)-V43</f>
        <v>0</v>
      </c>
      <c r="BA43" s="74">
        <f>('INSTRUCTION-2YR'!W43+'RESEARCH 2yr'!W43+'PUBLIC SERVICE 2yr'!W43+'ASptISptSSv 2yr'!W43+'PLANT OPER MAIN 2yr'!W43+'SCHOLAR FELLOW 2yr'!W43+'All Other 2yr'!W43)-W43</f>
        <v>0</v>
      </c>
      <c r="BB43" s="74">
        <f>('INSTRUCTION-2YR'!X43+'RESEARCH 2yr'!X43+'PUBLIC SERVICE 2yr'!X43+'ASptISptSSv 2yr'!X43+'PLANT OPER MAIN 2yr'!X43+'SCHOLAR FELLOW 2yr'!X43+'All Other 2yr'!X43)-X43</f>
        <v>0</v>
      </c>
      <c r="BC43" s="74">
        <f>('INSTRUCTION-2YR'!Y43+'RESEARCH 2yr'!Y43+'PUBLIC SERVICE 2yr'!Y43+'ASptISptSSv 2yr'!Y43+'PLANT OPER MAIN 2yr'!Y43+'SCHOLAR FELLOW 2yr'!Y43+'All Other 2yr'!Y43)-Y43</f>
        <v>0</v>
      </c>
      <c r="BD43" s="74">
        <f>('INSTRUCTION-2YR'!Z43+'RESEARCH 2yr'!Z43+'PUBLIC SERVICE 2yr'!Z43+'ASptISptSSv 2yr'!Z43+'PLANT OPER MAIN 2yr'!Z43+'SCHOLAR FELLOW 2yr'!Z43+'All Other 2yr'!Z43)-Z43</f>
        <v>0</v>
      </c>
      <c r="BE43" s="74">
        <f>('INSTRUCTION-2YR'!AA43+'RESEARCH 2yr'!AA43+'PUBLIC SERVICE 2yr'!AA43+'ASptISptSSv 2yr'!AA43+'PLANT OPER MAIN 2yr'!AA43+'SCHOLAR FELLOW 2yr'!AA43+'All Other 2yr'!AA43)-AA43</f>
        <v>0</v>
      </c>
      <c r="BF43" s="74">
        <f>('INSTRUCTION-2YR'!AB43+'RESEARCH 2yr'!AB43+'PUBLIC SERVICE 2yr'!AB43+'ASptISptSSv 2yr'!AB43+'PLANT OPER MAIN 2yr'!AB43+'SCHOLAR FELLOW 2yr'!AB43+'All Other 2yr'!AB43)-AB43</f>
        <v>0</v>
      </c>
      <c r="BG43" s="74">
        <f>('INSTRUCTION-2YR'!AC43+'RESEARCH 2yr'!AC43+'PUBLIC SERVICE 2yr'!AC43+'ASptISptSSv 2yr'!AC43+'PLANT OPER MAIN 2yr'!AC43+'SCHOLAR FELLOW 2yr'!AC43+'All Other 2yr'!AC43)-AC43</f>
        <v>0</v>
      </c>
      <c r="BH43" s="74">
        <f>('INSTRUCTION-2YR'!AD43+'RESEARCH 2yr'!AD43+'PUBLIC SERVICE 2yr'!AD43+'ASptISptSSv 2yr'!AD43+'PLANT OPER MAIN 2yr'!AD43+'SCHOLAR FELLOW 2yr'!AD43+'All Other 2yr'!AD43)-AD43</f>
        <v>0</v>
      </c>
      <c r="BI43" s="74">
        <f>('INSTRUCTION-2YR'!AE43+'RESEARCH 2yr'!AE43+'PUBLIC SERVICE 2yr'!AE43+'ASptISptSSv 2yr'!AE43+'PLANT OPER MAIN 2yr'!AE43+'SCHOLAR FELLOW 2yr'!AE43+'All Other 2yr'!AE43)-AE43</f>
        <v>0</v>
      </c>
    </row>
    <row r="44" spans="1:61">
      <c r="A44" s="1" t="s">
        <v>59</v>
      </c>
      <c r="F44" s="41">
        <v>312740.55900000001</v>
      </c>
      <c r="I44" s="1">
        <v>332278.57799999998</v>
      </c>
      <c r="K44" s="1">
        <v>357379.53</v>
      </c>
      <c r="L44" s="1">
        <v>439750.12599999999</v>
      </c>
      <c r="M44" s="1">
        <v>476966.364</v>
      </c>
      <c r="N44" s="1">
        <v>501223.587</v>
      </c>
      <c r="O44" s="1">
        <v>538308.35699999996</v>
      </c>
      <c r="P44" s="1">
        <v>586095.23699999996</v>
      </c>
      <c r="Q44" s="1">
        <v>606756.78799999994</v>
      </c>
      <c r="R44" s="1">
        <v>645842.96499999997</v>
      </c>
      <c r="S44" s="1">
        <v>672132.53</v>
      </c>
      <c r="T44" s="1">
        <v>728485.93799999997</v>
      </c>
      <c r="U44" s="1">
        <v>813793.35600000003</v>
      </c>
      <c r="V44" s="1">
        <v>867324.9</v>
      </c>
      <c r="W44" s="1">
        <v>949090.47900000005</v>
      </c>
      <c r="X44" s="1">
        <v>928210.63800000004</v>
      </c>
      <c r="Y44" s="1">
        <v>874941.201</v>
      </c>
      <c r="Z44" s="1">
        <v>866060.59400000004</v>
      </c>
      <c r="AA44" s="1">
        <v>892605.48699999996</v>
      </c>
      <c r="AB44" s="1">
        <v>942048.19900000002</v>
      </c>
      <c r="AC44" s="1">
        <v>946207.30799999996</v>
      </c>
      <c r="AE44" s="1">
        <v>959825.88300000003</v>
      </c>
      <c r="AF44" s="74">
        <f>('INSTRUCTION-2YR'!B44+'RESEARCH 2yr'!B44+'PUBLIC SERVICE 2yr'!B44+'ASptISptSSv 2yr'!B44+'PLANT OPER MAIN 2yr'!B44+'SCHOLAR FELLOW 2yr'!B44+'All Other 2yr'!B44)-B44</f>
        <v>0</v>
      </c>
      <c r="AG44" s="74">
        <f>('INSTRUCTION-2YR'!C44+'RESEARCH 2yr'!C44+'PUBLIC SERVICE 2yr'!C44+'ASptISptSSv 2yr'!C44+'PLANT OPER MAIN 2yr'!C44+'SCHOLAR FELLOW 2yr'!C44+'All Other 2yr'!C44)-C44</f>
        <v>0</v>
      </c>
      <c r="AH44" s="74">
        <f>('INSTRUCTION-2YR'!D44+'RESEARCH 2yr'!D44+'PUBLIC SERVICE 2yr'!D44+'ASptISptSSv 2yr'!D44+'PLANT OPER MAIN 2yr'!D44+'SCHOLAR FELLOW 2yr'!D44+'All Other 2yr'!D44)-D44</f>
        <v>0</v>
      </c>
      <c r="AI44" s="74">
        <f>('INSTRUCTION-2YR'!E44+'RESEARCH 2yr'!E44+'PUBLIC SERVICE 2yr'!E44+'ASptISptSSv 2yr'!E44+'PLANT OPER MAIN 2yr'!E44+'SCHOLAR FELLOW 2yr'!E44+'All Other 2yr'!E44)-E44</f>
        <v>0</v>
      </c>
      <c r="AJ44" s="74">
        <f>('INSTRUCTION-2YR'!F44+'RESEARCH 2yr'!F44+'PUBLIC SERVICE 2yr'!F44+'ASptISptSSv 2yr'!F44+'PLANT OPER MAIN 2yr'!F44+'SCHOLAR FELLOW 2yr'!F44+'All Other 2yr'!F44)-F44</f>
        <v>0</v>
      </c>
      <c r="AK44" s="74">
        <f>('INSTRUCTION-2YR'!G44+'RESEARCH 2yr'!G44+'PUBLIC SERVICE 2yr'!G44+'ASptISptSSv 2yr'!G44+'PLANT OPER MAIN 2yr'!G44+'SCHOLAR FELLOW 2yr'!G44+'All Other 2yr'!G44)-G44</f>
        <v>0</v>
      </c>
      <c r="AL44" s="74">
        <f>('INSTRUCTION-2YR'!H44+'RESEARCH 2yr'!H44+'PUBLIC SERVICE 2yr'!H44+'ASptISptSSv 2yr'!H44+'PLANT OPER MAIN 2yr'!H44+'SCHOLAR FELLOW 2yr'!H44+'All Other 2yr'!H44)-H44</f>
        <v>0</v>
      </c>
      <c r="AM44" s="74">
        <f>('INSTRUCTION-2YR'!I44+'RESEARCH 2yr'!I44+'PUBLIC SERVICE 2yr'!I44+'ASptISptSSv 2yr'!I44+'PLANT OPER MAIN 2yr'!I44+'SCHOLAR FELLOW 2yr'!I44+'All Other 2yr'!I44)-I44</f>
        <v>0</v>
      </c>
      <c r="AN44" s="74">
        <f>('INSTRUCTION-2YR'!J44+'RESEARCH 2yr'!J44+'PUBLIC SERVICE 2yr'!J44+'ASptISptSSv 2yr'!J44+'PLANT OPER MAIN 2yr'!J44+'SCHOLAR FELLOW 2yr'!J44+'All Other 2yr'!J44)-J44</f>
        <v>0</v>
      </c>
      <c r="AO44" s="74">
        <f>('INSTRUCTION-2YR'!K44+'RESEARCH 2yr'!K44+'PUBLIC SERVICE 2yr'!K44+'ASptISptSSv 2yr'!K44+'PLANT OPER MAIN 2yr'!K44+'SCHOLAR FELLOW 2yr'!K44+'All Other 2yr'!K44)-K44</f>
        <v>0</v>
      </c>
      <c r="AP44" s="74">
        <f>('INSTRUCTION-2YR'!L44+'RESEARCH 2yr'!L44+'PUBLIC SERVICE 2yr'!L44+'ASptISptSSv 2yr'!L44+'PLANT OPER MAIN 2yr'!L44+'SCHOLAR FELLOW 2yr'!L44+'All Other 2yr'!L44)-L44</f>
        <v>0</v>
      </c>
      <c r="AQ44" s="74">
        <f>('INSTRUCTION-2YR'!M44+'RESEARCH 2yr'!M44+'PUBLIC SERVICE 2yr'!M44+'ASptISptSSv 2yr'!M44+'PLANT OPER MAIN 2yr'!M44+'SCHOLAR FELLOW 2yr'!M44+'All Other 2yr'!M44)-M44</f>
        <v>0</v>
      </c>
      <c r="AR44" s="74">
        <f>('INSTRUCTION-2YR'!N44+'RESEARCH 2yr'!N44+'PUBLIC SERVICE 2yr'!N44+'ASptISptSSv 2yr'!N44+'PLANT OPER MAIN 2yr'!N44+'SCHOLAR FELLOW 2yr'!N44+'All Other 2yr'!N44)-N44</f>
        <v>0</v>
      </c>
      <c r="AS44" s="74">
        <f>('INSTRUCTION-2YR'!O44+'RESEARCH 2yr'!O44+'PUBLIC SERVICE 2yr'!O44+'ASptISptSSv 2yr'!O44+'PLANT OPER MAIN 2yr'!O44+'SCHOLAR FELLOW 2yr'!O44+'All Other 2yr'!O44)-O44</f>
        <v>0</v>
      </c>
      <c r="AT44" s="74">
        <f>('INSTRUCTION-2YR'!P44+'RESEARCH 2yr'!P44+'PUBLIC SERVICE 2yr'!P44+'ASptISptSSv 2yr'!P44+'PLANT OPER MAIN 2yr'!P44+'SCHOLAR FELLOW 2yr'!P44+'All Other 2yr'!P44)-P44</f>
        <v>0</v>
      </c>
      <c r="AU44" s="74">
        <f>('INSTRUCTION-2YR'!Q44+'RESEARCH 2yr'!Q44+'PUBLIC SERVICE 2yr'!Q44+'ASptISptSSv 2yr'!Q44+'PLANT OPER MAIN 2yr'!Q44+'SCHOLAR FELLOW 2yr'!Q44+'All Other 2yr'!Q44)-Q44</f>
        <v>0</v>
      </c>
      <c r="AV44" s="74">
        <f>('INSTRUCTION-2YR'!R44+'RESEARCH 2yr'!R44+'PUBLIC SERVICE 2yr'!R44+'ASptISptSSv 2yr'!R44+'PLANT OPER MAIN 2yr'!R44+'SCHOLAR FELLOW 2yr'!R44+'All Other 2yr'!R44)-R44</f>
        <v>0</v>
      </c>
      <c r="AW44" s="74">
        <f>('INSTRUCTION-2YR'!S44+'RESEARCH 2yr'!S44+'PUBLIC SERVICE 2yr'!S44+'ASptISptSSv 2yr'!S44+'PLANT OPER MAIN 2yr'!S44+'SCHOLAR FELLOW 2yr'!S44+'All Other 2yr'!S44)-S44</f>
        <v>0</v>
      </c>
      <c r="AX44" s="74">
        <f>('INSTRUCTION-2YR'!T44+'RESEARCH 2yr'!T44+'PUBLIC SERVICE 2yr'!T44+'ASptISptSSv 2yr'!T44+'PLANT OPER MAIN 2yr'!T44+'SCHOLAR FELLOW 2yr'!T44+'All Other 2yr'!T44)-T44</f>
        <v>0</v>
      </c>
      <c r="AY44" s="74">
        <f>('INSTRUCTION-2YR'!U44+'RESEARCH 2yr'!U44+'PUBLIC SERVICE 2yr'!U44+'ASptISptSSv 2yr'!U44+'PLANT OPER MAIN 2yr'!U44+'SCHOLAR FELLOW 2yr'!U44+'All Other 2yr'!U44)-U44</f>
        <v>0</v>
      </c>
      <c r="AZ44" s="74">
        <f>('INSTRUCTION-2YR'!V44+'RESEARCH 2yr'!V44+'PUBLIC SERVICE 2yr'!V44+'ASptISptSSv 2yr'!V44+'PLANT OPER MAIN 2yr'!V44+'SCHOLAR FELLOW 2yr'!V44+'All Other 2yr'!V44)-V44</f>
        <v>0</v>
      </c>
      <c r="BA44" s="74">
        <f>('INSTRUCTION-2YR'!W44+'RESEARCH 2yr'!W44+'PUBLIC SERVICE 2yr'!W44+'ASptISptSSv 2yr'!W44+'PLANT OPER MAIN 2yr'!W44+'SCHOLAR FELLOW 2yr'!W44+'All Other 2yr'!W44)-W44</f>
        <v>0</v>
      </c>
      <c r="BB44" s="74">
        <f>('INSTRUCTION-2YR'!X44+'RESEARCH 2yr'!X44+'PUBLIC SERVICE 2yr'!X44+'ASptISptSSv 2yr'!X44+'PLANT OPER MAIN 2yr'!X44+'SCHOLAR FELLOW 2yr'!X44+'All Other 2yr'!X44)-X44</f>
        <v>0</v>
      </c>
      <c r="BC44" s="74">
        <f>('INSTRUCTION-2YR'!Y44+'RESEARCH 2yr'!Y44+'PUBLIC SERVICE 2yr'!Y44+'ASptISptSSv 2yr'!Y44+'PLANT OPER MAIN 2yr'!Y44+'SCHOLAR FELLOW 2yr'!Y44+'All Other 2yr'!Y44)-Y44</f>
        <v>0</v>
      </c>
      <c r="BD44" s="74">
        <f>('INSTRUCTION-2YR'!Z44+'RESEARCH 2yr'!Z44+'PUBLIC SERVICE 2yr'!Z44+'ASptISptSSv 2yr'!Z44+'PLANT OPER MAIN 2yr'!Z44+'SCHOLAR FELLOW 2yr'!Z44+'All Other 2yr'!Z44)-Z44</f>
        <v>0</v>
      </c>
      <c r="BE44" s="74">
        <f>('INSTRUCTION-2YR'!AA44+'RESEARCH 2yr'!AA44+'PUBLIC SERVICE 2yr'!AA44+'ASptISptSSv 2yr'!AA44+'PLANT OPER MAIN 2yr'!AA44+'SCHOLAR FELLOW 2yr'!AA44+'All Other 2yr'!AA44)-AA44</f>
        <v>0</v>
      </c>
      <c r="BF44" s="74">
        <f>('INSTRUCTION-2YR'!AB44+'RESEARCH 2yr'!AB44+'PUBLIC SERVICE 2yr'!AB44+'ASptISptSSv 2yr'!AB44+'PLANT OPER MAIN 2yr'!AB44+'SCHOLAR FELLOW 2yr'!AB44+'All Other 2yr'!AB44)-AB44</f>
        <v>0</v>
      </c>
      <c r="BG44" s="74">
        <f>('INSTRUCTION-2YR'!AC44+'RESEARCH 2yr'!AC44+'PUBLIC SERVICE 2yr'!AC44+'ASptISptSSv 2yr'!AC44+'PLANT OPER MAIN 2yr'!AC44+'SCHOLAR FELLOW 2yr'!AC44+'All Other 2yr'!AC44)-AC44</f>
        <v>0</v>
      </c>
      <c r="BH44" s="74">
        <f>('INSTRUCTION-2YR'!AD44+'RESEARCH 2yr'!AD44+'PUBLIC SERVICE 2yr'!AD44+'ASptISptSSv 2yr'!AD44+'PLANT OPER MAIN 2yr'!AD44+'SCHOLAR FELLOW 2yr'!AD44+'All Other 2yr'!AD44)-AD44</f>
        <v>0</v>
      </c>
      <c r="BI44" s="74">
        <f>('INSTRUCTION-2YR'!AE44+'RESEARCH 2yr'!AE44+'PUBLIC SERVICE 2yr'!AE44+'ASptISptSSv 2yr'!AE44+'PLANT OPER MAIN 2yr'!AE44+'SCHOLAR FELLOW 2yr'!AE44+'All Other 2yr'!AE44)-AE44</f>
        <v>0</v>
      </c>
    </row>
    <row r="45" spans="1:61">
      <c r="A45" s="1" t="s">
        <v>60</v>
      </c>
      <c r="F45" s="41">
        <v>217582.35200000001</v>
      </c>
      <c r="I45" s="1">
        <v>267566.75400000002</v>
      </c>
      <c r="K45" s="1">
        <v>298627.16092999995</v>
      </c>
      <c r="L45" s="1">
        <v>349425.99800000002</v>
      </c>
      <c r="M45" s="1">
        <v>377416.83600000001</v>
      </c>
      <c r="N45" s="1">
        <v>415971.48800000001</v>
      </c>
      <c r="O45" s="1">
        <v>429891.45500000002</v>
      </c>
      <c r="P45" s="1">
        <v>433829.37099999998</v>
      </c>
      <c r="Q45" s="1">
        <v>471593.20699999999</v>
      </c>
      <c r="R45" s="1">
        <v>508490.28</v>
      </c>
      <c r="S45" s="1">
        <v>529238.005</v>
      </c>
      <c r="T45" s="1">
        <v>564983.625</v>
      </c>
      <c r="U45" s="1">
        <v>621624.15399999998</v>
      </c>
      <c r="V45" s="1">
        <v>671250.28500000003</v>
      </c>
      <c r="W45" s="1">
        <v>707935.755</v>
      </c>
      <c r="X45" s="1">
        <v>716323.52</v>
      </c>
      <c r="Y45" s="1">
        <v>585903.05700000003</v>
      </c>
      <c r="Z45" s="1">
        <v>582092.28300000005</v>
      </c>
      <c r="AA45" s="1">
        <v>584483.17700000003</v>
      </c>
      <c r="AB45" s="1">
        <v>745740.88800000004</v>
      </c>
      <c r="AC45" s="1">
        <v>740393.424</v>
      </c>
      <c r="AE45" s="1">
        <v>785062.98899999994</v>
      </c>
      <c r="AF45" s="74">
        <f>('INSTRUCTION-2YR'!B45+'RESEARCH 2yr'!B45+'PUBLIC SERVICE 2yr'!B45+'ASptISptSSv 2yr'!B45+'PLANT OPER MAIN 2yr'!B45+'SCHOLAR FELLOW 2yr'!B45+'All Other 2yr'!B45)-B45</f>
        <v>0</v>
      </c>
      <c r="AG45" s="74">
        <f>('INSTRUCTION-2YR'!C45+'RESEARCH 2yr'!C45+'PUBLIC SERVICE 2yr'!C45+'ASptISptSSv 2yr'!C45+'PLANT OPER MAIN 2yr'!C45+'SCHOLAR FELLOW 2yr'!C45+'All Other 2yr'!C45)-C45</f>
        <v>0</v>
      </c>
      <c r="AH45" s="74">
        <f>('INSTRUCTION-2YR'!D45+'RESEARCH 2yr'!D45+'PUBLIC SERVICE 2yr'!D45+'ASptISptSSv 2yr'!D45+'PLANT OPER MAIN 2yr'!D45+'SCHOLAR FELLOW 2yr'!D45+'All Other 2yr'!D45)-D45</f>
        <v>0</v>
      </c>
      <c r="AI45" s="74">
        <f>('INSTRUCTION-2YR'!E45+'RESEARCH 2yr'!E45+'PUBLIC SERVICE 2yr'!E45+'ASptISptSSv 2yr'!E45+'PLANT OPER MAIN 2yr'!E45+'SCHOLAR FELLOW 2yr'!E45+'All Other 2yr'!E45)-E45</f>
        <v>0</v>
      </c>
      <c r="AJ45" s="74">
        <f>('INSTRUCTION-2YR'!F45+'RESEARCH 2yr'!F45+'PUBLIC SERVICE 2yr'!F45+'ASptISptSSv 2yr'!F45+'PLANT OPER MAIN 2yr'!F45+'SCHOLAR FELLOW 2yr'!F45+'All Other 2yr'!F45)-F45</f>
        <v>0</v>
      </c>
      <c r="AK45" s="74">
        <f>('INSTRUCTION-2YR'!G45+'RESEARCH 2yr'!G45+'PUBLIC SERVICE 2yr'!G45+'ASptISptSSv 2yr'!G45+'PLANT OPER MAIN 2yr'!G45+'SCHOLAR FELLOW 2yr'!G45+'All Other 2yr'!G45)-G45</f>
        <v>0</v>
      </c>
      <c r="AL45" s="74">
        <f>('INSTRUCTION-2YR'!H45+'RESEARCH 2yr'!H45+'PUBLIC SERVICE 2yr'!H45+'ASptISptSSv 2yr'!H45+'PLANT OPER MAIN 2yr'!H45+'SCHOLAR FELLOW 2yr'!H45+'All Other 2yr'!H45)-H45</f>
        <v>0</v>
      </c>
      <c r="AM45" s="74">
        <f>('INSTRUCTION-2YR'!I45+'RESEARCH 2yr'!I45+'PUBLIC SERVICE 2yr'!I45+'ASptISptSSv 2yr'!I45+'PLANT OPER MAIN 2yr'!I45+'SCHOLAR FELLOW 2yr'!I45+'All Other 2yr'!I45)-I45</f>
        <v>0</v>
      </c>
      <c r="AN45" s="74">
        <f>('INSTRUCTION-2YR'!J45+'RESEARCH 2yr'!J45+'PUBLIC SERVICE 2yr'!J45+'ASptISptSSv 2yr'!J45+'PLANT OPER MAIN 2yr'!J45+'SCHOLAR FELLOW 2yr'!J45+'All Other 2yr'!J45)-J45</f>
        <v>0</v>
      </c>
      <c r="AO45" s="74">
        <f>('INSTRUCTION-2YR'!K45+'RESEARCH 2yr'!K45+'PUBLIC SERVICE 2yr'!K45+'ASptISptSSv 2yr'!K45+'PLANT OPER MAIN 2yr'!K45+'SCHOLAR FELLOW 2yr'!K45+'All Other 2yr'!K45)-K45</f>
        <v>0</v>
      </c>
      <c r="AP45" s="74">
        <f>('INSTRUCTION-2YR'!L45+'RESEARCH 2yr'!L45+'PUBLIC SERVICE 2yr'!L45+'ASptISptSSv 2yr'!L45+'PLANT OPER MAIN 2yr'!L45+'SCHOLAR FELLOW 2yr'!L45+'All Other 2yr'!L45)-L45</f>
        <v>0</v>
      </c>
      <c r="AQ45" s="74">
        <f>('INSTRUCTION-2YR'!M45+'RESEARCH 2yr'!M45+'PUBLIC SERVICE 2yr'!M45+'ASptISptSSv 2yr'!M45+'PLANT OPER MAIN 2yr'!M45+'SCHOLAR FELLOW 2yr'!M45+'All Other 2yr'!M45)-M45</f>
        <v>0</v>
      </c>
      <c r="AR45" s="74">
        <f>('INSTRUCTION-2YR'!N45+'RESEARCH 2yr'!N45+'PUBLIC SERVICE 2yr'!N45+'ASptISptSSv 2yr'!N45+'PLANT OPER MAIN 2yr'!N45+'SCHOLAR FELLOW 2yr'!N45+'All Other 2yr'!N45)-N45</f>
        <v>0</v>
      </c>
      <c r="AS45" s="74">
        <f>('INSTRUCTION-2YR'!O45+'RESEARCH 2yr'!O45+'PUBLIC SERVICE 2yr'!O45+'ASptISptSSv 2yr'!O45+'PLANT OPER MAIN 2yr'!O45+'SCHOLAR FELLOW 2yr'!O45+'All Other 2yr'!O45)-O45</f>
        <v>0</v>
      </c>
      <c r="AT45" s="74">
        <f>('INSTRUCTION-2YR'!P45+'RESEARCH 2yr'!P45+'PUBLIC SERVICE 2yr'!P45+'ASptISptSSv 2yr'!P45+'PLANT OPER MAIN 2yr'!P45+'SCHOLAR FELLOW 2yr'!P45+'All Other 2yr'!P45)-P45</f>
        <v>0</v>
      </c>
      <c r="AU45" s="74">
        <f>('INSTRUCTION-2YR'!Q45+'RESEARCH 2yr'!Q45+'PUBLIC SERVICE 2yr'!Q45+'ASptISptSSv 2yr'!Q45+'PLANT OPER MAIN 2yr'!Q45+'SCHOLAR FELLOW 2yr'!Q45+'All Other 2yr'!Q45)-Q45</f>
        <v>0</v>
      </c>
      <c r="AV45" s="74">
        <f>('INSTRUCTION-2YR'!R45+'RESEARCH 2yr'!R45+'PUBLIC SERVICE 2yr'!R45+'ASptISptSSv 2yr'!R45+'PLANT OPER MAIN 2yr'!R45+'SCHOLAR FELLOW 2yr'!R45+'All Other 2yr'!R45)-R45</f>
        <v>0</v>
      </c>
      <c r="AW45" s="74">
        <f>('INSTRUCTION-2YR'!S45+'RESEARCH 2yr'!S45+'PUBLIC SERVICE 2yr'!S45+'ASptISptSSv 2yr'!S45+'PLANT OPER MAIN 2yr'!S45+'SCHOLAR FELLOW 2yr'!S45+'All Other 2yr'!S45)-S45</f>
        <v>0</v>
      </c>
      <c r="AX45" s="74">
        <f>('INSTRUCTION-2YR'!T45+'RESEARCH 2yr'!T45+'PUBLIC SERVICE 2yr'!T45+'ASptISptSSv 2yr'!T45+'PLANT OPER MAIN 2yr'!T45+'SCHOLAR FELLOW 2yr'!T45+'All Other 2yr'!T45)-T45</f>
        <v>0</v>
      </c>
      <c r="AY45" s="74">
        <f>('INSTRUCTION-2YR'!U45+'RESEARCH 2yr'!U45+'PUBLIC SERVICE 2yr'!U45+'ASptISptSSv 2yr'!U45+'PLANT OPER MAIN 2yr'!U45+'SCHOLAR FELLOW 2yr'!U45+'All Other 2yr'!U45)-U45</f>
        <v>0</v>
      </c>
      <c r="AZ45" s="74">
        <f>('INSTRUCTION-2YR'!V45+'RESEARCH 2yr'!V45+'PUBLIC SERVICE 2yr'!V45+'ASptISptSSv 2yr'!V45+'PLANT OPER MAIN 2yr'!V45+'SCHOLAR FELLOW 2yr'!V45+'All Other 2yr'!V45)-V45</f>
        <v>0</v>
      </c>
      <c r="BA45" s="74">
        <f>('INSTRUCTION-2YR'!W45+'RESEARCH 2yr'!W45+'PUBLIC SERVICE 2yr'!W45+'ASptISptSSv 2yr'!W45+'PLANT OPER MAIN 2yr'!W45+'SCHOLAR FELLOW 2yr'!W45+'All Other 2yr'!W45)-W45</f>
        <v>0</v>
      </c>
      <c r="BB45" s="74">
        <f>('INSTRUCTION-2YR'!X45+'RESEARCH 2yr'!X45+'PUBLIC SERVICE 2yr'!X45+'ASptISptSSv 2yr'!X45+'PLANT OPER MAIN 2yr'!X45+'SCHOLAR FELLOW 2yr'!X45+'All Other 2yr'!X45)-X45</f>
        <v>0</v>
      </c>
      <c r="BC45" s="74">
        <f>('INSTRUCTION-2YR'!Y45+'RESEARCH 2yr'!Y45+'PUBLIC SERVICE 2yr'!Y45+'ASptISptSSv 2yr'!Y45+'PLANT OPER MAIN 2yr'!Y45+'SCHOLAR FELLOW 2yr'!Y45+'All Other 2yr'!Y45)-Y45</f>
        <v>0</v>
      </c>
      <c r="BD45" s="74">
        <f>('INSTRUCTION-2YR'!Z45+'RESEARCH 2yr'!Z45+'PUBLIC SERVICE 2yr'!Z45+'ASptISptSSv 2yr'!Z45+'PLANT OPER MAIN 2yr'!Z45+'SCHOLAR FELLOW 2yr'!Z45+'All Other 2yr'!Z45)-Z45</f>
        <v>0</v>
      </c>
      <c r="BE45" s="74">
        <f>('INSTRUCTION-2YR'!AA45+'RESEARCH 2yr'!AA45+'PUBLIC SERVICE 2yr'!AA45+'ASptISptSSv 2yr'!AA45+'PLANT OPER MAIN 2yr'!AA45+'SCHOLAR FELLOW 2yr'!AA45+'All Other 2yr'!AA45)-AA45</f>
        <v>0</v>
      </c>
      <c r="BF45" s="74">
        <f>('INSTRUCTION-2YR'!AB45+'RESEARCH 2yr'!AB45+'PUBLIC SERVICE 2yr'!AB45+'ASptISptSSv 2yr'!AB45+'PLANT OPER MAIN 2yr'!AB45+'SCHOLAR FELLOW 2yr'!AB45+'All Other 2yr'!AB45)-AB45</f>
        <v>0</v>
      </c>
      <c r="BG45" s="74">
        <f>('INSTRUCTION-2YR'!AC45+'RESEARCH 2yr'!AC45+'PUBLIC SERVICE 2yr'!AC45+'ASptISptSSv 2yr'!AC45+'PLANT OPER MAIN 2yr'!AC45+'SCHOLAR FELLOW 2yr'!AC45+'All Other 2yr'!AC45)-AC45</f>
        <v>0</v>
      </c>
      <c r="BH45" s="74">
        <f>('INSTRUCTION-2YR'!AD45+'RESEARCH 2yr'!AD45+'PUBLIC SERVICE 2yr'!AD45+'ASptISptSSv 2yr'!AD45+'PLANT OPER MAIN 2yr'!AD45+'SCHOLAR FELLOW 2yr'!AD45+'All Other 2yr'!AD45)-AD45</f>
        <v>0</v>
      </c>
      <c r="BI45" s="74">
        <f>('INSTRUCTION-2YR'!AE45+'RESEARCH 2yr'!AE45+'PUBLIC SERVICE 2yr'!AE45+'ASptISptSSv 2yr'!AE45+'PLANT OPER MAIN 2yr'!AE45+'SCHOLAR FELLOW 2yr'!AE45+'All Other 2yr'!AE45)-AE45</f>
        <v>0</v>
      </c>
    </row>
    <row r="46" spans="1:61">
      <c r="A46" s="1" t="s">
        <v>61</v>
      </c>
      <c r="F46" s="41">
        <v>784496.67099999997</v>
      </c>
      <c r="I46" s="1">
        <v>854918.56499999994</v>
      </c>
      <c r="K46" s="1">
        <v>930034.7375200002</v>
      </c>
      <c r="L46" s="1">
        <v>1085659.6780000001</v>
      </c>
      <c r="M46" s="1">
        <v>1141180.1340000001</v>
      </c>
      <c r="N46" s="1">
        <v>1231723.622</v>
      </c>
      <c r="O46" s="1">
        <v>1391366.0730000001</v>
      </c>
      <c r="P46" s="1">
        <v>1424007.459</v>
      </c>
      <c r="Q46" s="1">
        <v>1477885.047</v>
      </c>
      <c r="R46" s="1">
        <v>1551337.7509999999</v>
      </c>
      <c r="S46" s="1">
        <v>1622756.74</v>
      </c>
      <c r="T46" s="1">
        <v>1708047.0490000001</v>
      </c>
      <c r="U46" s="1">
        <v>1856810.628</v>
      </c>
      <c r="V46" s="1">
        <v>2095875.1459999999</v>
      </c>
      <c r="W46" s="1">
        <v>2172617.4539999999</v>
      </c>
      <c r="X46" s="1">
        <v>2153765.5789999999</v>
      </c>
      <c r="Y46" s="1">
        <v>1946784.9739999999</v>
      </c>
      <c r="Z46" s="1">
        <v>1902645.696</v>
      </c>
      <c r="AA46" s="1">
        <v>1894975.9350000001</v>
      </c>
      <c r="AB46" s="1">
        <v>2014246.075</v>
      </c>
      <c r="AC46" s="1">
        <v>1968883.132</v>
      </c>
      <c r="AE46" s="1">
        <v>2055894.966</v>
      </c>
      <c r="AF46" s="74">
        <f>('INSTRUCTION-2YR'!B46+'RESEARCH 2yr'!B46+'PUBLIC SERVICE 2yr'!B46+'ASptISptSSv 2yr'!B46+'PLANT OPER MAIN 2yr'!B46+'SCHOLAR FELLOW 2yr'!B46+'All Other 2yr'!B46)-B46</f>
        <v>0</v>
      </c>
      <c r="AG46" s="74">
        <f>('INSTRUCTION-2YR'!C46+'RESEARCH 2yr'!C46+'PUBLIC SERVICE 2yr'!C46+'ASptISptSSv 2yr'!C46+'PLANT OPER MAIN 2yr'!C46+'SCHOLAR FELLOW 2yr'!C46+'All Other 2yr'!C46)-C46</f>
        <v>0</v>
      </c>
      <c r="AH46" s="74">
        <f>('INSTRUCTION-2YR'!D46+'RESEARCH 2yr'!D46+'PUBLIC SERVICE 2yr'!D46+'ASptISptSSv 2yr'!D46+'PLANT OPER MAIN 2yr'!D46+'SCHOLAR FELLOW 2yr'!D46+'All Other 2yr'!D46)-D46</f>
        <v>0</v>
      </c>
      <c r="AI46" s="74">
        <f>('INSTRUCTION-2YR'!E46+'RESEARCH 2yr'!E46+'PUBLIC SERVICE 2yr'!E46+'ASptISptSSv 2yr'!E46+'PLANT OPER MAIN 2yr'!E46+'SCHOLAR FELLOW 2yr'!E46+'All Other 2yr'!E46)-E46</f>
        <v>0</v>
      </c>
      <c r="AJ46" s="74">
        <f>('INSTRUCTION-2YR'!F46+'RESEARCH 2yr'!F46+'PUBLIC SERVICE 2yr'!F46+'ASptISptSSv 2yr'!F46+'PLANT OPER MAIN 2yr'!F46+'SCHOLAR FELLOW 2yr'!F46+'All Other 2yr'!F46)-F46</f>
        <v>0</v>
      </c>
      <c r="AK46" s="74">
        <f>('INSTRUCTION-2YR'!G46+'RESEARCH 2yr'!G46+'PUBLIC SERVICE 2yr'!G46+'ASptISptSSv 2yr'!G46+'PLANT OPER MAIN 2yr'!G46+'SCHOLAR FELLOW 2yr'!G46+'All Other 2yr'!G46)-G46</f>
        <v>0</v>
      </c>
      <c r="AL46" s="74">
        <f>('INSTRUCTION-2YR'!H46+'RESEARCH 2yr'!H46+'PUBLIC SERVICE 2yr'!H46+'ASptISptSSv 2yr'!H46+'PLANT OPER MAIN 2yr'!H46+'SCHOLAR FELLOW 2yr'!H46+'All Other 2yr'!H46)-H46</f>
        <v>0</v>
      </c>
      <c r="AM46" s="74">
        <f>('INSTRUCTION-2YR'!I46+'RESEARCH 2yr'!I46+'PUBLIC SERVICE 2yr'!I46+'ASptISptSSv 2yr'!I46+'PLANT OPER MAIN 2yr'!I46+'SCHOLAR FELLOW 2yr'!I46+'All Other 2yr'!I46)-I46</f>
        <v>0</v>
      </c>
      <c r="AN46" s="74">
        <f>('INSTRUCTION-2YR'!J46+'RESEARCH 2yr'!J46+'PUBLIC SERVICE 2yr'!J46+'ASptISptSSv 2yr'!J46+'PLANT OPER MAIN 2yr'!J46+'SCHOLAR FELLOW 2yr'!J46+'All Other 2yr'!J46)-J46</f>
        <v>0</v>
      </c>
      <c r="AO46" s="74">
        <f>('INSTRUCTION-2YR'!K46+'RESEARCH 2yr'!K46+'PUBLIC SERVICE 2yr'!K46+'ASptISptSSv 2yr'!K46+'PLANT OPER MAIN 2yr'!K46+'SCHOLAR FELLOW 2yr'!K46+'All Other 2yr'!K46)-K46</f>
        <v>0</v>
      </c>
      <c r="AP46" s="74">
        <f>('INSTRUCTION-2YR'!L46+'RESEARCH 2yr'!L46+'PUBLIC SERVICE 2yr'!L46+'ASptISptSSv 2yr'!L46+'PLANT OPER MAIN 2yr'!L46+'SCHOLAR FELLOW 2yr'!L46+'All Other 2yr'!L46)-L46</f>
        <v>0</v>
      </c>
      <c r="AQ46" s="74">
        <f>('INSTRUCTION-2YR'!M46+'RESEARCH 2yr'!M46+'PUBLIC SERVICE 2yr'!M46+'ASptISptSSv 2yr'!M46+'PLANT OPER MAIN 2yr'!M46+'SCHOLAR FELLOW 2yr'!M46+'All Other 2yr'!M46)-M46</f>
        <v>0</v>
      </c>
      <c r="AR46" s="74">
        <f>('INSTRUCTION-2YR'!N46+'RESEARCH 2yr'!N46+'PUBLIC SERVICE 2yr'!N46+'ASptISptSSv 2yr'!N46+'PLANT OPER MAIN 2yr'!N46+'SCHOLAR FELLOW 2yr'!N46+'All Other 2yr'!N46)-N46</f>
        <v>0</v>
      </c>
      <c r="AS46" s="74">
        <f>('INSTRUCTION-2YR'!O46+'RESEARCH 2yr'!O46+'PUBLIC SERVICE 2yr'!O46+'ASptISptSSv 2yr'!O46+'PLANT OPER MAIN 2yr'!O46+'SCHOLAR FELLOW 2yr'!O46+'All Other 2yr'!O46)-O46</f>
        <v>0</v>
      </c>
      <c r="AT46" s="74">
        <f>('INSTRUCTION-2YR'!P46+'RESEARCH 2yr'!P46+'PUBLIC SERVICE 2yr'!P46+'ASptISptSSv 2yr'!P46+'PLANT OPER MAIN 2yr'!P46+'SCHOLAR FELLOW 2yr'!P46+'All Other 2yr'!P46)-P46</f>
        <v>0</v>
      </c>
      <c r="AU46" s="74">
        <f>('INSTRUCTION-2YR'!Q46+'RESEARCH 2yr'!Q46+'PUBLIC SERVICE 2yr'!Q46+'ASptISptSSv 2yr'!Q46+'PLANT OPER MAIN 2yr'!Q46+'SCHOLAR FELLOW 2yr'!Q46+'All Other 2yr'!Q46)-Q46</f>
        <v>0</v>
      </c>
      <c r="AV46" s="74">
        <f>('INSTRUCTION-2YR'!R46+'RESEARCH 2yr'!R46+'PUBLIC SERVICE 2yr'!R46+'ASptISptSSv 2yr'!R46+'PLANT OPER MAIN 2yr'!R46+'SCHOLAR FELLOW 2yr'!R46+'All Other 2yr'!R46)-R46</f>
        <v>0</v>
      </c>
      <c r="AW46" s="74">
        <f>('INSTRUCTION-2YR'!S46+'RESEARCH 2yr'!S46+'PUBLIC SERVICE 2yr'!S46+'ASptISptSSv 2yr'!S46+'PLANT OPER MAIN 2yr'!S46+'SCHOLAR FELLOW 2yr'!S46+'All Other 2yr'!S46)-S46</f>
        <v>0</v>
      </c>
      <c r="AX46" s="74">
        <f>('INSTRUCTION-2YR'!T46+'RESEARCH 2yr'!T46+'PUBLIC SERVICE 2yr'!T46+'ASptISptSSv 2yr'!T46+'PLANT OPER MAIN 2yr'!T46+'SCHOLAR FELLOW 2yr'!T46+'All Other 2yr'!T46)-T46</f>
        <v>0</v>
      </c>
      <c r="AY46" s="74">
        <f>('INSTRUCTION-2YR'!U46+'RESEARCH 2yr'!U46+'PUBLIC SERVICE 2yr'!U46+'ASptISptSSv 2yr'!U46+'PLANT OPER MAIN 2yr'!U46+'SCHOLAR FELLOW 2yr'!U46+'All Other 2yr'!U46)-U46</f>
        <v>0</v>
      </c>
      <c r="AZ46" s="74">
        <f>('INSTRUCTION-2YR'!V46+'RESEARCH 2yr'!V46+'PUBLIC SERVICE 2yr'!V46+'ASptISptSSv 2yr'!V46+'PLANT OPER MAIN 2yr'!V46+'SCHOLAR FELLOW 2yr'!V46+'All Other 2yr'!V46)-V46</f>
        <v>0</v>
      </c>
      <c r="BA46" s="74">
        <f>('INSTRUCTION-2YR'!W46+'RESEARCH 2yr'!W46+'PUBLIC SERVICE 2yr'!W46+'ASptISptSSv 2yr'!W46+'PLANT OPER MAIN 2yr'!W46+'SCHOLAR FELLOW 2yr'!W46+'All Other 2yr'!W46)-W46</f>
        <v>0</v>
      </c>
      <c r="BB46" s="74">
        <f>('INSTRUCTION-2YR'!X46+'RESEARCH 2yr'!X46+'PUBLIC SERVICE 2yr'!X46+'ASptISptSSv 2yr'!X46+'PLANT OPER MAIN 2yr'!X46+'SCHOLAR FELLOW 2yr'!X46+'All Other 2yr'!X46)-X46</f>
        <v>0</v>
      </c>
      <c r="BC46" s="74">
        <f>('INSTRUCTION-2YR'!Y46+'RESEARCH 2yr'!Y46+'PUBLIC SERVICE 2yr'!Y46+'ASptISptSSv 2yr'!Y46+'PLANT OPER MAIN 2yr'!Y46+'SCHOLAR FELLOW 2yr'!Y46+'All Other 2yr'!Y46)-Y46</f>
        <v>0</v>
      </c>
      <c r="BD46" s="74">
        <f>('INSTRUCTION-2YR'!Z46+'RESEARCH 2yr'!Z46+'PUBLIC SERVICE 2yr'!Z46+'ASptISptSSv 2yr'!Z46+'PLANT OPER MAIN 2yr'!Z46+'SCHOLAR FELLOW 2yr'!Z46+'All Other 2yr'!Z46)-Z46</f>
        <v>0</v>
      </c>
      <c r="BE46" s="74">
        <f>('INSTRUCTION-2YR'!AA46+'RESEARCH 2yr'!AA46+'PUBLIC SERVICE 2yr'!AA46+'ASptISptSSv 2yr'!AA46+'PLANT OPER MAIN 2yr'!AA46+'SCHOLAR FELLOW 2yr'!AA46+'All Other 2yr'!AA46)-AA46</f>
        <v>0</v>
      </c>
      <c r="BF46" s="74">
        <f>('INSTRUCTION-2YR'!AB46+'RESEARCH 2yr'!AB46+'PUBLIC SERVICE 2yr'!AB46+'ASptISptSSv 2yr'!AB46+'PLANT OPER MAIN 2yr'!AB46+'SCHOLAR FELLOW 2yr'!AB46+'All Other 2yr'!AB46)-AB46</f>
        <v>0</v>
      </c>
      <c r="BG46" s="74">
        <f>('INSTRUCTION-2YR'!AC46+'RESEARCH 2yr'!AC46+'PUBLIC SERVICE 2yr'!AC46+'ASptISptSSv 2yr'!AC46+'PLANT OPER MAIN 2yr'!AC46+'SCHOLAR FELLOW 2yr'!AC46+'All Other 2yr'!AC46)-AC46</f>
        <v>0</v>
      </c>
      <c r="BH46" s="74">
        <f>('INSTRUCTION-2YR'!AD46+'RESEARCH 2yr'!AD46+'PUBLIC SERVICE 2yr'!AD46+'ASptISptSSv 2yr'!AD46+'PLANT OPER MAIN 2yr'!AD46+'SCHOLAR FELLOW 2yr'!AD46+'All Other 2yr'!AD46)-AD46</f>
        <v>0</v>
      </c>
      <c r="BI46" s="74">
        <f>('INSTRUCTION-2YR'!AE46+'RESEARCH 2yr'!AE46+'PUBLIC SERVICE 2yr'!AE46+'ASptISptSSv 2yr'!AE46+'PLANT OPER MAIN 2yr'!AE46+'SCHOLAR FELLOW 2yr'!AE46+'All Other 2yr'!AE46)-AE46</f>
        <v>0</v>
      </c>
    </row>
    <row r="47" spans="1:61">
      <c r="A47" s="1" t="s">
        <v>62</v>
      </c>
      <c r="F47" s="41">
        <v>373520.995</v>
      </c>
      <c r="I47" s="1">
        <v>520699.42599999998</v>
      </c>
      <c r="K47" s="1">
        <v>585028.45890000009</v>
      </c>
      <c r="L47" s="1">
        <v>621936.79799999995</v>
      </c>
      <c r="M47" s="1">
        <v>696988.071</v>
      </c>
      <c r="N47" s="1">
        <v>712501.86600000004</v>
      </c>
      <c r="O47" s="1">
        <v>761804.17099999997</v>
      </c>
      <c r="P47" s="1">
        <v>803183.26599999995</v>
      </c>
      <c r="Q47" s="1">
        <v>830515.03200000001</v>
      </c>
      <c r="R47" s="1">
        <v>877158.17099999997</v>
      </c>
      <c r="S47" s="1">
        <v>929569.88</v>
      </c>
      <c r="T47" s="1">
        <v>1016395.545</v>
      </c>
      <c r="U47" s="1">
        <v>1057378.585</v>
      </c>
      <c r="V47" s="1">
        <v>1154697.254</v>
      </c>
      <c r="W47" s="1">
        <v>1199554</v>
      </c>
      <c r="X47" s="1">
        <v>1169197.2990000001</v>
      </c>
      <c r="Y47" s="1">
        <v>920269.96499999997</v>
      </c>
      <c r="Z47" s="1">
        <v>919036.89599999995</v>
      </c>
      <c r="AA47" s="1">
        <v>904449.00300000003</v>
      </c>
      <c r="AB47" s="1">
        <v>1149706.3230000001</v>
      </c>
      <c r="AC47" s="1">
        <v>1300772.2350000001</v>
      </c>
      <c r="AE47" s="1">
        <v>1046427.779</v>
      </c>
      <c r="AF47" s="74">
        <f>('INSTRUCTION-2YR'!B47+'RESEARCH 2yr'!B47+'PUBLIC SERVICE 2yr'!B47+'ASptISptSSv 2yr'!B47+'PLANT OPER MAIN 2yr'!B47+'SCHOLAR FELLOW 2yr'!B47+'All Other 2yr'!B47)-B47</f>
        <v>0</v>
      </c>
      <c r="AG47" s="74">
        <f>('INSTRUCTION-2YR'!C47+'RESEARCH 2yr'!C47+'PUBLIC SERVICE 2yr'!C47+'ASptISptSSv 2yr'!C47+'PLANT OPER MAIN 2yr'!C47+'SCHOLAR FELLOW 2yr'!C47+'All Other 2yr'!C47)-C47</f>
        <v>0</v>
      </c>
      <c r="AH47" s="74">
        <f>('INSTRUCTION-2YR'!D47+'RESEARCH 2yr'!D47+'PUBLIC SERVICE 2yr'!D47+'ASptISptSSv 2yr'!D47+'PLANT OPER MAIN 2yr'!D47+'SCHOLAR FELLOW 2yr'!D47+'All Other 2yr'!D47)-D47</f>
        <v>0</v>
      </c>
      <c r="AI47" s="74">
        <f>('INSTRUCTION-2YR'!E47+'RESEARCH 2yr'!E47+'PUBLIC SERVICE 2yr'!E47+'ASptISptSSv 2yr'!E47+'PLANT OPER MAIN 2yr'!E47+'SCHOLAR FELLOW 2yr'!E47+'All Other 2yr'!E47)-E47</f>
        <v>0</v>
      </c>
      <c r="AJ47" s="74">
        <f>('INSTRUCTION-2YR'!F47+'RESEARCH 2yr'!F47+'PUBLIC SERVICE 2yr'!F47+'ASptISptSSv 2yr'!F47+'PLANT OPER MAIN 2yr'!F47+'SCHOLAR FELLOW 2yr'!F47+'All Other 2yr'!F47)-F47</f>
        <v>0</v>
      </c>
      <c r="AK47" s="74">
        <f>('INSTRUCTION-2YR'!G47+'RESEARCH 2yr'!G47+'PUBLIC SERVICE 2yr'!G47+'ASptISptSSv 2yr'!G47+'PLANT OPER MAIN 2yr'!G47+'SCHOLAR FELLOW 2yr'!G47+'All Other 2yr'!G47)-G47</f>
        <v>0</v>
      </c>
      <c r="AL47" s="74">
        <f>('INSTRUCTION-2YR'!H47+'RESEARCH 2yr'!H47+'PUBLIC SERVICE 2yr'!H47+'ASptISptSSv 2yr'!H47+'PLANT OPER MAIN 2yr'!H47+'SCHOLAR FELLOW 2yr'!H47+'All Other 2yr'!H47)-H47</f>
        <v>0</v>
      </c>
      <c r="AM47" s="74">
        <f>('INSTRUCTION-2YR'!I47+'RESEARCH 2yr'!I47+'PUBLIC SERVICE 2yr'!I47+'ASptISptSSv 2yr'!I47+'PLANT OPER MAIN 2yr'!I47+'SCHOLAR FELLOW 2yr'!I47+'All Other 2yr'!I47)-I47</f>
        <v>0</v>
      </c>
      <c r="AN47" s="74">
        <f>('INSTRUCTION-2YR'!J47+'RESEARCH 2yr'!J47+'PUBLIC SERVICE 2yr'!J47+'ASptISptSSv 2yr'!J47+'PLANT OPER MAIN 2yr'!J47+'SCHOLAR FELLOW 2yr'!J47+'All Other 2yr'!J47)-J47</f>
        <v>0</v>
      </c>
      <c r="AO47" s="74">
        <f>('INSTRUCTION-2YR'!K47+'RESEARCH 2yr'!K47+'PUBLIC SERVICE 2yr'!K47+'ASptISptSSv 2yr'!K47+'PLANT OPER MAIN 2yr'!K47+'SCHOLAR FELLOW 2yr'!K47+'All Other 2yr'!K47)-K47</f>
        <v>0</v>
      </c>
      <c r="AP47" s="74">
        <f>('INSTRUCTION-2YR'!L47+'RESEARCH 2yr'!L47+'PUBLIC SERVICE 2yr'!L47+'ASptISptSSv 2yr'!L47+'PLANT OPER MAIN 2yr'!L47+'SCHOLAR FELLOW 2yr'!L47+'All Other 2yr'!L47)-L47</f>
        <v>0</v>
      </c>
      <c r="AQ47" s="74">
        <f>('INSTRUCTION-2YR'!M47+'RESEARCH 2yr'!M47+'PUBLIC SERVICE 2yr'!M47+'ASptISptSSv 2yr'!M47+'PLANT OPER MAIN 2yr'!M47+'SCHOLAR FELLOW 2yr'!M47+'All Other 2yr'!M47)-M47</f>
        <v>0</v>
      </c>
      <c r="AR47" s="74">
        <f>('INSTRUCTION-2YR'!N47+'RESEARCH 2yr'!N47+'PUBLIC SERVICE 2yr'!N47+'ASptISptSSv 2yr'!N47+'PLANT OPER MAIN 2yr'!N47+'SCHOLAR FELLOW 2yr'!N47+'All Other 2yr'!N47)-N47</f>
        <v>0</v>
      </c>
      <c r="AS47" s="74">
        <f>('INSTRUCTION-2YR'!O47+'RESEARCH 2yr'!O47+'PUBLIC SERVICE 2yr'!O47+'ASptISptSSv 2yr'!O47+'PLANT OPER MAIN 2yr'!O47+'SCHOLAR FELLOW 2yr'!O47+'All Other 2yr'!O47)-O47</f>
        <v>0</v>
      </c>
      <c r="AT47" s="74">
        <f>('INSTRUCTION-2YR'!P47+'RESEARCH 2yr'!P47+'PUBLIC SERVICE 2yr'!P47+'ASptISptSSv 2yr'!P47+'PLANT OPER MAIN 2yr'!P47+'SCHOLAR FELLOW 2yr'!P47+'All Other 2yr'!P47)-P47</f>
        <v>0</v>
      </c>
      <c r="AU47" s="74">
        <f>('INSTRUCTION-2YR'!Q47+'RESEARCH 2yr'!Q47+'PUBLIC SERVICE 2yr'!Q47+'ASptISptSSv 2yr'!Q47+'PLANT OPER MAIN 2yr'!Q47+'SCHOLAR FELLOW 2yr'!Q47+'All Other 2yr'!Q47)-Q47</f>
        <v>0</v>
      </c>
      <c r="AV47" s="74">
        <f>('INSTRUCTION-2YR'!R47+'RESEARCH 2yr'!R47+'PUBLIC SERVICE 2yr'!R47+'ASptISptSSv 2yr'!R47+'PLANT OPER MAIN 2yr'!R47+'SCHOLAR FELLOW 2yr'!R47+'All Other 2yr'!R47)-R47</f>
        <v>0</v>
      </c>
      <c r="AW47" s="74">
        <f>('INSTRUCTION-2YR'!S47+'RESEARCH 2yr'!S47+'PUBLIC SERVICE 2yr'!S47+'ASptISptSSv 2yr'!S47+'PLANT OPER MAIN 2yr'!S47+'SCHOLAR FELLOW 2yr'!S47+'All Other 2yr'!S47)-S47</f>
        <v>0</v>
      </c>
      <c r="AX47" s="74">
        <f>('INSTRUCTION-2YR'!T47+'RESEARCH 2yr'!T47+'PUBLIC SERVICE 2yr'!T47+'ASptISptSSv 2yr'!T47+'PLANT OPER MAIN 2yr'!T47+'SCHOLAR FELLOW 2yr'!T47+'All Other 2yr'!T47)-T47</f>
        <v>0</v>
      </c>
      <c r="AY47" s="74">
        <f>('INSTRUCTION-2YR'!U47+'RESEARCH 2yr'!U47+'PUBLIC SERVICE 2yr'!U47+'ASptISptSSv 2yr'!U47+'PLANT OPER MAIN 2yr'!U47+'SCHOLAR FELLOW 2yr'!U47+'All Other 2yr'!U47)-U47</f>
        <v>0</v>
      </c>
      <c r="AZ47" s="74">
        <f>('INSTRUCTION-2YR'!V47+'RESEARCH 2yr'!V47+'PUBLIC SERVICE 2yr'!V47+'ASptISptSSv 2yr'!V47+'PLANT OPER MAIN 2yr'!V47+'SCHOLAR FELLOW 2yr'!V47+'All Other 2yr'!V47)-V47</f>
        <v>0</v>
      </c>
      <c r="BA47" s="74">
        <f>('INSTRUCTION-2YR'!W47+'RESEARCH 2yr'!W47+'PUBLIC SERVICE 2yr'!W47+'ASptISptSSv 2yr'!W47+'PLANT OPER MAIN 2yr'!W47+'SCHOLAR FELLOW 2yr'!W47+'All Other 2yr'!W47)-W47</f>
        <v>0</v>
      </c>
      <c r="BB47" s="74">
        <f>('INSTRUCTION-2YR'!X47+'RESEARCH 2yr'!X47+'PUBLIC SERVICE 2yr'!X47+'ASptISptSSv 2yr'!X47+'PLANT OPER MAIN 2yr'!X47+'SCHOLAR FELLOW 2yr'!X47+'All Other 2yr'!X47)-X47</f>
        <v>0</v>
      </c>
      <c r="BC47" s="74">
        <f>('INSTRUCTION-2YR'!Y47+'RESEARCH 2yr'!Y47+'PUBLIC SERVICE 2yr'!Y47+'ASptISptSSv 2yr'!Y47+'PLANT OPER MAIN 2yr'!Y47+'SCHOLAR FELLOW 2yr'!Y47+'All Other 2yr'!Y47)-Y47</f>
        <v>0</v>
      </c>
      <c r="BD47" s="74">
        <f>('INSTRUCTION-2YR'!Z47+'RESEARCH 2yr'!Z47+'PUBLIC SERVICE 2yr'!Z47+'ASptISptSSv 2yr'!Z47+'PLANT OPER MAIN 2yr'!Z47+'SCHOLAR FELLOW 2yr'!Z47+'All Other 2yr'!Z47)-Z47</f>
        <v>0</v>
      </c>
      <c r="BE47" s="74">
        <f>('INSTRUCTION-2YR'!AA47+'RESEARCH 2yr'!AA47+'PUBLIC SERVICE 2yr'!AA47+'ASptISptSSv 2yr'!AA47+'PLANT OPER MAIN 2yr'!AA47+'SCHOLAR FELLOW 2yr'!AA47+'All Other 2yr'!AA47)-AA47</f>
        <v>0</v>
      </c>
      <c r="BF47" s="74">
        <f>('INSTRUCTION-2YR'!AB47+'RESEARCH 2yr'!AB47+'PUBLIC SERVICE 2yr'!AB47+'ASptISptSSv 2yr'!AB47+'PLANT OPER MAIN 2yr'!AB47+'SCHOLAR FELLOW 2yr'!AB47+'All Other 2yr'!AB47)-AB47</f>
        <v>0</v>
      </c>
      <c r="BG47" s="74">
        <f>('INSTRUCTION-2YR'!AC47+'RESEARCH 2yr'!AC47+'PUBLIC SERVICE 2yr'!AC47+'ASptISptSSv 2yr'!AC47+'PLANT OPER MAIN 2yr'!AC47+'SCHOLAR FELLOW 2yr'!AC47+'All Other 2yr'!AC47)-AC47</f>
        <v>0</v>
      </c>
      <c r="BH47" s="74">
        <f>('INSTRUCTION-2YR'!AD47+'RESEARCH 2yr'!AD47+'PUBLIC SERVICE 2yr'!AD47+'ASptISptSSv 2yr'!AD47+'PLANT OPER MAIN 2yr'!AD47+'SCHOLAR FELLOW 2yr'!AD47+'All Other 2yr'!AD47)-AD47</f>
        <v>0</v>
      </c>
      <c r="BI47" s="74">
        <f>('INSTRUCTION-2YR'!AE47+'RESEARCH 2yr'!AE47+'PUBLIC SERVICE 2yr'!AE47+'ASptISptSSv 2yr'!AE47+'PLANT OPER MAIN 2yr'!AE47+'SCHOLAR FELLOW 2yr'!AE47+'All Other 2yr'!AE47)-AE47</f>
        <v>0</v>
      </c>
    </row>
    <row r="48" spans="1:61">
      <c r="A48" s="1" t="s">
        <v>63</v>
      </c>
      <c r="F48" s="41">
        <v>217768.98499999999</v>
      </c>
      <c r="I48" s="1">
        <v>105803.815</v>
      </c>
      <c r="K48" s="1">
        <v>341820.50599999999</v>
      </c>
      <c r="L48" s="1">
        <v>185012.33199999999</v>
      </c>
      <c r="M48" s="1">
        <v>253030.28700000001</v>
      </c>
      <c r="N48" s="1">
        <v>209689.06700000001</v>
      </c>
      <c r="O48" s="1">
        <v>233803.66200000001</v>
      </c>
      <c r="P48" s="1">
        <v>247604.644</v>
      </c>
      <c r="Q48" s="1">
        <v>266767.99400000001</v>
      </c>
      <c r="R48" s="1">
        <v>280971.21999999997</v>
      </c>
      <c r="S48" s="1">
        <v>300388.72700000001</v>
      </c>
      <c r="T48" s="1">
        <v>331162.076</v>
      </c>
      <c r="U48" s="1">
        <v>361007.50300000003</v>
      </c>
      <c r="V48" s="1">
        <v>429916.08299999998</v>
      </c>
      <c r="W48" s="1">
        <v>687884.103</v>
      </c>
      <c r="X48" s="1">
        <v>699748.87600000005</v>
      </c>
      <c r="Y48" s="1">
        <v>702462.36600000004</v>
      </c>
      <c r="Z48" s="1">
        <v>852848.57799999998</v>
      </c>
      <c r="AA48" s="1">
        <v>805288.69</v>
      </c>
      <c r="AB48" s="1">
        <v>805232.60900000005</v>
      </c>
      <c r="AC48" s="1">
        <v>813192.53200000001</v>
      </c>
      <c r="AE48" s="1">
        <v>829089.49300000002</v>
      </c>
      <c r="AF48" s="74">
        <f>('INSTRUCTION-2YR'!B48+'RESEARCH 2yr'!B48+'PUBLIC SERVICE 2yr'!B48+'ASptISptSSv 2yr'!B48+'PLANT OPER MAIN 2yr'!B48+'SCHOLAR FELLOW 2yr'!B48+'All Other 2yr'!B48)-B48</f>
        <v>0</v>
      </c>
      <c r="AG48" s="74">
        <f>('INSTRUCTION-2YR'!C48+'RESEARCH 2yr'!C48+'PUBLIC SERVICE 2yr'!C48+'ASptISptSSv 2yr'!C48+'PLANT OPER MAIN 2yr'!C48+'SCHOLAR FELLOW 2yr'!C48+'All Other 2yr'!C48)-C48</f>
        <v>0</v>
      </c>
      <c r="AH48" s="74">
        <f>('INSTRUCTION-2YR'!D48+'RESEARCH 2yr'!D48+'PUBLIC SERVICE 2yr'!D48+'ASptISptSSv 2yr'!D48+'PLANT OPER MAIN 2yr'!D48+'SCHOLAR FELLOW 2yr'!D48+'All Other 2yr'!D48)-D48</f>
        <v>0</v>
      </c>
      <c r="AI48" s="74">
        <f>('INSTRUCTION-2YR'!E48+'RESEARCH 2yr'!E48+'PUBLIC SERVICE 2yr'!E48+'ASptISptSSv 2yr'!E48+'PLANT OPER MAIN 2yr'!E48+'SCHOLAR FELLOW 2yr'!E48+'All Other 2yr'!E48)-E48</f>
        <v>0</v>
      </c>
      <c r="AJ48" s="74">
        <f>('INSTRUCTION-2YR'!F48+'RESEARCH 2yr'!F48+'PUBLIC SERVICE 2yr'!F48+'ASptISptSSv 2yr'!F48+'PLANT OPER MAIN 2yr'!F48+'SCHOLAR FELLOW 2yr'!F48+'All Other 2yr'!F48)-F48</f>
        <v>0</v>
      </c>
      <c r="AK48" s="74">
        <f>('INSTRUCTION-2YR'!G48+'RESEARCH 2yr'!G48+'PUBLIC SERVICE 2yr'!G48+'ASptISptSSv 2yr'!G48+'PLANT OPER MAIN 2yr'!G48+'SCHOLAR FELLOW 2yr'!G48+'All Other 2yr'!G48)-G48</f>
        <v>0</v>
      </c>
      <c r="AL48" s="74">
        <f>('INSTRUCTION-2YR'!H48+'RESEARCH 2yr'!H48+'PUBLIC SERVICE 2yr'!H48+'ASptISptSSv 2yr'!H48+'PLANT OPER MAIN 2yr'!H48+'SCHOLAR FELLOW 2yr'!H48+'All Other 2yr'!H48)-H48</f>
        <v>0</v>
      </c>
      <c r="AM48" s="74">
        <f>('INSTRUCTION-2YR'!I48+'RESEARCH 2yr'!I48+'PUBLIC SERVICE 2yr'!I48+'ASptISptSSv 2yr'!I48+'PLANT OPER MAIN 2yr'!I48+'SCHOLAR FELLOW 2yr'!I48+'All Other 2yr'!I48)-I48</f>
        <v>0</v>
      </c>
      <c r="AN48" s="74">
        <f>('INSTRUCTION-2YR'!J48+'RESEARCH 2yr'!J48+'PUBLIC SERVICE 2yr'!J48+'ASptISptSSv 2yr'!J48+'PLANT OPER MAIN 2yr'!J48+'SCHOLAR FELLOW 2yr'!J48+'All Other 2yr'!J48)-J48</f>
        <v>0</v>
      </c>
      <c r="AO48" s="74">
        <f>('INSTRUCTION-2YR'!K48+'RESEARCH 2yr'!K48+'PUBLIC SERVICE 2yr'!K48+'ASptISptSSv 2yr'!K48+'PLANT OPER MAIN 2yr'!K48+'SCHOLAR FELLOW 2yr'!K48+'All Other 2yr'!K48)-K48</f>
        <v>0</v>
      </c>
      <c r="AP48" s="74">
        <f>('INSTRUCTION-2YR'!L48+'RESEARCH 2yr'!L48+'PUBLIC SERVICE 2yr'!L48+'ASptISptSSv 2yr'!L48+'PLANT OPER MAIN 2yr'!L48+'SCHOLAR FELLOW 2yr'!L48+'All Other 2yr'!L48)-L48</f>
        <v>0</v>
      </c>
      <c r="AQ48" s="74">
        <f>('INSTRUCTION-2YR'!M48+'RESEARCH 2yr'!M48+'PUBLIC SERVICE 2yr'!M48+'ASptISptSSv 2yr'!M48+'PLANT OPER MAIN 2yr'!M48+'SCHOLAR FELLOW 2yr'!M48+'All Other 2yr'!M48)-M48</f>
        <v>0</v>
      </c>
      <c r="AR48" s="74">
        <f>('INSTRUCTION-2YR'!N48+'RESEARCH 2yr'!N48+'PUBLIC SERVICE 2yr'!N48+'ASptISptSSv 2yr'!N48+'PLANT OPER MAIN 2yr'!N48+'SCHOLAR FELLOW 2yr'!N48+'All Other 2yr'!N48)-N48</f>
        <v>0</v>
      </c>
      <c r="AS48" s="74">
        <f>('INSTRUCTION-2YR'!O48+'RESEARCH 2yr'!O48+'PUBLIC SERVICE 2yr'!O48+'ASptISptSSv 2yr'!O48+'PLANT OPER MAIN 2yr'!O48+'SCHOLAR FELLOW 2yr'!O48+'All Other 2yr'!O48)-O48</f>
        <v>0</v>
      </c>
      <c r="AT48" s="74">
        <f>('INSTRUCTION-2YR'!P48+'RESEARCH 2yr'!P48+'PUBLIC SERVICE 2yr'!P48+'ASptISptSSv 2yr'!P48+'PLANT OPER MAIN 2yr'!P48+'SCHOLAR FELLOW 2yr'!P48+'All Other 2yr'!P48)-P48</f>
        <v>0</v>
      </c>
      <c r="AU48" s="74">
        <f>('INSTRUCTION-2YR'!Q48+'RESEARCH 2yr'!Q48+'PUBLIC SERVICE 2yr'!Q48+'ASptISptSSv 2yr'!Q48+'PLANT OPER MAIN 2yr'!Q48+'SCHOLAR FELLOW 2yr'!Q48+'All Other 2yr'!Q48)-Q48</f>
        <v>0</v>
      </c>
      <c r="AV48" s="74">
        <f>('INSTRUCTION-2YR'!R48+'RESEARCH 2yr'!R48+'PUBLIC SERVICE 2yr'!R48+'ASptISptSSv 2yr'!R48+'PLANT OPER MAIN 2yr'!R48+'SCHOLAR FELLOW 2yr'!R48+'All Other 2yr'!R48)-R48</f>
        <v>0</v>
      </c>
      <c r="AW48" s="74">
        <f>('INSTRUCTION-2YR'!S48+'RESEARCH 2yr'!S48+'PUBLIC SERVICE 2yr'!S48+'ASptISptSSv 2yr'!S48+'PLANT OPER MAIN 2yr'!S48+'SCHOLAR FELLOW 2yr'!S48+'All Other 2yr'!S48)-S48</f>
        <v>0</v>
      </c>
      <c r="AX48" s="74">
        <f>('INSTRUCTION-2YR'!T48+'RESEARCH 2yr'!T48+'PUBLIC SERVICE 2yr'!T48+'ASptISptSSv 2yr'!T48+'PLANT OPER MAIN 2yr'!T48+'SCHOLAR FELLOW 2yr'!T48+'All Other 2yr'!T48)-T48</f>
        <v>0</v>
      </c>
      <c r="AY48" s="74">
        <f>('INSTRUCTION-2YR'!U48+'RESEARCH 2yr'!U48+'PUBLIC SERVICE 2yr'!U48+'ASptISptSSv 2yr'!U48+'PLANT OPER MAIN 2yr'!U48+'SCHOLAR FELLOW 2yr'!U48+'All Other 2yr'!U48)-U48</f>
        <v>0</v>
      </c>
      <c r="AZ48" s="74">
        <f>('INSTRUCTION-2YR'!V48+'RESEARCH 2yr'!V48+'PUBLIC SERVICE 2yr'!V48+'ASptISptSSv 2yr'!V48+'PLANT OPER MAIN 2yr'!V48+'SCHOLAR FELLOW 2yr'!V48+'All Other 2yr'!V48)-V48</f>
        <v>0</v>
      </c>
      <c r="BA48" s="74">
        <f>('INSTRUCTION-2YR'!W48+'RESEARCH 2yr'!W48+'PUBLIC SERVICE 2yr'!W48+'ASptISptSSv 2yr'!W48+'PLANT OPER MAIN 2yr'!W48+'SCHOLAR FELLOW 2yr'!W48+'All Other 2yr'!W48)-W48</f>
        <v>0</v>
      </c>
      <c r="BB48" s="74">
        <f>('INSTRUCTION-2YR'!X48+'RESEARCH 2yr'!X48+'PUBLIC SERVICE 2yr'!X48+'ASptISptSSv 2yr'!X48+'PLANT OPER MAIN 2yr'!X48+'SCHOLAR FELLOW 2yr'!X48+'All Other 2yr'!X48)-X48</f>
        <v>0</v>
      </c>
      <c r="BC48" s="74">
        <f>('INSTRUCTION-2YR'!Y48+'RESEARCH 2yr'!Y48+'PUBLIC SERVICE 2yr'!Y48+'ASptISptSSv 2yr'!Y48+'PLANT OPER MAIN 2yr'!Y48+'SCHOLAR FELLOW 2yr'!Y48+'All Other 2yr'!Y48)-Y48</f>
        <v>0</v>
      </c>
      <c r="BD48" s="74">
        <f>('INSTRUCTION-2YR'!Z48+'RESEARCH 2yr'!Z48+'PUBLIC SERVICE 2yr'!Z48+'ASptISptSSv 2yr'!Z48+'PLANT OPER MAIN 2yr'!Z48+'SCHOLAR FELLOW 2yr'!Z48+'All Other 2yr'!Z48)-Z48</f>
        <v>0</v>
      </c>
      <c r="BE48" s="74">
        <f>('INSTRUCTION-2YR'!AA48+'RESEARCH 2yr'!AA48+'PUBLIC SERVICE 2yr'!AA48+'ASptISptSSv 2yr'!AA48+'PLANT OPER MAIN 2yr'!AA48+'SCHOLAR FELLOW 2yr'!AA48+'All Other 2yr'!AA48)-AA48</f>
        <v>0</v>
      </c>
      <c r="BF48" s="74">
        <f>('INSTRUCTION-2YR'!AB48+'RESEARCH 2yr'!AB48+'PUBLIC SERVICE 2yr'!AB48+'ASptISptSSv 2yr'!AB48+'PLANT OPER MAIN 2yr'!AB48+'SCHOLAR FELLOW 2yr'!AB48+'All Other 2yr'!AB48)-AB48</f>
        <v>0</v>
      </c>
      <c r="BG48" s="74">
        <f>('INSTRUCTION-2YR'!AC48+'RESEARCH 2yr'!AC48+'PUBLIC SERVICE 2yr'!AC48+'ASptISptSSv 2yr'!AC48+'PLANT OPER MAIN 2yr'!AC48+'SCHOLAR FELLOW 2yr'!AC48+'All Other 2yr'!AC48)-AC48</f>
        <v>0</v>
      </c>
      <c r="BH48" s="74">
        <f>('INSTRUCTION-2YR'!AD48+'RESEARCH 2yr'!AD48+'PUBLIC SERVICE 2yr'!AD48+'ASptISptSSv 2yr'!AD48+'PLANT OPER MAIN 2yr'!AD48+'SCHOLAR FELLOW 2yr'!AD48+'All Other 2yr'!AD48)-AD48</f>
        <v>0</v>
      </c>
      <c r="BI48" s="74">
        <f>('INSTRUCTION-2YR'!AE48+'RESEARCH 2yr'!AE48+'PUBLIC SERVICE 2yr'!AE48+'ASptISptSSv 2yr'!AE48+'PLANT OPER MAIN 2yr'!AE48+'SCHOLAR FELLOW 2yr'!AE48+'All Other 2yr'!AE48)-AE48</f>
        <v>0</v>
      </c>
    </row>
    <row r="49" spans="1:61">
      <c r="A49" s="1" t="s">
        <v>64</v>
      </c>
      <c r="F49" s="41">
        <v>84499.707999999999</v>
      </c>
      <c r="I49" s="1">
        <v>90127.212</v>
      </c>
      <c r="K49" s="1">
        <v>145557.92600000001</v>
      </c>
      <c r="L49" s="1">
        <v>172604.73300000001</v>
      </c>
      <c r="M49" s="1">
        <v>182082.36199999999</v>
      </c>
      <c r="N49" s="1">
        <v>199283.041</v>
      </c>
      <c r="O49" s="1">
        <v>218573.15599999999</v>
      </c>
      <c r="P49" s="1">
        <v>232417.48199999999</v>
      </c>
      <c r="Q49" s="1">
        <v>237282.147</v>
      </c>
      <c r="R49" s="1">
        <v>248524.557</v>
      </c>
      <c r="S49" s="1">
        <v>259448.61199999999</v>
      </c>
      <c r="T49" s="1">
        <v>276772.32500000001</v>
      </c>
      <c r="U49" s="1">
        <v>300704.484</v>
      </c>
      <c r="V49" s="1">
        <v>342750.02299999999</v>
      </c>
      <c r="W49" s="1">
        <v>382302.96500000003</v>
      </c>
      <c r="X49" s="1">
        <v>398019.61</v>
      </c>
      <c r="Y49" s="1">
        <v>331798.61800000002</v>
      </c>
      <c r="Z49" s="1">
        <v>335954.14199999999</v>
      </c>
      <c r="AA49" s="1">
        <v>343376.16499999998</v>
      </c>
      <c r="AB49" s="1">
        <v>422960.55499999999</v>
      </c>
      <c r="AC49" s="1">
        <v>423921.03100000002</v>
      </c>
      <c r="AE49" s="1">
        <v>467937.26199999999</v>
      </c>
      <c r="AF49" s="74">
        <f>('INSTRUCTION-2YR'!B49+'RESEARCH 2yr'!B49+'PUBLIC SERVICE 2yr'!B49+'ASptISptSSv 2yr'!B49+'PLANT OPER MAIN 2yr'!B49+'SCHOLAR FELLOW 2yr'!B49+'All Other 2yr'!B49)-B49</f>
        <v>0</v>
      </c>
      <c r="AG49" s="74">
        <f>('INSTRUCTION-2YR'!C49+'RESEARCH 2yr'!C49+'PUBLIC SERVICE 2yr'!C49+'ASptISptSSv 2yr'!C49+'PLANT OPER MAIN 2yr'!C49+'SCHOLAR FELLOW 2yr'!C49+'All Other 2yr'!C49)-C49</f>
        <v>0</v>
      </c>
      <c r="AH49" s="74">
        <f>('INSTRUCTION-2YR'!D49+'RESEARCH 2yr'!D49+'PUBLIC SERVICE 2yr'!D49+'ASptISptSSv 2yr'!D49+'PLANT OPER MAIN 2yr'!D49+'SCHOLAR FELLOW 2yr'!D49+'All Other 2yr'!D49)-D49</f>
        <v>0</v>
      </c>
      <c r="AI49" s="74">
        <f>('INSTRUCTION-2YR'!E49+'RESEARCH 2yr'!E49+'PUBLIC SERVICE 2yr'!E49+'ASptISptSSv 2yr'!E49+'PLANT OPER MAIN 2yr'!E49+'SCHOLAR FELLOW 2yr'!E49+'All Other 2yr'!E49)-E49</f>
        <v>0</v>
      </c>
      <c r="AJ49" s="74">
        <f>('INSTRUCTION-2YR'!F49+'RESEARCH 2yr'!F49+'PUBLIC SERVICE 2yr'!F49+'ASptISptSSv 2yr'!F49+'PLANT OPER MAIN 2yr'!F49+'SCHOLAR FELLOW 2yr'!F49+'All Other 2yr'!F49)-F49</f>
        <v>0</v>
      </c>
      <c r="AK49" s="74">
        <f>('INSTRUCTION-2YR'!G49+'RESEARCH 2yr'!G49+'PUBLIC SERVICE 2yr'!G49+'ASptISptSSv 2yr'!G49+'PLANT OPER MAIN 2yr'!G49+'SCHOLAR FELLOW 2yr'!G49+'All Other 2yr'!G49)-G49</f>
        <v>0</v>
      </c>
      <c r="AL49" s="74">
        <f>('INSTRUCTION-2YR'!H49+'RESEARCH 2yr'!H49+'PUBLIC SERVICE 2yr'!H49+'ASptISptSSv 2yr'!H49+'PLANT OPER MAIN 2yr'!H49+'SCHOLAR FELLOW 2yr'!H49+'All Other 2yr'!H49)-H49</f>
        <v>0</v>
      </c>
      <c r="AM49" s="74">
        <f>('INSTRUCTION-2YR'!I49+'RESEARCH 2yr'!I49+'PUBLIC SERVICE 2yr'!I49+'ASptISptSSv 2yr'!I49+'PLANT OPER MAIN 2yr'!I49+'SCHOLAR FELLOW 2yr'!I49+'All Other 2yr'!I49)-I49</f>
        <v>0</v>
      </c>
      <c r="AN49" s="74">
        <f>('INSTRUCTION-2YR'!J49+'RESEARCH 2yr'!J49+'PUBLIC SERVICE 2yr'!J49+'ASptISptSSv 2yr'!J49+'PLANT OPER MAIN 2yr'!J49+'SCHOLAR FELLOW 2yr'!J49+'All Other 2yr'!J49)-J49</f>
        <v>0</v>
      </c>
      <c r="AO49" s="74">
        <f>('INSTRUCTION-2YR'!K49+'RESEARCH 2yr'!K49+'PUBLIC SERVICE 2yr'!K49+'ASptISptSSv 2yr'!K49+'PLANT OPER MAIN 2yr'!K49+'SCHOLAR FELLOW 2yr'!K49+'All Other 2yr'!K49)-K49</f>
        <v>0</v>
      </c>
      <c r="AP49" s="74">
        <f>('INSTRUCTION-2YR'!L49+'RESEARCH 2yr'!L49+'PUBLIC SERVICE 2yr'!L49+'ASptISptSSv 2yr'!L49+'PLANT OPER MAIN 2yr'!L49+'SCHOLAR FELLOW 2yr'!L49+'All Other 2yr'!L49)-L49</f>
        <v>0</v>
      </c>
      <c r="AQ49" s="74">
        <f>('INSTRUCTION-2YR'!M49+'RESEARCH 2yr'!M49+'PUBLIC SERVICE 2yr'!M49+'ASptISptSSv 2yr'!M49+'PLANT OPER MAIN 2yr'!M49+'SCHOLAR FELLOW 2yr'!M49+'All Other 2yr'!M49)-M49</f>
        <v>0</v>
      </c>
      <c r="AR49" s="74">
        <f>('INSTRUCTION-2YR'!N49+'RESEARCH 2yr'!N49+'PUBLIC SERVICE 2yr'!N49+'ASptISptSSv 2yr'!N49+'PLANT OPER MAIN 2yr'!N49+'SCHOLAR FELLOW 2yr'!N49+'All Other 2yr'!N49)-N49</f>
        <v>0</v>
      </c>
      <c r="AS49" s="74">
        <f>('INSTRUCTION-2YR'!O49+'RESEARCH 2yr'!O49+'PUBLIC SERVICE 2yr'!O49+'ASptISptSSv 2yr'!O49+'PLANT OPER MAIN 2yr'!O49+'SCHOLAR FELLOW 2yr'!O49+'All Other 2yr'!O49)-O49</f>
        <v>0</v>
      </c>
      <c r="AT49" s="74">
        <f>('INSTRUCTION-2YR'!P49+'RESEARCH 2yr'!P49+'PUBLIC SERVICE 2yr'!P49+'ASptISptSSv 2yr'!P49+'PLANT OPER MAIN 2yr'!P49+'SCHOLAR FELLOW 2yr'!P49+'All Other 2yr'!P49)-P49</f>
        <v>0</v>
      </c>
      <c r="AU49" s="74">
        <f>('INSTRUCTION-2YR'!Q49+'RESEARCH 2yr'!Q49+'PUBLIC SERVICE 2yr'!Q49+'ASptISptSSv 2yr'!Q49+'PLANT OPER MAIN 2yr'!Q49+'SCHOLAR FELLOW 2yr'!Q49+'All Other 2yr'!Q49)-Q49</f>
        <v>0</v>
      </c>
      <c r="AV49" s="74">
        <f>('INSTRUCTION-2YR'!R49+'RESEARCH 2yr'!R49+'PUBLIC SERVICE 2yr'!R49+'ASptISptSSv 2yr'!R49+'PLANT OPER MAIN 2yr'!R49+'SCHOLAR FELLOW 2yr'!R49+'All Other 2yr'!R49)-R49</f>
        <v>0</v>
      </c>
      <c r="AW49" s="74">
        <f>('INSTRUCTION-2YR'!S49+'RESEARCH 2yr'!S49+'PUBLIC SERVICE 2yr'!S49+'ASptISptSSv 2yr'!S49+'PLANT OPER MAIN 2yr'!S49+'SCHOLAR FELLOW 2yr'!S49+'All Other 2yr'!S49)-S49</f>
        <v>0</v>
      </c>
      <c r="AX49" s="74">
        <f>('INSTRUCTION-2YR'!T49+'RESEARCH 2yr'!T49+'PUBLIC SERVICE 2yr'!T49+'ASptISptSSv 2yr'!T49+'PLANT OPER MAIN 2yr'!T49+'SCHOLAR FELLOW 2yr'!T49+'All Other 2yr'!T49)-T49</f>
        <v>0</v>
      </c>
      <c r="AY49" s="74">
        <f>('INSTRUCTION-2YR'!U49+'RESEARCH 2yr'!U49+'PUBLIC SERVICE 2yr'!U49+'ASptISptSSv 2yr'!U49+'PLANT OPER MAIN 2yr'!U49+'SCHOLAR FELLOW 2yr'!U49+'All Other 2yr'!U49)-U49</f>
        <v>0</v>
      </c>
      <c r="AZ49" s="74">
        <f>('INSTRUCTION-2YR'!V49+'RESEARCH 2yr'!V49+'PUBLIC SERVICE 2yr'!V49+'ASptISptSSv 2yr'!V49+'PLANT OPER MAIN 2yr'!V49+'SCHOLAR FELLOW 2yr'!V49+'All Other 2yr'!V49)-V49</f>
        <v>0</v>
      </c>
      <c r="BA49" s="74">
        <f>('INSTRUCTION-2YR'!W49+'RESEARCH 2yr'!W49+'PUBLIC SERVICE 2yr'!W49+'ASptISptSSv 2yr'!W49+'PLANT OPER MAIN 2yr'!W49+'SCHOLAR FELLOW 2yr'!W49+'All Other 2yr'!W49)-W49</f>
        <v>0</v>
      </c>
      <c r="BB49" s="74">
        <f>('INSTRUCTION-2YR'!X49+'RESEARCH 2yr'!X49+'PUBLIC SERVICE 2yr'!X49+'ASptISptSSv 2yr'!X49+'PLANT OPER MAIN 2yr'!X49+'SCHOLAR FELLOW 2yr'!X49+'All Other 2yr'!X49)-X49</f>
        <v>0</v>
      </c>
      <c r="BC49" s="74">
        <f>('INSTRUCTION-2YR'!Y49+'RESEARCH 2yr'!Y49+'PUBLIC SERVICE 2yr'!Y49+'ASptISptSSv 2yr'!Y49+'PLANT OPER MAIN 2yr'!Y49+'SCHOLAR FELLOW 2yr'!Y49+'All Other 2yr'!Y49)-Y49</f>
        <v>0</v>
      </c>
      <c r="BD49" s="74">
        <f>('INSTRUCTION-2YR'!Z49+'RESEARCH 2yr'!Z49+'PUBLIC SERVICE 2yr'!Z49+'ASptISptSSv 2yr'!Z49+'PLANT OPER MAIN 2yr'!Z49+'SCHOLAR FELLOW 2yr'!Z49+'All Other 2yr'!Z49)-Z49</f>
        <v>0</v>
      </c>
      <c r="BE49" s="74">
        <f>('INSTRUCTION-2YR'!AA49+'RESEARCH 2yr'!AA49+'PUBLIC SERVICE 2yr'!AA49+'ASptISptSSv 2yr'!AA49+'PLANT OPER MAIN 2yr'!AA49+'SCHOLAR FELLOW 2yr'!AA49+'All Other 2yr'!AA49)-AA49</f>
        <v>0</v>
      </c>
      <c r="BF49" s="74">
        <f>('INSTRUCTION-2YR'!AB49+'RESEARCH 2yr'!AB49+'PUBLIC SERVICE 2yr'!AB49+'ASptISptSSv 2yr'!AB49+'PLANT OPER MAIN 2yr'!AB49+'SCHOLAR FELLOW 2yr'!AB49+'All Other 2yr'!AB49)-AB49</f>
        <v>0</v>
      </c>
      <c r="BG49" s="74">
        <f>('INSTRUCTION-2YR'!AC49+'RESEARCH 2yr'!AC49+'PUBLIC SERVICE 2yr'!AC49+'ASptISptSSv 2yr'!AC49+'PLANT OPER MAIN 2yr'!AC49+'SCHOLAR FELLOW 2yr'!AC49+'All Other 2yr'!AC49)-AC49</f>
        <v>0</v>
      </c>
      <c r="BH49" s="74">
        <f>('INSTRUCTION-2YR'!AD49+'RESEARCH 2yr'!AD49+'PUBLIC SERVICE 2yr'!AD49+'ASptISptSSv 2yr'!AD49+'PLANT OPER MAIN 2yr'!AD49+'SCHOLAR FELLOW 2yr'!AD49+'All Other 2yr'!AD49)-AD49</f>
        <v>0</v>
      </c>
      <c r="BI49" s="74">
        <f>('INSTRUCTION-2YR'!AE49+'RESEARCH 2yr'!AE49+'PUBLIC SERVICE 2yr'!AE49+'ASptISptSSv 2yr'!AE49+'PLANT OPER MAIN 2yr'!AE49+'SCHOLAR FELLOW 2yr'!AE49+'All Other 2yr'!AE49)-AE49</f>
        <v>0</v>
      </c>
    </row>
    <row r="50" spans="1:61">
      <c r="A50" s="1" t="s">
        <v>65</v>
      </c>
      <c r="F50" s="41">
        <v>46567.531000000003</v>
      </c>
      <c r="I50" s="1">
        <v>50587.714999999997</v>
      </c>
      <c r="K50" s="1">
        <v>55961.191980000018</v>
      </c>
      <c r="L50" s="1">
        <v>70273.726999999999</v>
      </c>
      <c r="M50" s="1">
        <v>60918.65</v>
      </c>
      <c r="N50" s="1">
        <v>69505.225000000006</v>
      </c>
      <c r="O50" s="1">
        <v>71847.675000000003</v>
      </c>
      <c r="P50" s="1">
        <v>72955.294999999998</v>
      </c>
      <c r="Q50" s="1">
        <v>83774.494999999995</v>
      </c>
      <c r="R50" s="1">
        <v>86380.774000000005</v>
      </c>
      <c r="S50" s="1">
        <v>88371.596000000005</v>
      </c>
      <c r="T50" s="1">
        <v>67575.335000000006</v>
      </c>
      <c r="U50" s="1">
        <v>109825.973</v>
      </c>
      <c r="V50" s="1">
        <v>116433.61599999999</v>
      </c>
      <c r="W50" s="1">
        <v>131572.93700000001</v>
      </c>
      <c r="X50" s="1">
        <v>140018.64000000001</v>
      </c>
      <c r="Y50" s="1">
        <v>138505.66</v>
      </c>
      <c r="Z50" s="1">
        <v>156752.22899999999</v>
      </c>
      <c r="AA50" s="1">
        <v>161938.462</v>
      </c>
      <c r="AB50" s="1">
        <v>175308.66</v>
      </c>
      <c r="AC50" s="1">
        <v>168097.41</v>
      </c>
      <c r="AE50" s="1">
        <v>160609.06899999999</v>
      </c>
      <c r="AF50" s="74">
        <f>('INSTRUCTION-2YR'!B50+'RESEARCH 2yr'!B50+'PUBLIC SERVICE 2yr'!B50+'ASptISptSSv 2yr'!B50+'PLANT OPER MAIN 2yr'!B50+'SCHOLAR FELLOW 2yr'!B50+'All Other 2yr'!B50)-B50</f>
        <v>0</v>
      </c>
      <c r="AG50" s="74">
        <f>('INSTRUCTION-2YR'!C50+'RESEARCH 2yr'!C50+'PUBLIC SERVICE 2yr'!C50+'ASptISptSSv 2yr'!C50+'PLANT OPER MAIN 2yr'!C50+'SCHOLAR FELLOW 2yr'!C50+'All Other 2yr'!C50)-C50</f>
        <v>0</v>
      </c>
      <c r="AH50" s="74">
        <f>('INSTRUCTION-2YR'!D50+'RESEARCH 2yr'!D50+'PUBLIC SERVICE 2yr'!D50+'ASptISptSSv 2yr'!D50+'PLANT OPER MAIN 2yr'!D50+'SCHOLAR FELLOW 2yr'!D50+'All Other 2yr'!D50)-D50</f>
        <v>0</v>
      </c>
      <c r="AI50" s="74">
        <f>('INSTRUCTION-2YR'!E50+'RESEARCH 2yr'!E50+'PUBLIC SERVICE 2yr'!E50+'ASptISptSSv 2yr'!E50+'PLANT OPER MAIN 2yr'!E50+'SCHOLAR FELLOW 2yr'!E50+'All Other 2yr'!E50)-E50</f>
        <v>0</v>
      </c>
      <c r="AJ50" s="74">
        <f>('INSTRUCTION-2YR'!F50+'RESEARCH 2yr'!F50+'PUBLIC SERVICE 2yr'!F50+'ASptISptSSv 2yr'!F50+'PLANT OPER MAIN 2yr'!F50+'SCHOLAR FELLOW 2yr'!F50+'All Other 2yr'!F50)-F50</f>
        <v>0</v>
      </c>
      <c r="AK50" s="74">
        <f>('INSTRUCTION-2YR'!G50+'RESEARCH 2yr'!G50+'PUBLIC SERVICE 2yr'!G50+'ASptISptSSv 2yr'!G50+'PLANT OPER MAIN 2yr'!G50+'SCHOLAR FELLOW 2yr'!G50+'All Other 2yr'!G50)-G50</f>
        <v>0</v>
      </c>
      <c r="AL50" s="74">
        <f>('INSTRUCTION-2YR'!H50+'RESEARCH 2yr'!H50+'PUBLIC SERVICE 2yr'!H50+'ASptISptSSv 2yr'!H50+'PLANT OPER MAIN 2yr'!H50+'SCHOLAR FELLOW 2yr'!H50+'All Other 2yr'!H50)-H50</f>
        <v>0</v>
      </c>
      <c r="AM50" s="74">
        <f>('INSTRUCTION-2YR'!I50+'RESEARCH 2yr'!I50+'PUBLIC SERVICE 2yr'!I50+'ASptISptSSv 2yr'!I50+'PLANT OPER MAIN 2yr'!I50+'SCHOLAR FELLOW 2yr'!I50+'All Other 2yr'!I50)-I50</f>
        <v>0</v>
      </c>
      <c r="AN50" s="74">
        <f>('INSTRUCTION-2YR'!J50+'RESEARCH 2yr'!J50+'PUBLIC SERVICE 2yr'!J50+'ASptISptSSv 2yr'!J50+'PLANT OPER MAIN 2yr'!J50+'SCHOLAR FELLOW 2yr'!J50+'All Other 2yr'!J50)-J50</f>
        <v>0</v>
      </c>
      <c r="AO50" s="74">
        <f>('INSTRUCTION-2YR'!K50+'RESEARCH 2yr'!K50+'PUBLIC SERVICE 2yr'!K50+'ASptISptSSv 2yr'!K50+'PLANT OPER MAIN 2yr'!K50+'SCHOLAR FELLOW 2yr'!K50+'All Other 2yr'!K50)-K50</f>
        <v>0</v>
      </c>
      <c r="AP50" s="74">
        <f>('INSTRUCTION-2YR'!L50+'RESEARCH 2yr'!L50+'PUBLIC SERVICE 2yr'!L50+'ASptISptSSv 2yr'!L50+'PLANT OPER MAIN 2yr'!L50+'SCHOLAR FELLOW 2yr'!L50+'All Other 2yr'!L50)-L50</f>
        <v>0</v>
      </c>
      <c r="AQ50" s="74">
        <f>('INSTRUCTION-2YR'!M50+'RESEARCH 2yr'!M50+'PUBLIC SERVICE 2yr'!M50+'ASptISptSSv 2yr'!M50+'PLANT OPER MAIN 2yr'!M50+'SCHOLAR FELLOW 2yr'!M50+'All Other 2yr'!M50)-M50</f>
        <v>0</v>
      </c>
      <c r="AR50" s="74">
        <f>('INSTRUCTION-2YR'!N50+'RESEARCH 2yr'!N50+'PUBLIC SERVICE 2yr'!N50+'ASptISptSSv 2yr'!N50+'PLANT OPER MAIN 2yr'!N50+'SCHOLAR FELLOW 2yr'!N50+'All Other 2yr'!N50)-N50</f>
        <v>0</v>
      </c>
      <c r="AS50" s="74">
        <f>('INSTRUCTION-2YR'!O50+'RESEARCH 2yr'!O50+'PUBLIC SERVICE 2yr'!O50+'ASptISptSSv 2yr'!O50+'PLANT OPER MAIN 2yr'!O50+'SCHOLAR FELLOW 2yr'!O50+'All Other 2yr'!O50)-O50</f>
        <v>0</v>
      </c>
      <c r="AT50" s="74">
        <f>('INSTRUCTION-2YR'!P50+'RESEARCH 2yr'!P50+'PUBLIC SERVICE 2yr'!P50+'ASptISptSSv 2yr'!P50+'PLANT OPER MAIN 2yr'!P50+'SCHOLAR FELLOW 2yr'!P50+'All Other 2yr'!P50)-P50</f>
        <v>0</v>
      </c>
      <c r="AU50" s="74">
        <f>('INSTRUCTION-2YR'!Q50+'RESEARCH 2yr'!Q50+'PUBLIC SERVICE 2yr'!Q50+'ASptISptSSv 2yr'!Q50+'PLANT OPER MAIN 2yr'!Q50+'SCHOLAR FELLOW 2yr'!Q50+'All Other 2yr'!Q50)-Q50</f>
        <v>0</v>
      </c>
      <c r="AV50" s="74">
        <f>('INSTRUCTION-2YR'!R50+'RESEARCH 2yr'!R50+'PUBLIC SERVICE 2yr'!R50+'ASptISptSSv 2yr'!R50+'PLANT OPER MAIN 2yr'!R50+'SCHOLAR FELLOW 2yr'!R50+'All Other 2yr'!R50)-R50</f>
        <v>0</v>
      </c>
      <c r="AW50" s="74">
        <f>('INSTRUCTION-2YR'!S50+'RESEARCH 2yr'!S50+'PUBLIC SERVICE 2yr'!S50+'ASptISptSSv 2yr'!S50+'PLANT OPER MAIN 2yr'!S50+'SCHOLAR FELLOW 2yr'!S50+'All Other 2yr'!S50)-S50</f>
        <v>0</v>
      </c>
      <c r="AX50" s="74">
        <f>('INSTRUCTION-2YR'!T50+'RESEARCH 2yr'!T50+'PUBLIC SERVICE 2yr'!T50+'ASptISptSSv 2yr'!T50+'PLANT OPER MAIN 2yr'!T50+'SCHOLAR FELLOW 2yr'!T50+'All Other 2yr'!T50)-T50</f>
        <v>0</v>
      </c>
      <c r="AY50" s="74">
        <f>('INSTRUCTION-2YR'!U50+'RESEARCH 2yr'!U50+'PUBLIC SERVICE 2yr'!U50+'ASptISptSSv 2yr'!U50+'PLANT OPER MAIN 2yr'!U50+'SCHOLAR FELLOW 2yr'!U50+'All Other 2yr'!U50)-U50</f>
        <v>0</v>
      </c>
      <c r="AZ50" s="74">
        <f>('INSTRUCTION-2YR'!V50+'RESEARCH 2yr'!V50+'PUBLIC SERVICE 2yr'!V50+'ASptISptSSv 2yr'!V50+'PLANT OPER MAIN 2yr'!V50+'SCHOLAR FELLOW 2yr'!V50+'All Other 2yr'!V50)-V50</f>
        <v>0</v>
      </c>
      <c r="BA50" s="74">
        <f>('INSTRUCTION-2YR'!W50+'RESEARCH 2yr'!W50+'PUBLIC SERVICE 2yr'!W50+'ASptISptSSv 2yr'!W50+'PLANT OPER MAIN 2yr'!W50+'SCHOLAR FELLOW 2yr'!W50+'All Other 2yr'!W50)-W50</f>
        <v>0</v>
      </c>
      <c r="BB50" s="74">
        <f>('INSTRUCTION-2YR'!X50+'RESEARCH 2yr'!X50+'PUBLIC SERVICE 2yr'!X50+'ASptISptSSv 2yr'!X50+'PLANT OPER MAIN 2yr'!X50+'SCHOLAR FELLOW 2yr'!X50+'All Other 2yr'!X50)-X50</f>
        <v>0</v>
      </c>
      <c r="BC50" s="74">
        <f>('INSTRUCTION-2YR'!Y50+'RESEARCH 2yr'!Y50+'PUBLIC SERVICE 2yr'!Y50+'ASptISptSSv 2yr'!Y50+'PLANT OPER MAIN 2yr'!Y50+'SCHOLAR FELLOW 2yr'!Y50+'All Other 2yr'!Y50)-Y50</f>
        <v>0</v>
      </c>
      <c r="BD50" s="74">
        <f>('INSTRUCTION-2YR'!Z50+'RESEARCH 2yr'!Z50+'PUBLIC SERVICE 2yr'!Z50+'ASptISptSSv 2yr'!Z50+'PLANT OPER MAIN 2yr'!Z50+'SCHOLAR FELLOW 2yr'!Z50+'All Other 2yr'!Z50)-Z50</f>
        <v>0</v>
      </c>
      <c r="BE50" s="74">
        <f>('INSTRUCTION-2YR'!AA50+'RESEARCH 2yr'!AA50+'PUBLIC SERVICE 2yr'!AA50+'ASptISptSSv 2yr'!AA50+'PLANT OPER MAIN 2yr'!AA50+'SCHOLAR FELLOW 2yr'!AA50+'All Other 2yr'!AA50)-AA50</f>
        <v>0</v>
      </c>
      <c r="BF50" s="74">
        <f>('INSTRUCTION-2YR'!AB50+'RESEARCH 2yr'!AB50+'PUBLIC SERVICE 2yr'!AB50+'ASptISptSSv 2yr'!AB50+'PLANT OPER MAIN 2yr'!AB50+'SCHOLAR FELLOW 2yr'!AB50+'All Other 2yr'!AB50)-AB50</f>
        <v>0</v>
      </c>
      <c r="BG50" s="74">
        <f>('INSTRUCTION-2YR'!AC50+'RESEARCH 2yr'!AC50+'PUBLIC SERVICE 2yr'!AC50+'ASptISptSSv 2yr'!AC50+'PLANT OPER MAIN 2yr'!AC50+'SCHOLAR FELLOW 2yr'!AC50+'All Other 2yr'!AC50)-AC50</f>
        <v>0</v>
      </c>
      <c r="BH50" s="74">
        <f>('INSTRUCTION-2YR'!AD50+'RESEARCH 2yr'!AD50+'PUBLIC SERVICE 2yr'!AD50+'ASptISptSSv 2yr'!AD50+'PLANT OPER MAIN 2yr'!AD50+'SCHOLAR FELLOW 2yr'!AD50+'All Other 2yr'!AD50)-AD50</f>
        <v>0</v>
      </c>
      <c r="BI50" s="74">
        <f>('INSTRUCTION-2YR'!AE50+'RESEARCH 2yr'!AE50+'PUBLIC SERVICE 2yr'!AE50+'ASptISptSSv 2yr'!AE50+'PLANT OPER MAIN 2yr'!AE50+'SCHOLAR FELLOW 2yr'!AE50+'All Other 2yr'!AE50)-AE50</f>
        <v>0</v>
      </c>
    </row>
    <row r="51" spans="1:61">
      <c r="A51" s="1" t="s">
        <v>66</v>
      </c>
      <c r="F51" s="41">
        <v>546852.27099999995</v>
      </c>
      <c r="I51" s="1">
        <v>668059.946</v>
      </c>
      <c r="K51" s="1">
        <v>716120.679</v>
      </c>
      <c r="L51" s="1">
        <v>890583.78200000001</v>
      </c>
      <c r="M51" s="1">
        <v>971383.05</v>
      </c>
      <c r="N51" s="1">
        <v>997393.18299999996</v>
      </c>
      <c r="O51" s="1">
        <v>1093816.929</v>
      </c>
      <c r="P51" s="1">
        <v>1129965.858</v>
      </c>
      <c r="Q51" s="1">
        <v>1176289.5330000001</v>
      </c>
      <c r="R51" s="1">
        <v>1246839.692</v>
      </c>
      <c r="S51" s="1">
        <v>1290832.23</v>
      </c>
      <c r="T51" s="1">
        <v>1365297.7990000001</v>
      </c>
      <c r="U51" s="1">
        <v>1753529.4650000001</v>
      </c>
      <c r="V51" s="1">
        <v>1895043.3659999999</v>
      </c>
      <c r="W51" s="1">
        <v>2077770.1669999999</v>
      </c>
      <c r="X51" s="1">
        <v>2025773.0430000001</v>
      </c>
      <c r="Y51" s="1">
        <v>1880464.6910000001</v>
      </c>
      <c r="Z51" s="1">
        <v>1837504.4580000001</v>
      </c>
      <c r="AA51" s="1">
        <v>1765623.08</v>
      </c>
      <c r="AB51" s="1">
        <v>1827281.98</v>
      </c>
      <c r="AC51" s="1">
        <v>1880938.68</v>
      </c>
      <c r="AE51" s="1">
        <v>1818912.973</v>
      </c>
      <c r="AF51" s="74">
        <f>('INSTRUCTION-2YR'!B51+'RESEARCH 2yr'!B51+'PUBLIC SERVICE 2yr'!B51+'ASptISptSSv 2yr'!B51+'PLANT OPER MAIN 2yr'!B51+'SCHOLAR FELLOW 2yr'!B51+'All Other 2yr'!B51)-B51</f>
        <v>0</v>
      </c>
      <c r="AG51" s="74">
        <f>('INSTRUCTION-2YR'!C51+'RESEARCH 2yr'!C51+'PUBLIC SERVICE 2yr'!C51+'ASptISptSSv 2yr'!C51+'PLANT OPER MAIN 2yr'!C51+'SCHOLAR FELLOW 2yr'!C51+'All Other 2yr'!C51)-C51</f>
        <v>0</v>
      </c>
      <c r="AH51" s="74">
        <f>('INSTRUCTION-2YR'!D51+'RESEARCH 2yr'!D51+'PUBLIC SERVICE 2yr'!D51+'ASptISptSSv 2yr'!D51+'PLANT OPER MAIN 2yr'!D51+'SCHOLAR FELLOW 2yr'!D51+'All Other 2yr'!D51)-D51</f>
        <v>0</v>
      </c>
      <c r="AI51" s="74">
        <f>('INSTRUCTION-2YR'!E51+'RESEARCH 2yr'!E51+'PUBLIC SERVICE 2yr'!E51+'ASptISptSSv 2yr'!E51+'PLANT OPER MAIN 2yr'!E51+'SCHOLAR FELLOW 2yr'!E51+'All Other 2yr'!E51)-E51</f>
        <v>0</v>
      </c>
      <c r="AJ51" s="74">
        <f>('INSTRUCTION-2YR'!F51+'RESEARCH 2yr'!F51+'PUBLIC SERVICE 2yr'!F51+'ASptISptSSv 2yr'!F51+'PLANT OPER MAIN 2yr'!F51+'SCHOLAR FELLOW 2yr'!F51+'All Other 2yr'!F51)-F51</f>
        <v>0</v>
      </c>
      <c r="AK51" s="74">
        <f>('INSTRUCTION-2YR'!G51+'RESEARCH 2yr'!G51+'PUBLIC SERVICE 2yr'!G51+'ASptISptSSv 2yr'!G51+'PLANT OPER MAIN 2yr'!G51+'SCHOLAR FELLOW 2yr'!G51+'All Other 2yr'!G51)-G51</f>
        <v>0</v>
      </c>
      <c r="AL51" s="74">
        <f>('INSTRUCTION-2YR'!H51+'RESEARCH 2yr'!H51+'PUBLIC SERVICE 2yr'!H51+'ASptISptSSv 2yr'!H51+'PLANT OPER MAIN 2yr'!H51+'SCHOLAR FELLOW 2yr'!H51+'All Other 2yr'!H51)-H51</f>
        <v>0</v>
      </c>
      <c r="AM51" s="74">
        <f>('INSTRUCTION-2YR'!I51+'RESEARCH 2yr'!I51+'PUBLIC SERVICE 2yr'!I51+'ASptISptSSv 2yr'!I51+'PLANT OPER MAIN 2yr'!I51+'SCHOLAR FELLOW 2yr'!I51+'All Other 2yr'!I51)-I51</f>
        <v>0</v>
      </c>
      <c r="AN51" s="74">
        <f>('INSTRUCTION-2YR'!J51+'RESEARCH 2yr'!J51+'PUBLIC SERVICE 2yr'!J51+'ASptISptSSv 2yr'!J51+'PLANT OPER MAIN 2yr'!J51+'SCHOLAR FELLOW 2yr'!J51+'All Other 2yr'!J51)-J51</f>
        <v>0</v>
      </c>
      <c r="AO51" s="74">
        <f>('INSTRUCTION-2YR'!K51+'RESEARCH 2yr'!K51+'PUBLIC SERVICE 2yr'!K51+'ASptISptSSv 2yr'!K51+'PLANT OPER MAIN 2yr'!K51+'SCHOLAR FELLOW 2yr'!K51+'All Other 2yr'!K51)-K51</f>
        <v>0</v>
      </c>
      <c r="AP51" s="74">
        <f>('INSTRUCTION-2YR'!L51+'RESEARCH 2yr'!L51+'PUBLIC SERVICE 2yr'!L51+'ASptISptSSv 2yr'!L51+'PLANT OPER MAIN 2yr'!L51+'SCHOLAR FELLOW 2yr'!L51+'All Other 2yr'!L51)-L51</f>
        <v>0</v>
      </c>
      <c r="AQ51" s="74">
        <f>('INSTRUCTION-2YR'!M51+'RESEARCH 2yr'!M51+'PUBLIC SERVICE 2yr'!M51+'ASptISptSSv 2yr'!M51+'PLANT OPER MAIN 2yr'!M51+'SCHOLAR FELLOW 2yr'!M51+'All Other 2yr'!M51)-M51</f>
        <v>0</v>
      </c>
      <c r="AR51" s="74">
        <f>('INSTRUCTION-2YR'!N51+'RESEARCH 2yr'!N51+'PUBLIC SERVICE 2yr'!N51+'ASptISptSSv 2yr'!N51+'PLANT OPER MAIN 2yr'!N51+'SCHOLAR FELLOW 2yr'!N51+'All Other 2yr'!N51)-N51</f>
        <v>0</v>
      </c>
      <c r="AS51" s="74">
        <f>('INSTRUCTION-2YR'!O51+'RESEARCH 2yr'!O51+'PUBLIC SERVICE 2yr'!O51+'ASptISptSSv 2yr'!O51+'PLANT OPER MAIN 2yr'!O51+'SCHOLAR FELLOW 2yr'!O51+'All Other 2yr'!O51)-O51</f>
        <v>0</v>
      </c>
      <c r="AT51" s="74">
        <f>('INSTRUCTION-2YR'!P51+'RESEARCH 2yr'!P51+'PUBLIC SERVICE 2yr'!P51+'ASptISptSSv 2yr'!P51+'PLANT OPER MAIN 2yr'!P51+'SCHOLAR FELLOW 2yr'!P51+'All Other 2yr'!P51)-P51</f>
        <v>0</v>
      </c>
      <c r="AU51" s="74">
        <f>('INSTRUCTION-2YR'!Q51+'RESEARCH 2yr'!Q51+'PUBLIC SERVICE 2yr'!Q51+'ASptISptSSv 2yr'!Q51+'PLANT OPER MAIN 2yr'!Q51+'SCHOLAR FELLOW 2yr'!Q51+'All Other 2yr'!Q51)-Q51</f>
        <v>0</v>
      </c>
      <c r="AV51" s="74">
        <f>('INSTRUCTION-2YR'!R51+'RESEARCH 2yr'!R51+'PUBLIC SERVICE 2yr'!R51+'ASptISptSSv 2yr'!R51+'PLANT OPER MAIN 2yr'!R51+'SCHOLAR FELLOW 2yr'!R51+'All Other 2yr'!R51)-R51</f>
        <v>0</v>
      </c>
      <c r="AW51" s="74">
        <f>('INSTRUCTION-2YR'!S51+'RESEARCH 2yr'!S51+'PUBLIC SERVICE 2yr'!S51+'ASptISptSSv 2yr'!S51+'PLANT OPER MAIN 2yr'!S51+'SCHOLAR FELLOW 2yr'!S51+'All Other 2yr'!S51)-S51</f>
        <v>0</v>
      </c>
      <c r="AX51" s="74">
        <f>('INSTRUCTION-2YR'!T51+'RESEARCH 2yr'!T51+'PUBLIC SERVICE 2yr'!T51+'ASptISptSSv 2yr'!T51+'PLANT OPER MAIN 2yr'!T51+'SCHOLAR FELLOW 2yr'!T51+'All Other 2yr'!T51)-T51</f>
        <v>0</v>
      </c>
      <c r="AY51" s="74">
        <f>('INSTRUCTION-2YR'!U51+'RESEARCH 2yr'!U51+'PUBLIC SERVICE 2yr'!U51+'ASptISptSSv 2yr'!U51+'PLANT OPER MAIN 2yr'!U51+'SCHOLAR FELLOW 2yr'!U51+'All Other 2yr'!U51)-U51</f>
        <v>0</v>
      </c>
      <c r="AZ51" s="74">
        <f>('INSTRUCTION-2YR'!V51+'RESEARCH 2yr'!V51+'PUBLIC SERVICE 2yr'!V51+'ASptISptSSv 2yr'!V51+'PLANT OPER MAIN 2yr'!V51+'SCHOLAR FELLOW 2yr'!V51+'All Other 2yr'!V51)-V51</f>
        <v>0</v>
      </c>
      <c r="BA51" s="74">
        <f>('INSTRUCTION-2YR'!W51+'RESEARCH 2yr'!W51+'PUBLIC SERVICE 2yr'!W51+'ASptISptSSv 2yr'!W51+'PLANT OPER MAIN 2yr'!W51+'SCHOLAR FELLOW 2yr'!W51+'All Other 2yr'!W51)-W51</f>
        <v>0</v>
      </c>
      <c r="BB51" s="74">
        <f>('INSTRUCTION-2YR'!X51+'RESEARCH 2yr'!X51+'PUBLIC SERVICE 2yr'!X51+'ASptISptSSv 2yr'!X51+'PLANT OPER MAIN 2yr'!X51+'SCHOLAR FELLOW 2yr'!X51+'All Other 2yr'!X51)-X51</f>
        <v>0</v>
      </c>
      <c r="BC51" s="74">
        <f>('INSTRUCTION-2YR'!Y51+'RESEARCH 2yr'!Y51+'PUBLIC SERVICE 2yr'!Y51+'ASptISptSSv 2yr'!Y51+'PLANT OPER MAIN 2yr'!Y51+'SCHOLAR FELLOW 2yr'!Y51+'All Other 2yr'!Y51)-Y51</f>
        <v>0</v>
      </c>
      <c r="BD51" s="74">
        <f>('INSTRUCTION-2YR'!Z51+'RESEARCH 2yr'!Z51+'PUBLIC SERVICE 2yr'!Z51+'ASptISptSSv 2yr'!Z51+'PLANT OPER MAIN 2yr'!Z51+'SCHOLAR FELLOW 2yr'!Z51+'All Other 2yr'!Z51)-Z51</f>
        <v>0</v>
      </c>
      <c r="BE51" s="74">
        <f>('INSTRUCTION-2YR'!AA51+'RESEARCH 2yr'!AA51+'PUBLIC SERVICE 2yr'!AA51+'ASptISptSSv 2yr'!AA51+'PLANT OPER MAIN 2yr'!AA51+'SCHOLAR FELLOW 2yr'!AA51+'All Other 2yr'!AA51)-AA51</f>
        <v>0</v>
      </c>
      <c r="BF51" s="74">
        <f>('INSTRUCTION-2YR'!AB51+'RESEARCH 2yr'!AB51+'PUBLIC SERVICE 2yr'!AB51+'ASptISptSSv 2yr'!AB51+'PLANT OPER MAIN 2yr'!AB51+'SCHOLAR FELLOW 2yr'!AB51+'All Other 2yr'!AB51)-AB51</f>
        <v>0</v>
      </c>
      <c r="BG51" s="74">
        <f>('INSTRUCTION-2YR'!AC51+'RESEARCH 2yr'!AC51+'PUBLIC SERVICE 2yr'!AC51+'ASptISptSSv 2yr'!AC51+'PLANT OPER MAIN 2yr'!AC51+'SCHOLAR FELLOW 2yr'!AC51+'All Other 2yr'!AC51)-AC51</f>
        <v>0</v>
      </c>
      <c r="BH51" s="74">
        <f>('INSTRUCTION-2YR'!AD51+'RESEARCH 2yr'!AD51+'PUBLIC SERVICE 2yr'!AD51+'ASptISptSSv 2yr'!AD51+'PLANT OPER MAIN 2yr'!AD51+'SCHOLAR FELLOW 2yr'!AD51+'All Other 2yr'!AD51)-AD51</f>
        <v>0</v>
      </c>
      <c r="BI51" s="74">
        <f>('INSTRUCTION-2YR'!AE51+'RESEARCH 2yr'!AE51+'PUBLIC SERVICE 2yr'!AE51+'ASptISptSSv 2yr'!AE51+'PLANT OPER MAIN 2yr'!AE51+'SCHOLAR FELLOW 2yr'!AE51+'All Other 2yr'!AE51)-AE51</f>
        <v>0</v>
      </c>
    </row>
    <row r="52" spans="1:61">
      <c r="A52" s="1" t="s">
        <v>67</v>
      </c>
      <c r="F52" s="41">
        <v>998.47299999999996</v>
      </c>
      <c r="I52" s="1">
        <v>1457.9169999999999</v>
      </c>
      <c r="K52" s="1">
        <v>31949.657669999986</v>
      </c>
      <c r="L52" s="1">
        <v>36751.06</v>
      </c>
      <c r="M52" s="1">
        <v>38934.281999999999</v>
      </c>
      <c r="N52" s="1">
        <v>46771.163</v>
      </c>
      <c r="O52" s="1">
        <v>42866.758000000002</v>
      </c>
      <c r="P52" s="1">
        <v>44326.999000000003</v>
      </c>
      <c r="Q52" s="1">
        <v>49996.264000000003</v>
      </c>
      <c r="R52" s="1">
        <v>47442.141000000003</v>
      </c>
      <c r="S52" s="1">
        <v>54394.813000000002</v>
      </c>
      <c r="T52" s="1">
        <v>56785.718000000001</v>
      </c>
      <c r="U52" s="1">
        <v>95024.167000000001</v>
      </c>
      <c r="V52" s="1">
        <v>80790.697</v>
      </c>
      <c r="W52" s="1">
        <v>87374.866999999998</v>
      </c>
      <c r="X52" s="1">
        <v>84961.760999999999</v>
      </c>
      <c r="Y52" s="1">
        <v>113995.546</v>
      </c>
      <c r="Z52" s="1">
        <v>121823.768</v>
      </c>
      <c r="AA52" s="1">
        <v>125774.91499999999</v>
      </c>
      <c r="AB52" s="1">
        <v>154213.378</v>
      </c>
      <c r="AC52" s="1">
        <v>125231.981</v>
      </c>
      <c r="AE52" s="1">
        <v>134008.63699999999</v>
      </c>
      <c r="AF52" s="74">
        <f>('INSTRUCTION-2YR'!B52+'RESEARCH 2yr'!B52+'PUBLIC SERVICE 2yr'!B52+'ASptISptSSv 2yr'!B52+'PLANT OPER MAIN 2yr'!B52+'SCHOLAR FELLOW 2yr'!B52+'All Other 2yr'!B52)-B52</f>
        <v>0</v>
      </c>
      <c r="AG52" s="74">
        <f>('INSTRUCTION-2YR'!C52+'RESEARCH 2yr'!C52+'PUBLIC SERVICE 2yr'!C52+'ASptISptSSv 2yr'!C52+'PLANT OPER MAIN 2yr'!C52+'SCHOLAR FELLOW 2yr'!C52+'All Other 2yr'!C52)-C52</f>
        <v>0</v>
      </c>
      <c r="AH52" s="74">
        <f>('INSTRUCTION-2YR'!D52+'RESEARCH 2yr'!D52+'PUBLIC SERVICE 2yr'!D52+'ASptISptSSv 2yr'!D52+'PLANT OPER MAIN 2yr'!D52+'SCHOLAR FELLOW 2yr'!D52+'All Other 2yr'!D52)-D52</f>
        <v>0</v>
      </c>
      <c r="AI52" s="74">
        <f>('INSTRUCTION-2YR'!E52+'RESEARCH 2yr'!E52+'PUBLIC SERVICE 2yr'!E52+'ASptISptSSv 2yr'!E52+'PLANT OPER MAIN 2yr'!E52+'SCHOLAR FELLOW 2yr'!E52+'All Other 2yr'!E52)-E52</f>
        <v>0</v>
      </c>
      <c r="AJ52" s="74">
        <f>('INSTRUCTION-2YR'!F52+'RESEARCH 2yr'!F52+'PUBLIC SERVICE 2yr'!F52+'ASptISptSSv 2yr'!F52+'PLANT OPER MAIN 2yr'!F52+'SCHOLAR FELLOW 2yr'!F52+'All Other 2yr'!F52)-F52</f>
        <v>0</v>
      </c>
      <c r="AK52" s="74">
        <f>('INSTRUCTION-2YR'!G52+'RESEARCH 2yr'!G52+'PUBLIC SERVICE 2yr'!G52+'ASptISptSSv 2yr'!G52+'PLANT OPER MAIN 2yr'!G52+'SCHOLAR FELLOW 2yr'!G52+'All Other 2yr'!G52)-G52</f>
        <v>0</v>
      </c>
      <c r="AL52" s="74">
        <f>('INSTRUCTION-2YR'!H52+'RESEARCH 2yr'!H52+'PUBLIC SERVICE 2yr'!H52+'ASptISptSSv 2yr'!H52+'PLANT OPER MAIN 2yr'!H52+'SCHOLAR FELLOW 2yr'!H52+'All Other 2yr'!H52)-H52</f>
        <v>0</v>
      </c>
      <c r="AM52" s="74">
        <f>('INSTRUCTION-2YR'!I52+'RESEARCH 2yr'!I52+'PUBLIC SERVICE 2yr'!I52+'ASptISptSSv 2yr'!I52+'PLANT OPER MAIN 2yr'!I52+'SCHOLAR FELLOW 2yr'!I52+'All Other 2yr'!I52)-I52</f>
        <v>0</v>
      </c>
      <c r="AN52" s="74">
        <f>('INSTRUCTION-2YR'!J52+'RESEARCH 2yr'!J52+'PUBLIC SERVICE 2yr'!J52+'ASptISptSSv 2yr'!J52+'PLANT OPER MAIN 2yr'!J52+'SCHOLAR FELLOW 2yr'!J52+'All Other 2yr'!J52)-J52</f>
        <v>0</v>
      </c>
      <c r="AO52" s="74">
        <f>('INSTRUCTION-2YR'!K52+'RESEARCH 2yr'!K52+'PUBLIC SERVICE 2yr'!K52+'ASptISptSSv 2yr'!K52+'PLANT OPER MAIN 2yr'!K52+'SCHOLAR FELLOW 2yr'!K52+'All Other 2yr'!K52)-K52</f>
        <v>0</v>
      </c>
      <c r="AP52" s="74">
        <f>('INSTRUCTION-2YR'!L52+'RESEARCH 2yr'!L52+'PUBLIC SERVICE 2yr'!L52+'ASptISptSSv 2yr'!L52+'PLANT OPER MAIN 2yr'!L52+'SCHOLAR FELLOW 2yr'!L52+'All Other 2yr'!L52)-L52</f>
        <v>0</v>
      </c>
      <c r="AQ52" s="74">
        <f>('INSTRUCTION-2YR'!M52+'RESEARCH 2yr'!M52+'PUBLIC SERVICE 2yr'!M52+'ASptISptSSv 2yr'!M52+'PLANT OPER MAIN 2yr'!M52+'SCHOLAR FELLOW 2yr'!M52+'All Other 2yr'!M52)-M52</f>
        <v>0</v>
      </c>
      <c r="AR52" s="74">
        <f>('INSTRUCTION-2YR'!N52+'RESEARCH 2yr'!N52+'PUBLIC SERVICE 2yr'!N52+'ASptISptSSv 2yr'!N52+'PLANT OPER MAIN 2yr'!N52+'SCHOLAR FELLOW 2yr'!N52+'All Other 2yr'!N52)-N52</f>
        <v>0</v>
      </c>
      <c r="AS52" s="74">
        <f>('INSTRUCTION-2YR'!O52+'RESEARCH 2yr'!O52+'PUBLIC SERVICE 2yr'!O52+'ASptISptSSv 2yr'!O52+'PLANT OPER MAIN 2yr'!O52+'SCHOLAR FELLOW 2yr'!O52+'All Other 2yr'!O52)-O52</f>
        <v>0</v>
      </c>
      <c r="AT52" s="74">
        <f>('INSTRUCTION-2YR'!P52+'RESEARCH 2yr'!P52+'PUBLIC SERVICE 2yr'!P52+'ASptISptSSv 2yr'!P52+'PLANT OPER MAIN 2yr'!P52+'SCHOLAR FELLOW 2yr'!P52+'All Other 2yr'!P52)-P52</f>
        <v>0</v>
      </c>
      <c r="AU52" s="74">
        <f>('INSTRUCTION-2YR'!Q52+'RESEARCH 2yr'!Q52+'PUBLIC SERVICE 2yr'!Q52+'ASptISptSSv 2yr'!Q52+'PLANT OPER MAIN 2yr'!Q52+'SCHOLAR FELLOW 2yr'!Q52+'All Other 2yr'!Q52)-Q52</f>
        <v>0</v>
      </c>
      <c r="AV52" s="74">
        <f>('INSTRUCTION-2YR'!R52+'RESEARCH 2yr'!R52+'PUBLIC SERVICE 2yr'!R52+'ASptISptSSv 2yr'!R52+'PLANT OPER MAIN 2yr'!R52+'SCHOLAR FELLOW 2yr'!R52+'All Other 2yr'!R52)-R52</f>
        <v>0</v>
      </c>
      <c r="AW52" s="74">
        <f>('INSTRUCTION-2YR'!S52+'RESEARCH 2yr'!S52+'PUBLIC SERVICE 2yr'!S52+'ASptISptSSv 2yr'!S52+'PLANT OPER MAIN 2yr'!S52+'SCHOLAR FELLOW 2yr'!S52+'All Other 2yr'!S52)-S52</f>
        <v>0</v>
      </c>
      <c r="AX52" s="74">
        <f>('INSTRUCTION-2YR'!T52+'RESEARCH 2yr'!T52+'PUBLIC SERVICE 2yr'!T52+'ASptISptSSv 2yr'!T52+'PLANT OPER MAIN 2yr'!T52+'SCHOLAR FELLOW 2yr'!T52+'All Other 2yr'!T52)-T52</f>
        <v>0</v>
      </c>
      <c r="AY52" s="74">
        <f>('INSTRUCTION-2YR'!U52+'RESEARCH 2yr'!U52+'PUBLIC SERVICE 2yr'!U52+'ASptISptSSv 2yr'!U52+'PLANT OPER MAIN 2yr'!U52+'SCHOLAR FELLOW 2yr'!U52+'All Other 2yr'!U52)-U52</f>
        <v>0</v>
      </c>
      <c r="AZ52" s="74">
        <f>('INSTRUCTION-2YR'!V52+'RESEARCH 2yr'!V52+'PUBLIC SERVICE 2yr'!V52+'ASptISptSSv 2yr'!V52+'PLANT OPER MAIN 2yr'!V52+'SCHOLAR FELLOW 2yr'!V52+'All Other 2yr'!V52)-V52</f>
        <v>0</v>
      </c>
      <c r="BA52" s="74">
        <f>('INSTRUCTION-2YR'!W52+'RESEARCH 2yr'!W52+'PUBLIC SERVICE 2yr'!W52+'ASptISptSSv 2yr'!W52+'PLANT OPER MAIN 2yr'!W52+'SCHOLAR FELLOW 2yr'!W52+'All Other 2yr'!W52)-W52</f>
        <v>0</v>
      </c>
      <c r="BB52" s="74">
        <f>('INSTRUCTION-2YR'!X52+'RESEARCH 2yr'!X52+'PUBLIC SERVICE 2yr'!X52+'ASptISptSSv 2yr'!X52+'PLANT OPER MAIN 2yr'!X52+'SCHOLAR FELLOW 2yr'!X52+'All Other 2yr'!X52)-X52</f>
        <v>0</v>
      </c>
      <c r="BC52" s="74">
        <f>('INSTRUCTION-2YR'!Y52+'RESEARCH 2yr'!Y52+'PUBLIC SERVICE 2yr'!Y52+'ASptISptSSv 2yr'!Y52+'PLANT OPER MAIN 2yr'!Y52+'SCHOLAR FELLOW 2yr'!Y52+'All Other 2yr'!Y52)-Y52</f>
        <v>0</v>
      </c>
      <c r="BD52" s="74">
        <f>('INSTRUCTION-2YR'!Z52+'RESEARCH 2yr'!Z52+'PUBLIC SERVICE 2yr'!Z52+'ASptISptSSv 2yr'!Z52+'PLANT OPER MAIN 2yr'!Z52+'SCHOLAR FELLOW 2yr'!Z52+'All Other 2yr'!Z52)-Z52</f>
        <v>0</v>
      </c>
      <c r="BE52" s="74">
        <f>('INSTRUCTION-2YR'!AA52+'RESEARCH 2yr'!AA52+'PUBLIC SERVICE 2yr'!AA52+'ASptISptSSv 2yr'!AA52+'PLANT OPER MAIN 2yr'!AA52+'SCHOLAR FELLOW 2yr'!AA52+'All Other 2yr'!AA52)-AA52</f>
        <v>0</v>
      </c>
      <c r="BF52" s="74">
        <f>('INSTRUCTION-2YR'!AB52+'RESEARCH 2yr'!AB52+'PUBLIC SERVICE 2yr'!AB52+'ASptISptSSv 2yr'!AB52+'PLANT OPER MAIN 2yr'!AB52+'SCHOLAR FELLOW 2yr'!AB52+'All Other 2yr'!AB52)-AB52</f>
        <v>0</v>
      </c>
      <c r="BG52" s="74">
        <f>('INSTRUCTION-2YR'!AC52+'RESEARCH 2yr'!AC52+'PUBLIC SERVICE 2yr'!AC52+'ASptISptSSv 2yr'!AC52+'PLANT OPER MAIN 2yr'!AC52+'SCHOLAR FELLOW 2yr'!AC52+'All Other 2yr'!AC52)-AC52</f>
        <v>0</v>
      </c>
      <c r="BH52" s="74">
        <f>('INSTRUCTION-2YR'!AD52+'RESEARCH 2yr'!AD52+'PUBLIC SERVICE 2yr'!AD52+'ASptISptSSv 2yr'!AD52+'PLANT OPER MAIN 2yr'!AD52+'SCHOLAR FELLOW 2yr'!AD52+'All Other 2yr'!AD52)-AD52</f>
        <v>0</v>
      </c>
      <c r="BI52" s="74">
        <f>('INSTRUCTION-2YR'!AE52+'RESEARCH 2yr'!AE52+'PUBLIC SERVICE 2yr'!AE52+'ASptISptSSv 2yr'!AE52+'PLANT OPER MAIN 2yr'!AE52+'SCHOLAR FELLOW 2yr'!AE52+'All Other 2yr'!AE52)-AE52</f>
        <v>0</v>
      </c>
    </row>
    <row r="53" spans="1:61">
      <c r="A53" s="23" t="s">
        <v>68</v>
      </c>
      <c r="B53" s="23"/>
      <c r="C53" s="23"/>
      <c r="D53" s="23"/>
      <c r="E53" s="23"/>
      <c r="F53" s="44">
        <v>510787.39600000001</v>
      </c>
      <c r="G53" s="23"/>
      <c r="H53" s="23"/>
      <c r="I53" s="23">
        <v>595608.83700000006</v>
      </c>
      <c r="J53" s="23"/>
      <c r="K53" s="23">
        <v>639344.73899999994</v>
      </c>
      <c r="L53" s="23">
        <v>770750.43799999997</v>
      </c>
      <c r="M53" s="23">
        <v>826238.39800000004</v>
      </c>
      <c r="N53" s="23">
        <v>920948.29599999997</v>
      </c>
      <c r="O53" s="23">
        <v>1037651.4129999999</v>
      </c>
      <c r="P53" s="23">
        <v>1091959.1170000001</v>
      </c>
      <c r="Q53" s="23">
        <v>1134862.3529999999</v>
      </c>
      <c r="R53" s="23">
        <v>1180218.4939999999</v>
      </c>
      <c r="S53" s="23">
        <v>1100006.4129999999</v>
      </c>
      <c r="T53" s="23">
        <v>1155590.8019999999</v>
      </c>
      <c r="U53" s="23">
        <v>1220581.895</v>
      </c>
      <c r="V53" s="23">
        <v>1486430.22</v>
      </c>
      <c r="W53" s="23">
        <v>1596188.977</v>
      </c>
      <c r="X53" s="23">
        <v>1540802.4580000001</v>
      </c>
      <c r="Y53" s="23">
        <v>404870.79300000001</v>
      </c>
      <c r="Z53" s="23">
        <v>406056.88199999998</v>
      </c>
      <c r="AA53" s="23">
        <v>382058.82299999997</v>
      </c>
      <c r="AB53" s="23">
        <v>1604830.5330000001</v>
      </c>
      <c r="AC53" s="23">
        <v>1557466.2390000001</v>
      </c>
      <c r="AD53" s="23"/>
      <c r="AE53" s="23">
        <v>1516033.966</v>
      </c>
      <c r="AF53" s="74">
        <f>('INSTRUCTION-2YR'!B53+'RESEARCH 2yr'!B53+'PUBLIC SERVICE 2yr'!B53+'ASptISptSSv 2yr'!B53+'PLANT OPER MAIN 2yr'!B53+'SCHOLAR FELLOW 2yr'!B53+'All Other 2yr'!B53)-B53</f>
        <v>0</v>
      </c>
      <c r="AG53" s="74">
        <f>('INSTRUCTION-2YR'!C53+'RESEARCH 2yr'!C53+'PUBLIC SERVICE 2yr'!C53+'ASptISptSSv 2yr'!C53+'PLANT OPER MAIN 2yr'!C53+'SCHOLAR FELLOW 2yr'!C53+'All Other 2yr'!C53)-C53</f>
        <v>0</v>
      </c>
      <c r="AH53" s="74">
        <f>('INSTRUCTION-2YR'!D53+'RESEARCH 2yr'!D53+'PUBLIC SERVICE 2yr'!D53+'ASptISptSSv 2yr'!D53+'PLANT OPER MAIN 2yr'!D53+'SCHOLAR FELLOW 2yr'!D53+'All Other 2yr'!D53)-D53</f>
        <v>0</v>
      </c>
      <c r="AI53" s="74">
        <f>('INSTRUCTION-2YR'!E53+'RESEARCH 2yr'!E53+'PUBLIC SERVICE 2yr'!E53+'ASptISptSSv 2yr'!E53+'PLANT OPER MAIN 2yr'!E53+'SCHOLAR FELLOW 2yr'!E53+'All Other 2yr'!E53)-E53</f>
        <v>0</v>
      </c>
      <c r="AJ53" s="74">
        <f>('INSTRUCTION-2YR'!F53+'RESEARCH 2yr'!F53+'PUBLIC SERVICE 2yr'!F53+'ASptISptSSv 2yr'!F53+'PLANT OPER MAIN 2yr'!F53+'SCHOLAR FELLOW 2yr'!F53+'All Other 2yr'!F53)-F53</f>
        <v>0</v>
      </c>
      <c r="AK53" s="74">
        <f>('INSTRUCTION-2YR'!G53+'RESEARCH 2yr'!G53+'PUBLIC SERVICE 2yr'!G53+'ASptISptSSv 2yr'!G53+'PLANT OPER MAIN 2yr'!G53+'SCHOLAR FELLOW 2yr'!G53+'All Other 2yr'!G53)-G53</f>
        <v>0</v>
      </c>
      <c r="AL53" s="74">
        <f>('INSTRUCTION-2YR'!H53+'RESEARCH 2yr'!H53+'PUBLIC SERVICE 2yr'!H53+'ASptISptSSv 2yr'!H53+'PLANT OPER MAIN 2yr'!H53+'SCHOLAR FELLOW 2yr'!H53+'All Other 2yr'!H53)-H53</f>
        <v>0</v>
      </c>
      <c r="AM53" s="74">
        <f>('INSTRUCTION-2YR'!I53+'RESEARCH 2yr'!I53+'PUBLIC SERVICE 2yr'!I53+'ASptISptSSv 2yr'!I53+'PLANT OPER MAIN 2yr'!I53+'SCHOLAR FELLOW 2yr'!I53+'All Other 2yr'!I53)-I53</f>
        <v>0</v>
      </c>
      <c r="AN53" s="74">
        <f>('INSTRUCTION-2YR'!J53+'RESEARCH 2yr'!J53+'PUBLIC SERVICE 2yr'!J53+'ASptISptSSv 2yr'!J53+'PLANT OPER MAIN 2yr'!J53+'SCHOLAR FELLOW 2yr'!J53+'All Other 2yr'!J53)-J53</f>
        <v>0</v>
      </c>
      <c r="AO53" s="74">
        <f>('INSTRUCTION-2YR'!K53+'RESEARCH 2yr'!K53+'PUBLIC SERVICE 2yr'!K53+'ASptISptSSv 2yr'!K53+'PLANT OPER MAIN 2yr'!K53+'SCHOLAR FELLOW 2yr'!K53+'All Other 2yr'!K53)-K53</f>
        <v>0</v>
      </c>
      <c r="AP53" s="74">
        <f>('INSTRUCTION-2YR'!L53+'RESEARCH 2yr'!L53+'PUBLIC SERVICE 2yr'!L53+'ASptISptSSv 2yr'!L53+'PLANT OPER MAIN 2yr'!L53+'SCHOLAR FELLOW 2yr'!L53+'All Other 2yr'!L53)-L53</f>
        <v>0</v>
      </c>
      <c r="AQ53" s="74">
        <f>('INSTRUCTION-2YR'!M53+'RESEARCH 2yr'!M53+'PUBLIC SERVICE 2yr'!M53+'ASptISptSSv 2yr'!M53+'PLANT OPER MAIN 2yr'!M53+'SCHOLAR FELLOW 2yr'!M53+'All Other 2yr'!M53)-M53</f>
        <v>0</v>
      </c>
      <c r="AR53" s="74">
        <f>('INSTRUCTION-2YR'!N53+'RESEARCH 2yr'!N53+'PUBLIC SERVICE 2yr'!N53+'ASptISptSSv 2yr'!N53+'PLANT OPER MAIN 2yr'!N53+'SCHOLAR FELLOW 2yr'!N53+'All Other 2yr'!N53)-N53</f>
        <v>0</v>
      </c>
      <c r="AS53" s="74">
        <f>('INSTRUCTION-2YR'!O53+'RESEARCH 2yr'!O53+'PUBLIC SERVICE 2yr'!O53+'ASptISptSSv 2yr'!O53+'PLANT OPER MAIN 2yr'!O53+'SCHOLAR FELLOW 2yr'!O53+'All Other 2yr'!O53)-O53</f>
        <v>0</v>
      </c>
      <c r="AT53" s="74">
        <f>('INSTRUCTION-2YR'!P53+'RESEARCH 2yr'!P53+'PUBLIC SERVICE 2yr'!P53+'ASptISptSSv 2yr'!P53+'PLANT OPER MAIN 2yr'!P53+'SCHOLAR FELLOW 2yr'!P53+'All Other 2yr'!P53)-P53</f>
        <v>0</v>
      </c>
      <c r="AU53" s="74">
        <f>('INSTRUCTION-2YR'!Q53+'RESEARCH 2yr'!Q53+'PUBLIC SERVICE 2yr'!Q53+'ASptISptSSv 2yr'!Q53+'PLANT OPER MAIN 2yr'!Q53+'SCHOLAR FELLOW 2yr'!Q53+'All Other 2yr'!Q53)-Q53</f>
        <v>0</v>
      </c>
      <c r="AV53" s="74">
        <f>('INSTRUCTION-2YR'!R53+'RESEARCH 2yr'!R53+'PUBLIC SERVICE 2yr'!R53+'ASptISptSSv 2yr'!R53+'PLANT OPER MAIN 2yr'!R53+'SCHOLAR FELLOW 2yr'!R53+'All Other 2yr'!R53)-R53</f>
        <v>0</v>
      </c>
      <c r="AW53" s="74">
        <f>('INSTRUCTION-2YR'!S53+'RESEARCH 2yr'!S53+'PUBLIC SERVICE 2yr'!S53+'ASptISptSSv 2yr'!S53+'PLANT OPER MAIN 2yr'!S53+'SCHOLAR FELLOW 2yr'!S53+'All Other 2yr'!S53)-S53</f>
        <v>0</v>
      </c>
      <c r="AX53" s="74">
        <f>('INSTRUCTION-2YR'!T53+'RESEARCH 2yr'!T53+'PUBLIC SERVICE 2yr'!T53+'ASptISptSSv 2yr'!T53+'PLANT OPER MAIN 2yr'!T53+'SCHOLAR FELLOW 2yr'!T53+'All Other 2yr'!T53)-T53</f>
        <v>0</v>
      </c>
      <c r="AY53" s="74">
        <f>('INSTRUCTION-2YR'!U53+'RESEARCH 2yr'!U53+'PUBLIC SERVICE 2yr'!U53+'ASptISptSSv 2yr'!U53+'PLANT OPER MAIN 2yr'!U53+'SCHOLAR FELLOW 2yr'!U53+'All Other 2yr'!U53)-U53</f>
        <v>0</v>
      </c>
      <c r="AZ53" s="74">
        <f>('INSTRUCTION-2YR'!V53+'RESEARCH 2yr'!V53+'PUBLIC SERVICE 2yr'!V53+'ASptISptSSv 2yr'!V53+'PLANT OPER MAIN 2yr'!V53+'SCHOLAR FELLOW 2yr'!V53+'All Other 2yr'!V53)-V53</f>
        <v>0</v>
      </c>
      <c r="BA53" s="74">
        <f>('INSTRUCTION-2YR'!W53+'RESEARCH 2yr'!W53+'PUBLIC SERVICE 2yr'!W53+'ASptISptSSv 2yr'!W53+'PLANT OPER MAIN 2yr'!W53+'SCHOLAR FELLOW 2yr'!W53+'All Other 2yr'!W53)-W53</f>
        <v>0</v>
      </c>
      <c r="BB53" s="74">
        <f>('INSTRUCTION-2YR'!X53+'RESEARCH 2yr'!X53+'PUBLIC SERVICE 2yr'!X53+'ASptISptSSv 2yr'!X53+'PLANT OPER MAIN 2yr'!X53+'SCHOLAR FELLOW 2yr'!X53+'All Other 2yr'!X53)-X53</f>
        <v>0</v>
      </c>
      <c r="BC53" s="74">
        <f>('INSTRUCTION-2YR'!Y53+'RESEARCH 2yr'!Y53+'PUBLIC SERVICE 2yr'!Y53+'ASptISptSSv 2yr'!Y53+'PLANT OPER MAIN 2yr'!Y53+'SCHOLAR FELLOW 2yr'!Y53+'All Other 2yr'!Y53)-Y53</f>
        <v>0</v>
      </c>
      <c r="BD53" s="74">
        <f>('INSTRUCTION-2YR'!Z53+'RESEARCH 2yr'!Z53+'PUBLIC SERVICE 2yr'!Z53+'ASptISptSSv 2yr'!Z53+'PLANT OPER MAIN 2yr'!Z53+'SCHOLAR FELLOW 2yr'!Z53+'All Other 2yr'!Z53)-Z53</f>
        <v>0</v>
      </c>
      <c r="BE53" s="74">
        <f>('INSTRUCTION-2YR'!AA53+'RESEARCH 2yr'!AA53+'PUBLIC SERVICE 2yr'!AA53+'ASptISptSSv 2yr'!AA53+'PLANT OPER MAIN 2yr'!AA53+'SCHOLAR FELLOW 2yr'!AA53+'All Other 2yr'!AA53)-AA53</f>
        <v>0</v>
      </c>
      <c r="BF53" s="74">
        <f>('INSTRUCTION-2YR'!AB53+'RESEARCH 2yr'!AB53+'PUBLIC SERVICE 2yr'!AB53+'ASptISptSSv 2yr'!AB53+'PLANT OPER MAIN 2yr'!AB53+'SCHOLAR FELLOW 2yr'!AB53+'All Other 2yr'!AB53)-AB53</f>
        <v>0</v>
      </c>
      <c r="BG53" s="74">
        <f>('INSTRUCTION-2YR'!AC53+'RESEARCH 2yr'!AC53+'PUBLIC SERVICE 2yr'!AC53+'ASptISptSSv 2yr'!AC53+'PLANT OPER MAIN 2yr'!AC53+'SCHOLAR FELLOW 2yr'!AC53+'All Other 2yr'!AC53)-AC53</f>
        <v>0</v>
      </c>
      <c r="BH53" s="74">
        <f>('INSTRUCTION-2YR'!AD53+'RESEARCH 2yr'!AD53+'PUBLIC SERVICE 2yr'!AD53+'ASptISptSSv 2yr'!AD53+'PLANT OPER MAIN 2yr'!AD53+'SCHOLAR FELLOW 2yr'!AD53+'All Other 2yr'!AD53)-AD53</f>
        <v>0</v>
      </c>
      <c r="BI53" s="74">
        <f>('INSTRUCTION-2YR'!AE53+'RESEARCH 2yr'!AE53+'PUBLIC SERVICE 2yr'!AE53+'ASptISptSSv 2yr'!AE53+'PLANT OPER MAIN 2yr'!AE53+'SCHOLAR FELLOW 2yr'!AE53+'All Other 2yr'!AE53)-AE53</f>
        <v>0</v>
      </c>
    </row>
    <row r="54" spans="1:61">
      <c r="A54" s="7" t="s">
        <v>69</v>
      </c>
      <c r="B54" s="47">
        <f>SUM(B56:B64)</f>
        <v>0</v>
      </c>
      <c r="C54" s="47">
        <f t="shared" ref="C54:V54" si="15">SUM(C56:C64)</f>
        <v>0</v>
      </c>
      <c r="D54" s="47">
        <f t="shared" si="15"/>
        <v>0</v>
      </c>
      <c r="E54" s="47">
        <f t="shared" si="15"/>
        <v>0</v>
      </c>
      <c r="F54" s="47">
        <f t="shared" si="15"/>
        <v>2533232.4800000004</v>
      </c>
      <c r="G54" s="47">
        <f t="shared" si="15"/>
        <v>0</v>
      </c>
      <c r="H54" s="47">
        <f t="shared" si="15"/>
        <v>0</v>
      </c>
      <c r="I54" s="47">
        <f t="shared" si="15"/>
        <v>3065473.6850000001</v>
      </c>
      <c r="J54" s="47">
        <f t="shared" si="15"/>
        <v>0</v>
      </c>
      <c r="K54" s="47">
        <f t="shared" si="15"/>
        <v>3365600.8136</v>
      </c>
      <c r="L54" s="47">
        <f t="shared" si="15"/>
        <v>3529665.105</v>
      </c>
      <c r="M54" s="47">
        <f t="shared" si="15"/>
        <v>3997311.909</v>
      </c>
      <c r="N54" s="47">
        <f t="shared" si="15"/>
        <v>4490608.0620000008</v>
      </c>
      <c r="O54" s="47">
        <f t="shared" si="15"/>
        <v>4791328.7770000007</v>
      </c>
      <c r="P54" s="47">
        <f t="shared" si="15"/>
        <v>5130386.1159999995</v>
      </c>
      <c r="Q54" s="47">
        <f t="shared" si="15"/>
        <v>5395933.4569999995</v>
      </c>
      <c r="R54" s="47">
        <f t="shared" si="15"/>
        <v>5613718.773</v>
      </c>
      <c r="S54" s="47">
        <f t="shared" si="15"/>
        <v>6188346.9439999983</v>
      </c>
      <c r="T54" s="47">
        <f>SUM(T56:T64)</f>
        <v>6374489.2599999998</v>
      </c>
      <c r="U54" s="47">
        <f t="shared" si="15"/>
        <v>6906321.8549999995</v>
      </c>
      <c r="V54" s="47">
        <f t="shared" si="15"/>
        <v>7724590.3159999996</v>
      </c>
      <c r="W54" s="47">
        <f>SUM(W56:W64)</f>
        <v>8186438.2180000003</v>
      </c>
      <c r="X54" s="47">
        <f t="shared" ref="X54:AE54" si="16">SUM(X56:X64)</f>
        <v>8411047.409</v>
      </c>
      <c r="Y54" s="47">
        <f t="shared" si="16"/>
        <v>8619884.5019999985</v>
      </c>
      <c r="Z54" s="47">
        <f t="shared" si="16"/>
        <v>8883948.6579999998</v>
      </c>
      <c r="AA54" s="47">
        <f t="shared" si="16"/>
        <v>8972196.1750000007</v>
      </c>
      <c r="AB54" s="47">
        <f t="shared" si="16"/>
        <v>8964693.0260000005</v>
      </c>
      <c r="AC54" s="47">
        <f t="shared" si="16"/>
        <v>8929601.2359999996</v>
      </c>
      <c r="AD54" s="47">
        <f t="shared" si="16"/>
        <v>0</v>
      </c>
      <c r="AE54" s="47">
        <f t="shared" si="16"/>
        <v>8914318.0270000007</v>
      </c>
      <c r="AF54" s="74">
        <f>('INSTRUCTION-2YR'!B54+'RESEARCH 2yr'!B54+'PUBLIC SERVICE 2yr'!B54+'ASptISptSSv 2yr'!B54+'PLANT OPER MAIN 2yr'!B54+'SCHOLAR FELLOW 2yr'!B54+'All Other 2yr'!B54)-B54</f>
        <v>0</v>
      </c>
      <c r="AG54" s="74">
        <f>('INSTRUCTION-2YR'!C54+'RESEARCH 2yr'!C54+'PUBLIC SERVICE 2yr'!C54+'ASptISptSSv 2yr'!C54+'PLANT OPER MAIN 2yr'!C54+'SCHOLAR FELLOW 2yr'!C54+'All Other 2yr'!C54)-C54</f>
        <v>0</v>
      </c>
      <c r="AH54" s="74">
        <f>('INSTRUCTION-2YR'!D54+'RESEARCH 2yr'!D54+'PUBLIC SERVICE 2yr'!D54+'ASptISptSSv 2yr'!D54+'PLANT OPER MAIN 2yr'!D54+'SCHOLAR FELLOW 2yr'!D54+'All Other 2yr'!D54)-D54</f>
        <v>0</v>
      </c>
      <c r="AI54" s="74">
        <f>('INSTRUCTION-2YR'!E54+'RESEARCH 2yr'!E54+'PUBLIC SERVICE 2yr'!E54+'ASptISptSSv 2yr'!E54+'PLANT OPER MAIN 2yr'!E54+'SCHOLAR FELLOW 2yr'!E54+'All Other 2yr'!E54)-E54</f>
        <v>0</v>
      </c>
      <c r="AJ54" s="74">
        <f>('INSTRUCTION-2YR'!F54+'RESEARCH 2yr'!F54+'PUBLIC SERVICE 2yr'!F54+'ASptISptSSv 2yr'!F54+'PLANT OPER MAIN 2yr'!F54+'SCHOLAR FELLOW 2yr'!F54+'All Other 2yr'!F54)</f>
        <v>2533232.48</v>
      </c>
      <c r="AK54" s="74">
        <f>('INSTRUCTION-2YR'!G54+'RESEARCH 2yr'!G54+'PUBLIC SERVICE 2yr'!G54+'ASptISptSSv 2yr'!G54+'PLANT OPER MAIN 2yr'!G54+'SCHOLAR FELLOW 2yr'!G54+'All Other 2yr'!G54)-G54</f>
        <v>0</v>
      </c>
      <c r="AL54" s="74">
        <f>('INSTRUCTION-2YR'!H54+'RESEARCH 2yr'!H54+'PUBLIC SERVICE 2yr'!H54+'ASptISptSSv 2yr'!H54+'PLANT OPER MAIN 2yr'!H54+'SCHOLAR FELLOW 2yr'!H54+'All Other 2yr'!H54)-H54</f>
        <v>0</v>
      </c>
      <c r="AM54" s="74">
        <f>('INSTRUCTION-2YR'!I54+'RESEARCH 2yr'!I54+'PUBLIC SERVICE 2yr'!I54+'ASptISptSSv 2yr'!I54+'PLANT OPER MAIN 2yr'!I54+'SCHOLAR FELLOW 2yr'!I54+'All Other 2yr'!I54)-I54</f>
        <v>0</v>
      </c>
      <c r="AN54" s="74">
        <f>('INSTRUCTION-2YR'!J54+'RESEARCH 2yr'!J54+'PUBLIC SERVICE 2yr'!J54+'ASptISptSSv 2yr'!J54+'PLANT OPER MAIN 2yr'!J54+'SCHOLAR FELLOW 2yr'!J54+'All Other 2yr'!J54)-J54</f>
        <v>0</v>
      </c>
      <c r="AO54" s="74">
        <f>('INSTRUCTION-2YR'!K54+'RESEARCH 2yr'!K54+'PUBLIC SERVICE 2yr'!K54+'ASptISptSSv 2yr'!K54+'PLANT OPER MAIN 2yr'!K54+'SCHOLAR FELLOW 2yr'!K54+'All Other 2yr'!K54)-K54</f>
        <v>0</v>
      </c>
      <c r="AP54" s="74">
        <f>('INSTRUCTION-2YR'!L54+'RESEARCH 2yr'!L54+'PUBLIC SERVICE 2yr'!L54+'ASptISptSSv 2yr'!L54+'PLANT OPER MAIN 2yr'!L54+'SCHOLAR FELLOW 2yr'!L54+'All Other 2yr'!L54)-L54</f>
        <v>0</v>
      </c>
      <c r="AQ54" s="74">
        <f>('INSTRUCTION-2YR'!M54+'RESEARCH 2yr'!M54+'PUBLIC SERVICE 2yr'!M54+'ASptISptSSv 2yr'!M54+'PLANT OPER MAIN 2yr'!M54+'SCHOLAR FELLOW 2yr'!M54+'All Other 2yr'!M54)-M54</f>
        <v>0</v>
      </c>
      <c r="AR54" s="74">
        <f>('INSTRUCTION-2YR'!N54+'RESEARCH 2yr'!N54+'PUBLIC SERVICE 2yr'!N54+'ASptISptSSv 2yr'!N54+'PLANT OPER MAIN 2yr'!N54+'SCHOLAR FELLOW 2yr'!N54+'All Other 2yr'!N54)-N54</f>
        <v>0</v>
      </c>
      <c r="AS54" s="74">
        <f>('INSTRUCTION-2YR'!O54+'RESEARCH 2yr'!O54+'PUBLIC SERVICE 2yr'!O54+'ASptISptSSv 2yr'!O54+'PLANT OPER MAIN 2yr'!O54+'SCHOLAR FELLOW 2yr'!O54+'All Other 2yr'!O54)-O54</f>
        <v>0</v>
      </c>
      <c r="AT54" s="74">
        <f>('INSTRUCTION-2YR'!P54+'RESEARCH 2yr'!P54+'PUBLIC SERVICE 2yr'!P54+'ASptISptSSv 2yr'!P54+'PLANT OPER MAIN 2yr'!P54+'SCHOLAR FELLOW 2yr'!P54+'All Other 2yr'!P54)-P54</f>
        <v>0</v>
      </c>
      <c r="AU54" s="74">
        <f>('INSTRUCTION-2YR'!Q54+'RESEARCH 2yr'!Q54+'PUBLIC SERVICE 2yr'!Q54+'ASptISptSSv 2yr'!Q54+'PLANT OPER MAIN 2yr'!Q54+'SCHOLAR FELLOW 2yr'!Q54+'All Other 2yr'!Q54)-Q54</f>
        <v>0</v>
      </c>
      <c r="AV54" s="74">
        <f>('INSTRUCTION-2YR'!R54+'RESEARCH 2yr'!R54+'PUBLIC SERVICE 2yr'!R54+'ASptISptSSv 2yr'!R54+'PLANT OPER MAIN 2yr'!R54+'SCHOLAR FELLOW 2yr'!R54+'All Other 2yr'!R54)-R54</f>
        <v>0</v>
      </c>
      <c r="AW54" s="74">
        <f>('INSTRUCTION-2YR'!S54+'RESEARCH 2yr'!S54+'PUBLIC SERVICE 2yr'!S54+'ASptISptSSv 2yr'!S54+'PLANT OPER MAIN 2yr'!S54+'SCHOLAR FELLOW 2yr'!S54+'All Other 2yr'!S54)-S54</f>
        <v>0</v>
      </c>
      <c r="AX54" s="74">
        <f>('INSTRUCTION-2YR'!T54+'RESEARCH 2yr'!T54+'PUBLIC SERVICE 2yr'!T54+'ASptISptSSv 2yr'!T54+'PLANT OPER MAIN 2yr'!T54+'SCHOLAR FELLOW 2yr'!T54+'All Other 2yr'!T54)-T54</f>
        <v>0</v>
      </c>
      <c r="AY54" s="74">
        <f>('INSTRUCTION-2YR'!U54+'RESEARCH 2yr'!U54+'PUBLIC SERVICE 2yr'!U54+'ASptISptSSv 2yr'!U54+'PLANT OPER MAIN 2yr'!U54+'SCHOLAR FELLOW 2yr'!U54+'All Other 2yr'!U54)-U54</f>
        <v>0</v>
      </c>
      <c r="AZ54" s="74">
        <f>('INSTRUCTION-2YR'!V54+'RESEARCH 2yr'!V54+'PUBLIC SERVICE 2yr'!V54+'ASptISptSSv 2yr'!V54+'PLANT OPER MAIN 2yr'!V54+'SCHOLAR FELLOW 2yr'!V54+'All Other 2yr'!V54)-V54</f>
        <v>0</v>
      </c>
      <c r="BA54" s="74">
        <f>('INSTRUCTION-2YR'!W54+'RESEARCH 2yr'!W54+'PUBLIC SERVICE 2yr'!W54+'ASptISptSSv 2yr'!W54+'PLANT OPER MAIN 2yr'!W54+'SCHOLAR FELLOW 2yr'!W54+'All Other 2yr'!W54)-W54</f>
        <v>0</v>
      </c>
      <c r="BB54" s="74">
        <f>('INSTRUCTION-2YR'!X54+'RESEARCH 2yr'!X54+'PUBLIC SERVICE 2yr'!X54+'ASptISptSSv 2yr'!X54+'PLANT OPER MAIN 2yr'!X54+'SCHOLAR FELLOW 2yr'!X54+'All Other 2yr'!X54)-X54</f>
        <v>0</v>
      </c>
      <c r="BC54" s="74">
        <f>('INSTRUCTION-2YR'!Y54+'RESEARCH 2yr'!Y54+'PUBLIC SERVICE 2yr'!Y54+'ASptISptSSv 2yr'!Y54+'PLANT OPER MAIN 2yr'!Y54+'SCHOLAR FELLOW 2yr'!Y54+'All Other 2yr'!Y54)-Y54</f>
        <v>0</v>
      </c>
      <c r="BD54" s="74">
        <f>('INSTRUCTION-2YR'!Z54+'RESEARCH 2yr'!Z54+'PUBLIC SERVICE 2yr'!Z54+'ASptISptSSv 2yr'!Z54+'PLANT OPER MAIN 2yr'!Z54+'SCHOLAR FELLOW 2yr'!Z54+'All Other 2yr'!Z54)-Z54</f>
        <v>0</v>
      </c>
      <c r="BE54" s="74">
        <f>('INSTRUCTION-2YR'!AA54+'RESEARCH 2yr'!AA54+'PUBLIC SERVICE 2yr'!AA54+'ASptISptSSv 2yr'!AA54+'PLANT OPER MAIN 2yr'!AA54+'SCHOLAR FELLOW 2yr'!AA54+'All Other 2yr'!AA54)-AA54</f>
        <v>0</v>
      </c>
      <c r="BF54" s="74">
        <f>('INSTRUCTION-2YR'!AB54+'RESEARCH 2yr'!AB54+'PUBLIC SERVICE 2yr'!AB54+'ASptISptSSv 2yr'!AB54+'PLANT OPER MAIN 2yr'!AB54+'SCHOLAR FELLOW 2yr'!AB54+'All Other 2yr'!AB54)-AB54</f>
        <v>0</v>
      </c>
      <c r="BG54" s="74">
        <f>('INSTRUCTION-2YR'!AC54+'RESEARCH 2yr'!AC54+'PUBLIC SERVICE 2yr'!AC54+'ASptISptSSv 2yr'!AC54+'PLANT OPER MAIN 2yr'!AC54+'SCHOLAR FELLOW 2yr'!AC54+'All Other 2yr'!AC54)-AC54</f>
        <v>0</v>
      </c>
      <c r="BH54" s="74">
        <f>('INSTRUCTION-2YR'!AD54+'RESEARCH 2yr'!AD54+'PUBLIC SERVICE 2yr'!AD54+'ASptISptSSv 2yr'!AD54+'PLANT OPER MAIN 2yr'!AD54+'SCHOLAR FELLOW 2yr'!AD54+'All Other 2yr'!AD54)-AD54</f>
        <v>0</v>
      </c>
      <c r="BI54" s="74">
        <f>('INSTRUCTION-2YR'!AE54+'RESEARCH 2yr'!AE54+'PUBLIC SERVICE 2yr'!AE54+'ASptISptSSv 2yr'!AE54+'PLANT OPER MAIN 2yr'!AE54+'SCHOLAR FELLOW 2yr'!AE54+'All Other 2yr'!AE54)-AE54</f>
        <v>0</v>
      </c>
    </row>
    <row r="55" spans="1:61">
      <c r="A55" s="7" t="s">
        <v>97</v>
      </c>
      <c r="X55" s="1">
        <v>0</v>
      </c>
      <c r="Y55" s="1">
        <v>0</v>
      </c>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row>
    <row r="56" spans="1:61">
      <c r="A56" s="1" t="s">
        <v>70</v>
      </c>
      <c r="F56" s="41">
        <v>126064.042</v>
      </c>
      <c r="I56" s="1">
        <v>151338.78</v>
      </c>
      <c r="K56" s="1">
        <v>205825.50477999993</v>
      </c>
      <c r="L56" s="1">
        <v>234951.32</v>
      </c>
      <c r="M56" s="1">
        <v>251403.32</v>
      </c>
      <c r="N56" s="1">
        <v>282303.24</v>
      </c>
      <c r="O56" s="1">
        <v>300079.22499999998</v>
      </c>
      <c r="P56" s="1">
        <v>309184.696</v>
      </c>
      <c r="Q56" s="1">
        <v>338742.554</v>
      </c>
      <c r="R56" s="1">
        <v>356125</v>
      </c>
      <c r="S56" s="1">
        <v>377777.68</v>
      </c>
      <c r="T56" s="1">
        <v>426040.56800000003</v>
      </c>
      <c r="U56" s="1">
        <v>466818.51500000001</v>
      </c>
      <c r="V56" s="1">
        <v>490467.70199999999</v>
      </c>
      <c r="W56" s="1">
        <v>529135.53200000001</v>
      </c>
      <c r="X56" s="1">
        <v>528930.027</v>
      </c>
      <c r="Y56" s="1">
        <v>535393.223</v>
      </c>
      <c r="Z56" s="1">
        <v>569085.21100000001</v>
      </c>
      <c r="AA56" s="1">
        <v>582670.95400000003</v>
      </c>
      <c r="AB56" s="1">
        <v>594237.56400000001</v>
      </c>
      <c r="AC56" s="1">
        <v>598085.70400000003</v>
      </c>
      <c r="AE56" s="1">
        <v>593762.47400000005</v>
      </c>
      <c r="AF56" s="74">
        <f>('INSTRUCTION-2YR'!B56+'RESEARCH 2yr'!B56+'PUBLIC SERVICE 2yr'!B56+'ASptISptSSv 2yr'!B56+'PLANT OPER MAIN 2yr'!B56+'SCHOLAR FELLOW 2yr'!B56+'All Other 2yr'!B56)-B56</f>
        <v>0</v>
      </c>
      <c r="AG56" s="74">
        <f>('INSTRUCTION-2YR'!C56+'RESEARCH 2yr'!C56+'PUBLIC SERVICE 2yr'!C56+'ASptISptSSv 2yr'!C56+'PLANT OPER MAIN 2yr'!C56+'SCHOLAR FELLOW 2yr'!C56+'All Other 2yr'!C56)-C56</f>
        <v>0</v>
      </c>
      <c r="AH56" s="74">
        <f>('INSTRUCTION-2YR'!D56+'RESEARCH 2yr'!D56+'PUBLIC SERVICE 2yr'!D56+'ASptISptSSv 2yr'!D56+'PLANT OPER MAIN 2yr'!D56+'SCHOLAR FELLOW 2yr'!D56+'All Other 2yr'!D56)-D56</f>
        <v>0</v>
      </c>
      <c r="AI56" s="74">
        <f>('INSTRUCTION-2YR'!E56+'RESEARCH 2yr'!E56+'PUBLIC SERVICE 2yr'!E56+'ASptISptSSv 2yr'!E56+'PLANT OPER MAIN 2yr'!E56+'SCHOLAR FELLOW 2yr'!E56+'All Other 2yr'!E56)-E56</f>
        <v>0</v>
      </c>
      <c r="AJ56" s="74">
        <f>('INSTRUCTION-2YR'!F56+'RESEARCH 2yr'!F56+'PUBLIC SERVICE 2yr'!F56+'ASptISptSSv 2yr'!F56+'PLANT OPER MAIN 2yr'!F56+'SCHOLAR FELLOW 2yr'!F56+'All Other 2yr'!F56)-F56</f>
        <v>0</v>
      </c>
      <c r="AK56" s="74">
        <f>('INSTRUCTION-2YR'!G56+'RESEARCH 2yr'!G56+'PUBLIC SERVICE 2yr'!G56+'ASptISptSSv 2yr'!G56+'PLANT OPER MAIN 2yr'!G56+'SCHOLAR FELLOW 2yr'!G56+'All Other 2yr'!G56)-G56</f>
        <v>0</v>
      </c>
      <c r="AL56" s="74">
        <f>('INSTRUCTION-2YR'!H56+'RESEARCH 2yr'!H56+'PUBLIC SERVICE 2yr'!H56+'ASptISptSSv 2yr'!H56+'PLANT OPER MAIN 2yr'!H56+'SCHOLAR FELLOW 2yr'!H56+'All Other 2yr'!H56)-H56</f>
        <v>0</v>
      </c>
      <c r="AM56" s="74">
        <f>('INSTRUCTION-2YR'!I56+'RESEARCH 2yr'!I56+'PUBLIC SERVICE 2yr'!I56+'ASptISptSSv 2yr'!I56+'PLANT OPER MAIN 2yr'!I56+'SCHOLAR FELLOW 2yr'!I56+'All Other 2yr'!I56)-I56</f>
        <v>0</v>
      </c>
      <c r="AN56" s="74">
        <f>('INSTRUCTION-2YR'!J56+'RESEARCH 2yr'!J56+'PUBLIC SERVICE 2yr'!J56+'ASptISptSSv 2yr'!J56+'PLANT OPER MAIN 2yr'!J56+'SCHOLAR FELLOW 2yr'!J56+'All Other 2yr'!J56)-J56</f>
        <v>0</v>
      </c>
      <c r="AO56" s="74">
        <f>('INSTRUCTION-2YR'!K56+'RESEARCH 2yr'!K56+'PUBLIC SERVICE 2yr'!K56+'ASptISptSSv 2yr'!K56+'PLANT OPER MAIN 2yr'!K56+'SCHOLAR FELLOW 2yr'!K56+'All Other 2yr'!K56)-K56</f>
        <v>0</v>
      </c>
      <c r="AP56" s="74">
        <f>('INSTRUCTION-2YR'!L56+'RESEARCH 2yr'!L56+'PUBLIC SERVICE 2yr'!L56+'ASptISptSSv 2yr'!L56+'PLANT OPER MAIN 2yr'!L56+'SCHOLAR FELLOW 2yr'!L56+'All Other 2yr'!L56)-L56</f>
        <v>0</v>
      </c>
      <c r="AQ56" s="74">
        <f>('INSTRUCTION-2YR'!M56+'RESEARCH 2yr'!M56+'PUBLIC SERVICE 2yr'!M56+'ASptISptSSv 2yr'!M56+'PLANT OPER MAIN 2yr'!M56+'SCHOLAR FELLOW 2yr'!M56+'All Other 2yr'!M56)-M56</f>
        <v>0</v>
      </c>
      <c r="AR56" s="74">
        <f>('INSTRUCTION-2YR'!N56+'RESEARCH 2yr'!N56+'PUBLIC SERVICE 2yr'!N56+'ASptISptSSv 2yr'!N56+'PLANT OPER MAIN 2yr'!N56+'SCHOLAR FELLOW 2yr'!N56+'All Other 2yr'!N56)-N56</f>
        <v>0</v>
      </c>
      <c r="AS56" s="74">
        <f>('INSTRUCTION-2YR'!O56+'RESEARCH 2yr'!O56+'PUBLIC SERVICE 2yr'!O56+'ASptISptSSv 2yr'!O56+'PLANT OPER MAIN 2yr'!O56+'SCHOLAR FELLOW 2yr'!O56+'All Other 2yr'!O56)-O56</f>
        <v>0</v>
      </c>
      <c r="AT56" s="74">
        <f>('INSTRUCTION-2YR'!P56+'RESEARCH 2yr'!P56+'PUBLIC SERVICE 2yr'!P56+'ASptISptSSv 2yr'!P56+'PLANT OPER MAIN 2yr'!P56+'SCHOLAR FELLOW 2yr'!P56+'All Other 2yr'!P56)-P56</f>
        <v>0</v>
      </c>
      <c r="AU56" s="74">
        <f>('INSTRUCTION-2YR'!Q56+'RESEARCH 2yr'!Q56+'PUBLIC SERVICE 2yr'!Q56+'ASptISptSSv 2yr'!Q56+'PLANT OPER MAIN 2yr'!Q56+'SCHOLAR FELLOW 2yr'!Q56+'All Other 2yr'!Q56)-Q56</f>
        <v>0</v>
      </c>
      <c r="AV56" s="74">
        <f>('INSTRUCTION-2YR'!R56+'RESEARCH 2yr'!R56+'PUBLIC SERVICE 2yr'!R56+'ASptISptSSv 2yr'!R56+'PLANT OPER MAIN 2yr'!R56+'SCHOLAR FELLOW 2yr'!R56+'All Other 2yr'!R56)-R56</f>
        <v>0</v>
      </c>
      <c r="AW56" s="74">
        <f>('INSTRUCTION-2YR'!S56+'RESEARCH 2yr'!S56+'PUBLIC SERVICE 2yr'!S56+'ASptISptSSv 2yr'!S56+'PLANT OPER MAIN 2yr'!S56+'SCHOLAR FELLOW 2yr'!S56+'All Other 2yr'!S56)-S56</f>
        <v>0</v>
      </c>
      <c r="AX56" s="74">
        <f>('INSTRUCTION-2YR'!T56+'RESEARCH 2yr'!T56+'PUBLIC SERVICE 2yr'!T56+'ASptISptSSv 2yr'!T56+'PLANT OPER MAIN 2yr'!T56+'SCHOLAR FELLOW 2yr'!T56+'All Other 2yr'!T56)-T56</f>
        <v>0</v>
      </c>
      <c r="AY56" s="74">
        <f>('INSTRUCTION-2YR'!U56+'RESEARCH 2yr'!U56+'PUBLIC SERVICE 2yr'!U56+'ASptISptSSv 2yr'!U56+'PLANT OPER MAIN 2yr'!U56+'SCHOLAR FELLOW 2yr'!U56+'All Other 2yr'!U56)-U56</f>
        <v>0</v>
      </c>
      <c r="AZ56" s="74">
        <f>('INSTRUCTION-2YR'!V56+'RESEARCH 2yr'!V56+'PUBLIC SERVICE 2yr'!V56+'ASptISptSSv 2yr'!V56+'PLANT OPER MAIN 2yr'!V56+'SCHOLAR FELLOW 2yr'!V56+'All Other 2yr'!V56)-V56</f>
        <v>0</v>
      </c>
      <c r="BA56" s="74">
        <f>('INSTRUCTION-2YR'!W56+'RESEARCH 2yr'!W56+'PUBLIC SERVICE 2yr'!W56+'ASptISptSSv 2yr'!W56+'PLANT OPER MAIN 2yr'!W56+'SCHOLAR FELLOW 2yr'!W56+'All Other 2yr'!W56)-W56</f>
        <v>0</v>
      </c>
      <c r="BB56" s="74">
        <f>('INSTRUCTION-2YR'!X56+'RESEARCH 2yr'!X56+'PUBLIC SERVICE 2yr'!X56+'ASptISptSSv 2yr'!X56+'PLANT OPER MAIN 2yr'!X56+'SCHOLAR FELLOW 2yr'!X56+'All Other 2yr'!X56)-X56</f>
        <v>0</v>
      </c>
      <c r="BC56" s="74">
        <f>('INSTRUCTION-2YR'!Y56+'RESEARCH 2yr'!Y56+'PUBLIC SERVICE 2yr'!Y56+'ASptISptSSv 2yr'!Y56+'PLANT OPER MAIN 2yr'!Y56+'SCHOLAR FELLOW 2yr'!Y56+'All Other 2yr'!Y56)-Y56</f>
        <v>0</v>
      </c>
      <c r="BD56" s="74">
        <f>('INSTRUCTION-2YR'!Z56+'RESEARCH 2yr'!Z56+'PUBLIC SERVICE 2yr'!Z56+'ASptISptSSv 2yr'!Z56+'PLANT OPER MAIN 2yr'!Z56+'SCHOLAR FELLOW 2yr'!Z56+'All Other 2yr'!Z56)-Z56</f>
        <v>0</v>
      </c>
      <c r="BE56" s="74">
        <f>('INSTRUCTION-2YR'!AA56+'RESEARCH 2yr'!AA56+'PUBLIC SERVICE 2yr'!AA56+'ASptISptSSv 2yr'!AA56+'PLANT OPER MAIN 2yr'!AA56+'SCHOLAR FELLOW 2yr'!AA56+'All Other 2yr'!AA56)-AA56</f>
        <v>0</v>
      </c>
      <c r="BF56" s="74">
        <f>('INSTRUCTION-2YR'!AB56+'RESEARCH 2yr'!AB56+'PUBLIC SERVICE 2yr'!AB56+'ASptISptSSv 2yr'!AB56+'PLANT OPER MAIN 2yr'!AB56+'SCHOLAR FELLOW 2yr'!AB56+'All Other 2yr'!AB56)-AB56</f>
        <v>0</v>
      </c>
      <c r="BG56" s="74">
        <f>('INSTRUCTION-2YR'!AC56+'RESEARCH 2yr'!AC56+'PUBLIC SERVICE 2yr'!AC56+'ASptISptSSv 2yr'!AC56+'PLANT OPER MAIN 2yr'!AC56+'SCHOLAR FELLOW 2yr'!AC56+'All Other 2yr'!AC56)-AC56</f>
        <v>0</v>
      </c>
      <c r="BH56" s="74">
        <f>('INSTRUCTION-2YR'!AD56+'RESEARCH 2yr'!AD56+'PUBLIC SERVICE 2yr'!AD56+'ASptISptSSv 2yr'!AD56+'PLANT OPER MAIN 2yr'!AD56+'SCHOLAR FELLOW 2yr'!AD56+'All Other 2yr'!AD56)-AD56</f>
        <v>0</v>
      </c>
      <c r="BI56" s="74">
        <f>('INSTRUCTION-2YR'!AE56+'RESEARCH 2yr'!AE56+'PUBLIC SERVICE 2yr'!AE56+'ASptISptSSv 2yr'!AE56+'PLANT OPER MAIN 2yr'!AE56+'SCHOLAR FELLOW 2yr'!AE56+'All Other 2yr'!AE56)-AE56</f>
        <v>0</v>
      </c>
    </row>
    <row r="57" spans="1:61">
      <c r="A57" s="1" t="s">
        <v>71</v>
      </c>
      <c r="F57" s="41">
        <v>38157.701999999997</v>
      </c>
      <c r="I57" s="1">
        <v>43768.046000000002</v>
      </c>
      <c r="K57" s="1">
        <v>48832.017999999996</v>
      </c>
      <c r="L57" s="1">
        <v>61595.415000000001</v>
      </c>
      <c r="M57" s="1">
        <v>65539.206000000006</v>
      </c>
      <c r="N57" s="1">
        <v>73933.782000000007</v>
      </c>
      <c r="O57" s="1">
        <v>80369.766000000003</v>
      </c>
      <c r="P57" s="1">
        <v>88065.425000000003</v>
      </c>
      <c r="Q57" s="1">
        <v>94114.312000000005</v>
      </c>
      <c r="R57" s="1">
        <v>96927.578999999998</v>
      </c>
      <c r="S57" s="1">
        <v>101630.58500000001</v>
      </c>
      <c r="T57" s="1">
        <v>108772.24099999999</v>
      </c>
      <c r="U57" s="1">
        <v>116974.094</v>
      </c>
      <c r="V57" s="1">
        <v>129219</v>
      </c>
      <c r="W57" s="1">
        <v>143990.83300000001</v>
      </c>
      <c r="X57" s="1">
        <v>147118.83100000001</v>
      </c>
      <c r="Y57" s="1">
        <v>152298.12100000001</v>
      </c>
      <c r="Z57" s="1">
        <v>156488.58499999999</v>
      </c>
      <c r="AA57" s="1">
        <v>160268.55799999999</v>
      </c>
      <c r="AB57" s="1">
        <v>151828.772</v>
      </c>
      <c r="AC57" s="1">
        <v>148466.31400000001</v>
      </c>
      <c r="AE57" s="1">
        <v>152526.36799999999</v>
      </c>
      <c r="AF57" s="74">
        <f>('INSTRUCTION-2YR'!B57+'RESEARCH 2yr'!B57+'PUBLIC SERVICE 2yr'!B57+'ASptISptSSv 2yr'!B57+'PLANT OPER MAIN 2yr'!B57+'SCHOLAR FELLOW 2yr'!B57+'All Other 2yr'!B57)-B57</f>
        <v>0</v>
      </c>
      <c r="AG57" s="74">
        <f>('INSTRUCTION-2YR'!C57+'RESEARCH 2yr'!C57+'PUBLIC SERVICE 2yr'!C57+'ASptISptSSv 2yr'!C57+'PLANT OPER MAIN 2yr'!C57+'SCHOLAR FELLOW 2yr'!C57+'All Other 2yr'!C57)-C57</f>
        <v>0</v>
      </c>
      <c r="AH57" s="74">
        <f>('INSTRUCTION-2YR'!D57+'RESEARCH 2yr'!D57+'PUBLIC SERVICE 2yr'!D57+'ASptISptSSv 2yr'!D57+'PLANT OPER MAIN 2yr'!D57+'SCHOLAR FELLOW 2yr'!D57+'All Other 2yr'!D57)-D57</f>
        <v>0</v>
      </c>
      <c r="AI57" s="74">
        <f>('INSTRUCTION-2YR'!E57+'RESEARCH 2yr'!E57+'PUBLIC SERVICE 2yr'!E57+'ASptISptSSv 2yr'!E57+'PLANT OPER MAIN 2yr'!E57+'SCHOLAR FELLOW 2yr'!E57+'All Other 2yr'!E57)-E57</f>
        <v>0</v>
      </c>
      <c r="AJ57" s="74">
        <f>('INSTRUCTION-2YR'!F57+'RESEARCH 2yr'!F57+'PUBLIC SERVICE 2yr'!F57+'ASptISptSSv 2yr'!F57+'PLANT OPER MAIN 2yr'!F57+'SCHOLAR FELLOW 2yr'!F57+'All Other 2yr'!F57)-F57</f>
        <v>0</v>
      </c>
      <c r="AK57" s="74">
        <f>('INSTRUCTION-2YR'!G57+'RESEARCH 2yr'!G57+'PUBLIC SERVICE 2yr'!G57+'ASptISptSSv 2yr'!G57+'PLANT OPER MAIN 2yr'!G57+'SCHOLAR FELLOW 2yr'!G57+'All Other 2yr'!G57)-G57</f>
        <v>0</v>
      </c>
      <c r="AL57" s="74">
        <f>('INSTRUCTION-2YR'!H57+'RESEARCH 2yr'!H57+'PUBLIC SERVICE 2yr'!H57+'ASptISptSSv 2yr'!H57+'PLANT OPER MAIN 2yr'!H57+'SCHOLAR FELLOW 2yr'!H57+'All Other 2yr'!H57)-H57</f>
        <v>0</v>
      </c>
      <c r="AM57" s="74">
        <f>('INSTRUCTION-2YR'!I57+'RESEARCH 2yr'!I57+'PUBLIC SERVICE 2yr'!I57+'ASptISptSSv 2yr'!I57+'PLANT OPER MAIN 2yr'!I57+'SCHOLAR FELLOW 2yr'!I57+'All Other 2yr'!I57)-I57</f>
        <v>0</v>
      </c>
      <c r="AN57" s="74">
        <f>('INSTRUCTION-2YR'!J57+'RESEARCH 2yr'!J57+'PUBLIC SERVICE 2yr'!J57+'ASptISptSSv 2yr'!J57+'PLANT OPER MAIN 2yr'!J57+'SCHOLAR FELLOW 2yr'!J57+'All Other 2yr'!J57)-J57</f>
        <v>0</v>
      </c>
      <c r="AO57" s="74">
        <f>('INSTRUCTION-2YR'!K57+'RESEARCH 2yr'!K57+'PUBLIC SERVICE 2yr'!K57+'ASptISptSSv 2yr'!K57+'PLANT OPER MAIN 2yr'!K57+'SCHOLAR FELLOW 2yr'!K57+'All Other 2yr'!K57)-K57</f>
        <v>0</v>
      </c>
      <c r="AP57" s="74">
        <f>('INSTRUCTION-2YR'!L57+'RESEARCH 2yr'!L57+'PUBLIC SERVICE 2yr'!L57+'ASptISptSSv 2yr'!L57+'PLANT OPER MAIN 2yr'!L57+'SCHOLAR FELLOW 2yr'!L57+'All Other 2yr'!L57)-L57</f>
        <v>0</v>
      </c>
      <c r="AQ57" s="74">
        <f>('INSTRUCTION-2YR'!M57+'RESEARCH 2yr'!M57+'PUBLIC SERVICE 2yr'!M57+'ASptISptSSv 2yr'!M57+'PLANT OPER MAIN 2yr'!M57+'SCHOLAR FELLOW 2yr'!M57+'All Other 2yr'!M57)-M57</f>
        <v>0</v>
      </c>
      <c r="AR57" s="74">
        <f>('INSTRUCTION-2YR'!N57+'RESEARCH 2yr'!N57+'PUBLIC SERVICE 2yr'!N57+'ASptISptSSv 2yr'!N57+'PLANT OPER MAIN 2yr'!N57+'SCHOLAR FELLOW 2yr'!N57+'All Other 2yr'!N57)-N57</f>
        <v>0</v>
      </c>
      <c r="AS57" s="74">
        <f>('INSTRUCTION-2YR'!O57+'RESEARCH 2yr'!O57+'PUBLIC SERVICE 2yr'!O57+'ASptISptSSv 2yr'!O57+'PLANT OPER MAIN 2yr'!O57+'SCHOLAR FELLOW 2yr'!O57+'All Other 2yr'!O57)-O57</f>
        <v>0</v>
      </c>
      <c r="AT57" s="74">
        <f>('INSTRUCTION-2YR'!P57+'RESEARCH 2yr'!P57+'PUBLIC SERVICE 2yr'!P57+'ASptISptSSv 2yr'!P57+'PLANT OPER MAIN 2yr'!P57+'SCHOLAR FELLOW 2yr'!P57+'All Other 2yr'!P57)-P57</f>
        <v>0</v>
      </c>
      <c r="AU57" s="74">
        <f>('INSTRUCTION-2YR'!Q57+'RESEARCH 2yr'!Q57+'PUBLIC SERVICE 2yr'!Q57+'ASptISptSSv 2yr'!Q57+'PLANT OPER MAIN 2yr'!Q57+'SCHOLAR FELLOW 2yr'!Q57+'All Other 2yr'!Q57)-Q57</f>
        <v>0</v>
      </c>
      <c r="AV57" s="74">
        <f>('INSTRUCTION-2YR'!R57+'RESEARCH 2yr'!R57+'PUBLIC SERVICE 2yr'!R57+'ASptISptSSv 2yr'!R57+'PLANT OPER MAIN 2yr'!R57+'SCHOLAR FELLOW 2yr'!R57+'All Other 2yr'!R57)-R57</f>
        <v>0</v>
      </c>
      <c r="AW57" s="74">
        <f>('INSTRUCTION-2YR'!S57+'RESEARCH 2yr'!S57+'PUBLIC SERVICE 2yr'!S57+'ASptISptSSv 2yr'!S57+'PLANT OPER MAIN 2yr'!S57+'SCHOLAR FELLOW 2yr'!S57+'All Other 2yr'!S57)-S57</f>
        <v>0</v>
      </c>
      <c r="AX57" s="74">
        <f>('INSTRUCTION-2YR'!T57+'RESEARCH 2yr'!T57+'PUBLIC SERVICE 2yr'!T57+'ASptISptSSv 2yr'!T57+'PLANT OPER MAIN 2yr'!T57+'SCHOLAR FELLOW 2yr'!T57+'All Other 2yr'!T57)-T57</f>
        <v>0</v>
      </c>
      <c r="AY57" s="74">
        <f>('INSTRUCTION-2YR'!U57+'RESEARCH 2yr'!U57+'PUBLIC SERVICE 2yr'!U57+'ASptISptSSv 2yr'!U57+'PLANT OPER MAIN 2yr'!U57+'SCHOLAR FELLOW 2yr'!U57+'All Other 2yr'!U57)-U57</f>
        <v>0</v>
      </c>
      <c r="AZ57" s="74">
        <f>('INSTRUCTION-2YR'!V57+'RESEARCH 2yr'!V57+'PUBLIC SERVICE 2yr'!V57+'ASptISptSSv 2yr'!V57+'PLANT OPER MAIN 2yr'!V57+'SCHOLAR FELLOW 2yr'!V57+'All Other 2yr'!V57)-V57</f>
        <v>0</v>
      </c>
      <c r="BA57" s="74">
        <f>('INSTRUCTION-2YR'!W57+'RESEARCH 2yr'!W57+'PUBLIC SERVICE 2yr'!W57+'ASptISptSSv 2yr'!W57+'PLANT OPER MAIN 2yr'!W57+'SCHOLAR FELLOW 2yr'!W57+'All Other 2yr'!W57)-W57</f>
        <v>0</v>
      </c>
      <c r="BB57" s="74">
        <f>('INSTRUCTION-2YR'!X57+'RESEARCH 2yr'!X57+'PUBLIC SERVICE 2yr'!X57+'ASptISptSSv 2yr'!X57+'PLANT OPER MAIN 2yr'!X57+'SCHOLAR FELLOW 2yr'!X57+'All Other 2yr'!X57)-X57</f>
        <v>0</v>
      </c>
      <c r="BC57" s="74">
        <f>('INSTRUCTION-2YR'!Y57+'RESEARCH 2yr'!Y57+'PUBLIC SERVICE 2yr'!Y57+'ASptISptSSv 2yr'!Y57+'PLANT OPER MAIN 2yr'!Y57+'SCHOLAR FELLOW 2yr'!Y57+'All Other 2yr'!Y57)-Y57</f>
        <v>0</v>
      </c>
      <c r="BD57" s="74">
        <f>('INSTRUCTION-2YR'!Z57+'RESEARCH 2yr'!Z57+'PUBLIC SERVICE 2yr'!Z57+'ASptISptSSv 2yr'!Z57+'PLANT OPER MAIN 2yr'!Z57+'SCHOLAR FELLOW 2yr'!Z57+'All Other 2yr'!Z57)-Z57</f>
        <v>0</v>
      </c>
      <c r="BE57" s="74">
        <f>('INSTRUCTION-2YR'!AA57+'RESEARCH 2yr'!AA57+'PUBLIC SERVICE 2yr'!AA57+'ASptISptSSv 2yr'!AA57+'PLANT OPER MAIN 2yr'!AA57+'SCHOLAR FELLOW 2yr'!AA57+'All Other 2yr'!AA57)-AA57</f>
        <v>0</v>
      </c>
      <c r="BF57" s="74">
        <f>('INSTRUCTION-2YR'!AB57+'RESEARCH 2yr'!AB57+'PUBLIC SERVICE 2yr'!AB57+'ASptISptSSv 2yr'!AB57+'PLANT OPER MAIN 2yr'!AB57+'SCHOLAR FELLOW 2yr'!AB57+'All Other 2yr'!AB57)-AB57</f>
        <v>0</v>
      </c>
      <c r="BG57" s="74">
        <f>('INSTRUCTION-2YR'!AC57+'RESEARCH 2yr'!AC57+'PUBLIC SERVICE 2yr'!AC57+'ASptISptSSv 2yr'!AC57+'PLANT OPER MAIN 2yr'!AC57+'SCHOLAR FELLOW 2yr'!AC57+'All Other 2yr'!AC57)-AC57</f>
        <v>0</v>
      </c>
      <c r="BH57" s="74">
        <f>('INSTRUCTION-2YR'!AD57+'RESEARCH 2yr'!AD57+'PUBLIC SERVICE 2yr'!AD57+'ASptISptSSv 2yr'!AD57+'PLANT OPER MAIN 2yr'!AD57+'SCHOLAR FELLOW 2yr'!AD57+'All Other 2yr'!AD57)-AD57</f>
        <v>0</v>
      </c>
      <c r="BI57" s="74">
        <f>('INSTRUCTION-2YR'!AE57+'RESEARCH 2yr'!AE57+'PUBLIC SERVICE 2yr'!AE57+'ASptISptSSv 2yr'!AE57+'PLANT OPER MAIN 2yr'!AE57+'SCHOLAR FELLOW 2yr'!AE57+'All Other 2yr'!AE57)-AE57</f>
        <v>0</v>
      </c>
    </row>
    <row r="58" spans="1:61" s="11" customFormat="1">
      <c r="A58" s="1" t="s">
        <v>72</v>
      </c>
      <c r="B58" s="1"/>
      <c r="C58" s="1"/>
      <c r="D58" s="1"/>
      <c r="E58" s="1"/>
      <c r="F58" s="41">
        <v>256842.609</v>
      </c>
      <c r="G58" s="1"/>
      <c r="H58" s="1"/>
      <c r="I58" s="1">
        <v>343286.67700000003</v>
      </c>
      <c r="J58" s="1"/>
      <c r="K58" s="1">
        <v>391928.935</v>
      </c>
      <c r="L58" s="1">
        <v>490900.91399999999</v>
      </c>
      <c r="M58" s="1">
        <v>553414.38899999997</v>
      </c>
      <c r="N58" s="1">
        <v>564789.43500000006</v>
      </c>
      <c r="O58" s="1">
        <v>555310.02300000004</v>
      </c>
      <c r="P58" s="1">
        <v>574247.46400000004</v>
      </c>
      <c r="Q58" s="1">
        <v>605185.84499999997</v>
      </c>
      <c r="R58" s="1">
        <v>649045.522</v>
      </c>
      <c r="S58" s="1">
        <v>678807.174</v>
      </c>
      <c r="T58" s="1">
        <v>740039.44099999999</v>
      </c>
      <c r="U58" s="1">
        <v>743464.71600000001</v>
      </c>
      <c r="V58" s="1">
        <v>820501.48800000001</v>
      </c>
      <c r="W58" s="1">
        <v>888241.82400000002</v>
      </c>
      <c r="X58" s="1">
        <v>930691.36800000002</v>
      </c>
      <c r="Y58" s="1">
        <v>949058.94</v>
      </c>
      <c r="Z58" s="1">
        <v>999778.71499999997</v>
      </c>
      <c r="AA58" s="1">
        <v>1012428.581</v>
      </c>
      <c r="AB58" s="1">
        <v>1023760.17</v>
      </c>
      <c r="AC58" s="1">
        <v>1030046.224</v>
      </c>
      <c r="AD58" s="1"/>
      <c r="AE58" s="1">
        <v>1034103.2169999999</v>
      </c>
      <c r="AF58" s="74">
        <f>('INSTRUCTION-2YR'!B58+'RESEARCH 2yr'!B58+'PUBLIC SERVICE 2yr'!B58+'ASptISptSSv 2yr'!B58+'PLANT OPER MAIN 2yr'!B58+'SCHOLAR FELLOW 2yr'!B58+'All Other 2yr'!B58)-B58</f>
        <v>0</v>
      </c>
      <c r="AG58" s="74">
        <f>('INSTRUCTION-2YR'!C58+'RESEARCH 2yr'!C58+'PUBLIC SERVICE 2yr'!C58+'ASptISptSSv 2yr'!C58+'PLANT OPER MAIN 2yr'!C58+'SCHOLAR FELLOW 2yr'!C58+'All Other 2yr'!C58)-C58</f>
        <v>0</v>
      </c>
      <c r="AH58" s="74">
        <f>('INSTRUCTION-2YR'!D58+'RESEARCH 2yr'!D58+'PUBLIC SERVICE 2yr'!D58+'ASptISptSSv 2yr'!D58+'PLANT OPER MAIN 2yr'!D58+'SCHOLAR FELLOW 2yr'!D58+'All Other 2yr'!D58)-D58</f>
        <v>0</v>
      </c>
      <c r="AI58" s="74">
        <f>('INSTRUCTION-2YR'!E58+'RESEARCH 2yr'!E58+'PUBLIC SERVICE 2yr'!E58+'ASptISptSSv 2yr'!E58+'PLANT OPER MAIN 2yr'!E58+'SCHOLAR FELLOW 2yr'!E58+'All Other 2yr'!E58)-E58</f>
        <v>0</v>
      </c>
      <c r="AJ58" s="74">
        <f>('INSTRUCTION-2YR'!F58+'RESEARCH 2yr'!F58+'PUBLIC SERVICE 2yr'!F58+'ASptISptSSv 2yr'!F58+'PLANT OPER MAIN 2yr'!F58+'SCHOLAR FELLOW 2yr'!F58+'All Other 2yr'!F58)-F58</f>
        <v>0</v>
      </c>
      <c r="AK58" s="74">
        <f>('INSTRUCTION-2YR'!G58+'RESEARCH 2yr'!G58+'PUBLIC SERVICE 2yr'!G58+'ASptISptSSv 2yr'!G58+'PLANT OPER MAIN 2yr'!G58+'SCHOLAR FELLOW 2yr'!G58+'All Other 2yr'!G58)-G58</f>
        <v>0</v>
      </c>
      <c r="AL58" s="74">
        <f>('INSTRUCTION-2YR'!H58+'RESEARCH 2yr'!H58+'PUBLIC SERVICE 2yr'!H58+'ASptISptSSv 2yr'!H58+'PLANT OPER MAIN 2yr'!H58+'SCHOLAR FELLOW 2yr'!H58+'All Other 2yr'!H58)-H58</f>
        <v>0</v>
      </c>
      <c r="AM58" s="74">
        <f>('INSTRUCTION-2YR'!I58+'RESEARCH 2yr'!I58+'PUBLIC SERVICE 2yr'!I58+'ASptISptSSv 2yr'!I58+'PLANT OPER MAIN 2yr'!I58+'SCHOLAR FELLOW 2yr'!I58+'All Other 2yr'!I58)-I58</f>
        <v>0</v>
      </c>
      <c r="AN58" s="74">
        <f>('INSTRUCTION-2YR'!J58+'RESEARCH 2yr'!J58+'PUBLIC SERVICE 2yr'!J58+'ASptISptSSv 2yr'!J58+'PLANT OPER MAIN 2yr'!J58+'SCHOLAR FELLOW 2yr'!J58+'All Other 2yr'!J58)-J58</f>
        <v>0</v>
      </c>
      <c r="AO58" s="74">
        <f>('INSTRUCTION-2YR'!K58+'RESEARCH 2yr'!K58+'PUBLIC SERVICE 2yr'!K58+'ASptISptSSv 2yr'!K58+'PLANT OPER MAIN 2yr'!K58+'SCHOLAR FELLOW 2yr'!K58+'All Other 2yr'!K58)-K58</f>
        <v>0</v>
      </c>
      <c r="AP58" s="74">
        <f>('INSTRUCTION-2YR'!L58+'RESEARCH 2yr'!L58+'PUBLIC SERVICE 2yr'!L58+'ASptISptSSv 2yr'!L58+'PLANT OPER MAIN 2yr'!L58+'SCHOLAR FELLOW 2yr'!L58+'All Other 2yr'!L58)-L58</f>
        <v>0</v>
      </c>
      <c r="AQ58" s="74">
        <f>('INSTRUCTION-2YR'!M58+'RESEARCH 2yr'!M58+'PUBLIC SERVICE 2yr'!M58+'ASptISptSSv 2yr'!M58+'PLANT OPER MAIN 2yr'!M58+'SCHOLAR FELLOW 2yr'!M58+'All Other 2yr'!M58)-M58</f>
        <v>0</v>
      </c>
      <c r="AR58" s="74">
        <f>('INSTRUCTION-2YR'!N58+'RESEARCH 2yr'!N58+'PUBLIC SERVICE 2yr'!N58+'ASptISptSSv 2yr'!N58+'PLANT OPER MAIN 2yr'!N58+'SCHOLAR FELLOW 2yr'!N58+'All Other 2yr'!N58)-N58</f>
        <v>0</v>
      </c>
      <c r="AS58" s="74">
        <f>('INSTRUCTION-2YR'!O58+'RESEARCH 2yr'!O58+'PUBLIC SERVICE 2yr'!O58+'ASptISptSSv 2yr'!O58+'PLANT OPER MAIN 2yr'!O58+'SCHOLAR FELLOW 2yr'!O58+'All Other 2yr'!O58)-O58</f>
        <v>0</v>
      </c>
      <c r="AT58" s="74">
        <f>('INSTRUCTION-2YR'!P58+'RESEARCH 2yr'!P58+'PUBLIC SERVICE 2yr'!P58+'ASptISptSSv 2yr'!P58+'PLANT OPER MAIN 2yr'!P58+'SCHOLAR FELLOW 2yr'!P58+'All Other 2yr'!P58)-P58</f>
        <v>0</v>
      </c>
      <c r="AU58" s="74">
        <f>('INSTRUCTION-2YR'!Q58+'RESEARCH 2yr'!Q58+'PUBLIC SERVICE 2yr'!Q58+'ASptISptSSv 2yr'!Q58+'PLANT OPER MAIN 2yr'!Q58+'SCHOLAR FELLOW 2yr'!Q58+'All Other 2yr'!Q58)-Q58</f>
        <v>0</v>
      </c>
      <c r="AV58" s="74">
        <f>('INSTRUCTION-2YR'!R58+'RESEARCH 2yr'!R58+'PUBLIC SERVICE 2yr'!R58+'ASptISptSSv 2yr'!R58+'PLANT OPER MAIN 2yr'!R58+'SCHOLAR FELLOW 2yr'!R58+'All Other 2yr'!R58)-R58</f>
        <v>0</v>
      </c>
      <c r="AW58" s="74">
        <f>('INSTRUCTION-2YR'!S58+'RESEARCH 2yr'!S58+'PUBLIC SERVICE 2yr'!S58+'ASptISptSSv 2yr'!S58+'PLANT OPER MAIN 2yr'!S58+'SCHOLAR FELLOW 2yr'!S58+'All Other 2yr'!S58)-S58</f>
        <v>0</v>
      </c>
      <c r="AX58" s="74">
        <f>('INSTRUCTION-2YR'!T58+'RESEARCH 2yr'!T58+'PUBLIC SERVICE 2yr'!T58+'ASptISptSSv 2yr'!T58+'PLANT OPER MAIN 2yr'!T58+'SCHOLAR FELLOW 2yr'!T58+'All Other 2yr'!T58)-T58</f>
        <v>0</v>
      </c>
      <c r="AY58" s="74">
        <f>('INSTRUCTION-2YR'!U58+'RESEARCH 2yr'!U58+'PUBLIC SERVICE 2yr'!U58+'ASptISptSSv 2yr'!U58+'PLANT OPER MAIN 2yr'!U58+'SCHOLAR FELLOW 2yr'!U58+'All Other 2yr'!U58)-U58</f>
        <v>0</v>
      </c>
      <c r="AZ58" s="74">
        <f>('INSTRUCTION-2YR'!V58+'RESEARCH 2yr'!V58+'PUBLIC SERVICE 2yr'!V58+'ASptISptSSv 2yr'!V58+'PLANT OPER MAIN 2yr'!V58+'SCHOLAR FELLOW 2yr'!V58+'All Other 2yr'!V58)-V58</f>
        <v>0</v>
      </c>
      <c r="BA58" s="74">
        <f>('INSTRUCTION-2YR'!W58+'RESEARCH 2yr'!W58+'PUBLIC SERVICE 2yr'!W58+'ASptISptSSv 2yr'!W58+'PLANT OPER MAIN 2yr'!W58+'SCHOLAR FELLOW 2yr'!W58+'All Other 2yr'!W58)-W58</f>
        <v>0</v>
      </c>
      <c r="BB58" s="74">
        <f>('INSTRUCTION-2YR'!X58+'RESEARCH 2yr'!X58+'PUBLIC SERVICE 2yr'!X58+'ASptISptSSv 2yr'!X58+'PLANT OPER MAIN 2yr'!X58+'SCHOLAR FELLOW 2yr'!X58+'All Other 2yr'!X58)-X58</f>
        <v>0</v>
      </c>
      <c r="BC58" s="74">
        <f>('INSTRUCTION-2YR'!Y58+'RESEARCH 2yr'!Y58+'PUBLIC SERVICE 2yr'!Y58+'ASptISptSSv 2yr'!Y58+'PLANT OPER MAIN 2yr'!Y58+'SCHOLAR FELLOW 2yr'!Y58+'All Other 2yr'!Y58)-Y58</f>
        <v>0</v>
      </c>
      <c r="BD58" s="74">
        <f>('INSTRUCTION-2YR'!Z58+'RESEARCH 2yr'!Z58+'PUBLIC SERVICE 2yr'!Z58+'ASptISptSSv 2yr'!Z58+'PLANT OPER MAIN 2yr'!Z58+'SCHOLAR FELLOW 2yr'!Z58+'All Other 2yr'!Z58)-Z58</f>
        <v>0</v>
      </c>
      <c r="BE58" s="74">
        <f>('INSTRUCTION-2YR'!AA58+'RESEARCH 2yr'!AA58+'PUBLIC SERVICE 2yr'!AA58+'ASptISptSSv 2yr'!AA58+'PLANT OPER MAIN 2yr'!AA58+'SCHOLAR FELLOW 2yr'!AA58+'All Other 2yr'!AA58)-AA58</f>
        <v>0</v>
      </c>
      <c r="BF58" s="74">
        <f>('INSTRUCTION-2YR'!AB58+'RESEARCH 2yr'!AB58+'PUBLIC SERVICE 2yr'!AB58+'ASptISptSSv 2yr'!AB58+'PLANT OPER MAIN 2yr'!AB58+'SCHOLAR FELLOW 2yr'!AB58+'All Other 2yr'!AB58)-AB58</f>
        <v>0</v>
      </c>
      <c r="BG58" s="74">
        <f>('INSTRUCTION-2YR'!AC58+'RESEARCH 2yr'!AC58+'PUBLIC SERVICE 2yr'!AC58+'ASptISptSSv 2yr'!AC58+'PLANT OPER MAIN 2yr'!AC58+'SCHOLAR FELLOW 2yr'!AC58+'All Other 2yr'!AC58)-AC58</f>
        <v>0</v>
      </c>
      <c r="BH58" s="74">
        <f>('INSTRUCTION-2YR'!AD58+'RESEARCH 2yr'!AD58+'PUBLIC SERVICE 2yr'!AD58+'ASptISptSSv 2yr'!AD58+'PLANT OPER MAIN 2yr'!AD58+'SCHOLAR FELLOW 2yr'!AD58+'All Other 2yr'!AD58)-AD58</f>
        <v>0</v>
      </c>
      <c r="BI58" s="74">
        <f>('INSTRUCTION-2YR'!AE58+'RESEARCH 2yr'!AE58+'PUBLIC SERVICE 2yr'!AE58+'ASptISptSSv 2yr'!AE58+'PLANT OPER MAIN 2yr'!AE58+'SCHOLAR FELLOW 2yr'!AE58+'All Other 2yr'!AE58)-AE58</f>
        <v>0</v>
      </c>
    </row>
    <row r="59" spans="1:61">
      <c r="A59" s="1" t="s">
        <v>73</v>
      </c>
      <c r="F59" s="41">
        <v>32839.118000000002</v>
      </c>
      <c r="I59" s="1">
        <v>41426.326999999997</v>
      </c>
      <c r="K59" s="1">
        <v>53576.696210000002</v>
      </c>
      <c r="L59" s="1">
        <v>47964.103000000003</v>
      </c>
      <c r="M59" s="1">
        <v>50200.197999999997</v>
      </c>
      <c r="N59" s="1">
        <v>54712.837</v>
      </c>
      <c r="O59" s="1">
        <v>60816.455000000002</v>
      </c>
      <c r="P59" s="1">
        <v>72119.180999999997</v>
      </c>
      <c r="Q59" s="1">
        <v>69680.152000000002</v>
      </c>
      <c r="R59" s="1">
        <v>62786.305</v>
      </c>
      <c r="S59" s="1">
        <v>81381.392999999996</v>
      </c>
      <c r="T59" s="1">
        <v>85361.659</v>
      </c>
      <c r="U59" s="1">
        <v>96982.284</v>
      </c>
      <c r="V59" s="1">
        <v>117613.192</v>
      </c>
      <c r="W59" s="1">
        <v>139143.57199999999</v>
      </c>
      <c r="X59" s="1">
        <v>125057.773</v>
      </c>
      <c r="Y59" s="1">
        <v>118179.626</v>
      </c>
      <c r="Z59" s="1">
        <v>120894.655</v>
      </c>
      <c r="AA59" s="1">
        <v>137384.70499999999</v>
      </c>
      <c r="AB59" s="1">
        <v>146657.796</v>
      </c>
      <c r="AC59" s="1">
        <v>141336.64799999999</v>
      </c>
      <c r="AE59" s="1">
        <v>124030.962</v>
      </c>
      <c r="AF59" s="74">
        <f>('INSTRUCTION-2YR'!B59+'RESEARCH 2yr'!B59+'PUBLIC SERVICE 2yr'!B59+'ASptISptSSv 2yr'!B59+'PLANT OPER MAIN 2yr'!B59+'SCHOLAR FELLOW 2yr'!B59+'All Other 2yr'!B59)-B59</f>
        <v>0</v>
      </c>
      <c r="AG59" s="74">
        <f>('INSTRUCTION-2YR'!C59+'RESEARCH 2yr'!C59+'PUBLIC SERVICE 2yr'!C59+'ASptISptSSv 2yr'!C59+'PLANT OPER MAIN 2yr'!C59+'SCHOLAR FELLOW 2yr'!C59+'All Other 2yr'!C59)-C59</f>
        <v>0</v>
      </c>
      <c r="AH59" s="74">
        <f>('INSTRUCTION-2YR'!D59+'RESEARCH 2yr'!D59+'PUBLIC SERVICE 2yr'!D59+'ASptISptSSv 2yr'!D59+'PLANT OPER MAIN 2yr'!D59+'SCHOLAR FELLOW 2yr'!D59+'All Other 2yr'!D59)-D59</f>
        <v>0</v>
      </c>
      <c r="AI59" s="74">
        <f>('INSTRUCTION-2YR'!E59+'RESEARCH 2yr'!E59+'PUBLIC SERVICE 2yr'!E59+'ASptISptSSv 2yr'!E59+'PLANT OPER MAIN 2yr'!E59+'SCHOLAR FELLOW 2yr'!E59+'All Other 2yr'!E59)-E59</f>
        <v>0</v>
      </c>
      <c r="AJ59" s="74">
        <f>('INSTRUCTION-2YR'!F59+'RESEARCH 2yr'!F59+'PUBLIC SERVICE 2yr'!F59+'ASptISptSSv 2yr'!F59+'PLANT OPER MAIN 2yr'!F59+'SCHOLAR FELLOW 2yr'!F59+'All Other 2yr'!F59)-F59</f>
        <v>0</v>
      </c>
      <c r="AK59" s="74">
        <f>('INSTRUCTION-2YR'!G59+'RESEARCH 2yr'!G59+'PUBLIC SERVICE 2yr'!G59+'ASptISptSSv 2yr'!G59+'PLANT OPER MAIN 2yr'!G59+'SCHOLAR FELLOW 2yr'!G59+'All Other 2yr'!G59)-G59</f>
        <v>0</v>
      </c>
      <c r="AL59" s="74">
        <f>('INSTRUCTION-2YR'!H59+'RESEARCH 2yr'!H59+'PUBLIC SERVICE 2yr'!H59+'ASptISptSSv 2yr'!H59+'PLANT OPER MAIN 2yr'!H59+'SCHOLAR FELLOW 2yr'!H59+'All Other 2yr'!H59)-H59</f>
        <v>0</v>
      </c>
      <c r="AM59" s="74">
        <f>('INSTRUCTION-2YR'!I59+'RESEARCH 2yr'!I59+'PUBLIC SERVICE 2yr'!I59+'ASptISptSSv 2yr'!I59+'PLANT OPER MAIN 2yr'!I59+'SCHOLAR FELLOW 2yr'!I59+'All Other 2yr'!I59)-I59</f>
        <v>0</v>
      </c>
      <c r="AN59" s="74">
        <f>('INSTRUCTION-2YR'!J59+'RESEARCH 2yr'!J59+'PUBLIC SERVICE 2yr'!J59+'ASptISptSSv 2yr'!J59+'PLANT OPER MAIN 2yr'!J59+'SCHOLAR FELLOW 2yr'!J59+'All Other 2yr'!J59)-J59</f>
        <v>0</v>
      </c>
      <c r="AO59" s="74">
        <f>('INSTRUCTION-2YR'!K59+'RESEARCH 2yr'!K59+'PUBLIC SERVICE 2yr'!K59+'ASptISptSSv 2yr'!K59+'PLANT OPER MAIN 2yr'!K59+'SCHOLAR FELLOW 2yr'!K59+'All Other 2yr'!K59)-K59</f>
        <v>0</v>
      </c>
      <c r="AP59" s="74">
        <f>('INSTRUCTION-2YR'!L59+'RESEARCH 2yr'!L59+'PUBLIC SERVICE 2yr'!L59+'ASptISptSSv 2yr'!L59+'PLANT OPER MAIN 2yr'!L59+'SCHOLAR FELLOW 2yr'!L59+'All Other 2yr'!L59)-L59</f>
        <v>0</v>
      </c>
      <c r="AQ59" s="74">
        <f>('INSTRUCTION-2YR'!M59+'RESEARCH 2yr'!M59+'PUBLIC SERVICE 2yr'!M59+'ASptISptSSv 2yr'!M59+'PLANT OPER MAIN 2yr'!M59+'SCHOLAR FELLOW 2yr'!M59+'All Other 2yr'!M59)-M59</f>
        <v>0</v>
      </c>
      <c r="AR59" s="74">
        <f>('INSTRUCTION-2YR'!N59+'RESEARCH 2yr'!N59+'PUBLIC SERVICE 2yr'!N59+'ASptISptSSv 2yr'!N59+'PLANT OPER MAIN 2yr'!N59+'SCHOLAR FELLOW 2yr'!N59+'All Other 2yr'!N59)-N59</f>
        <v>0</v>
      </c>
      <c r="AS59" s="74">
        <f>('INSTRUCTION-2YR'!O59+'RESEARCH 2yr'!O59+'PUBLIC SERVICE 2yr'!O59+'ASptISptSSv 2yr'!O59+'PLANT OPER MAIN 2yr'!O59+'SCHOLAR FELLOW 2yr'!O59+'All Other 2yr'!O59)-O59</f>
        <v>0</v>
      </c>
      <c r="AT59" s="74">
        <f>('INSTRUCTION-2YR'!P59+'RESEARCH 2yr'!P59+'PUBLIC SERVICE 2yr'!P59+'ASptISptSSv 2yr'!P59+'PLANT OPER MAIN 2yr'!P59+'SCHOLAR FELLOW 2yr'!P59+'All Other 2yr'!P59)-P59</f>
        <v>0</v>
      </c>
      <c r="AU59" s="74">
        <f>('INSTRUCTION-2YR'!Q59+'RESEARCH 2yr'!Q59+'PUBLIC SERVICE 2yr'!Q59+'ASptISptSSv 2yr'!Q59+'PLANT OPER MAIN 2yr'!Q59+'SCHOLAR FELLOW 2yr'!Q59+'All Other 2yr'!Q59)-Q59</f>
        <v>0</v>
      </c>
      <c r="AV59" s="74">
        <f>('INSTRUCTION-2YR'!R59+'RESEARCH 2yr'!R59+'PUBLIC SERVICE 2yr'!R59+'ASptISptSSv 2yr'!R59+'PLANT OPER MAIN 2yr'!R59+'SCHOLAR FELLOW 2yr'!R59+'All Other 2yr'!R59)-R59</f>
        <v>0</v>
      </c>
      <c r="AW59" s="74">
        <f>('INSTRUCTION-2YR'!S59+'RESEARCH 2yr'!S59+'PUBLIC SERVICE 2yr'!S59+'ASptISptSSv 2yr'!S59+'PLANT OPER MAIN 2yr'!S59+'SCHOLAR FELLOW 2yr'!S59+'All Other 2yr'!S59)-S59</f>
        <v>0</v>
      </c>
      <c r="AX59" s="74">
        <f>('INSTRUCTION-2YR'!T59+'RESEARCH 2yr'!T59+'PUBLIC SERVICE 2yr'!T59+'ASptISptSSv 2yr'!T59+'PLANT OPER MAIN 2yr'!T59+'SCHOLAR FELLOW 2yr'!T59+'All Other 2yr'!T59)-T59</f>
        <v>0</v>
      </c>
      <c r="AY59" s="74">
        <f>('INSTRUCTION-2YR'!U59+'RESEARCH 2yr'!U59+'PUBLIC SERVICE 2yr'!U59+'ASptISptSSv 2yr'!U59+'PLANT OPER MAIN 2yr'!U59+'SCHOLAR FELLOW 2yr'!U59+'All Other 2yr'!U59)-U59</f>
        <v>0</v>
      </c>
      <c r="AZ59" s="74">
        <f>('INSTRUCTION-2YR'!V59+'RESEARCH 2yr'!V59+'PUBLIC SERVICE 2yr'!V59+'ASptISptSSv 2yr'!V59+'PLANT OPER MAIN 2yr'!V59+'SCHOLAR FELLOW 2yr'!V59+'All Other 2yr'!V59)-V59</f>
        <v>0</v>
      </c>
      <c r="BA59" s="74">
        <f>('INSTRUCTION-2YR'!W59+'RESEARCH 2yr'!W59+'PUBLIC SERVICE 2yr'!W59+'ASptISptSSv 2yr'!W59+'PLANT OPER MAIN 2yr'!W59+'SCHOLAR FELLOW 2yr'!W59+'All Other 2yr'!W59)-W59</f>
        <v>0</v>
      </c>
      <c r="BB59" s="74">
        <f>('INSTRUCTION-2YR'!X59+'RESEARCH 2yr'!X59+'PUBLIC SERVICE 2yr'!X59+'ASptISptSSv 2yr'!X59+'PLANT OPER MAIN 2yr'!X59+'SCHOLAR FELLOW 2yr'!X59+'All Other 2yr'!X59)-X59</f>
        <v>0</v>
      </c>
      <c r="BC59" s="74">
        <f>('INSTRUCTION-2YR'!Y59+'RESEARCH 2yr'!Y59+'PUBLIC SERVICE 2yr'!Y59+'ASptISptSSv 2yr'!Y59+'PLANT OPER MAIN 2yr'!Y59+'SCHOLAR FELLOW 2yr'!Y59+'All Other 2yr'!Y59)-Y59</f>
        <v>0</v>
      </c>
      <c r="BD59" s="74">
        <f>('INSTRUCTION-2YR'!Z59+'RESEARCH 2yr'!Z59+'PUBLIC SERVICE 2yr'!Z59+'ASptISptSSv 2yr'!Z59+'PLANT OPER MAIN 2yr'!Z59+'SCHOLAR FELLOW 2yr'!Z59+'All Other 2yr'!Z59)-Z59</f>
        <v>0</v>
      </c>
      <c r="BE59" s="74">
        <f>('INSTRUCTION-2YR'!AA59+'RESEARCH 2yr'!AA59+'PUBLIC SERVICE 2yr'!AA59+'ASptISptSSv 2yr'!AA59+'PLANT OPER MAIN 2yr'!AA59+'SCHOLAR FELLOW 2yr'!AA59+'All Other 2yr'!AA59)-AA59</f>
        <v>0</v>
      </c>
      <c r="BF59" s="74">
        <f>('INSTRUCTION-2YR'!AB59+'RESEARCH 2yr'!AB59+'PUBLIC SERVICE 2yr'!AB59+'ASptISptSSv 2yr'!AB59+'PLANT OPER MAIN 2yr'!AB59+'SCHOLAR FELLOW 2yr'!AB59+'All Other 2yr'!AB59)-AB59</f>
        <v>0</v>
      </c>
      <c r="BG59" s="74">
        <f>('INSTRUCTION-2YR'!AC59+'RESEARCH 2yr'!AC59+'PUBLIC SERVICE 2yr'!AC59+'ASptISptSSv 2yr'!AC59+'PLANT OPER MAIN 2yr'!AC59+'SCHOLAR FELLOW 2yr'!AC59+'All Other 2yr'!AC59)-AC59</f>
        <v>0</v>
      </c>
      <c r="BH59" s="74">
        <f>('INSTRUCTION-2YR'!AD59+'RESEARCH 2yr'!AD59+'PUBLIC SERVICE 2yr'!AD59+'ASptISptSSv 2yr'!AD59+'PLANT OPER MAIN 2yr'!AD59+'SCHOLAR FELLOW 2yr'!AD59+'All Other 2yr'!AD59)-AD59</f>
        <v>0</v>
      </c>
      <c r="BI59" s="74">
        <f>('INSTRUCTION-2YR'!AE59+'RESEARCH 2yr'!AE59+'PUBLIC SERVICE 2yr'!AE59+'ASptISptSSv 2yr'!AE59+'PLANT OPER MAIN 2yr'!AE59+'SCHOLAR FELLOW 2yr'!AE59+'All Other 2yr'!AE59)-AE59</f>
        <v>0</v>
      </c>
    </row>
    <row r="60" spans="1:61">
      <c r="A60" s="1" t="s">
        <v>74</v>
      </c>
      <c r="F60" s="41">
        <v>481253.58799999999</v>
      </c>
      <c r="I60" s="1">
        <v>566233.07900000003</v>
      </c>
      <c r="K60" s="1">
        <v>604289.58400000003</v>
      </c>
      <c r="L60" s="1">
        <v>654023.53200000001</v>
      </c>
      <c r="M60" s="1">
        <v>704596.86499999999</v>
      </c>
      <c r="N60" s="1">
        <v>809926.62</v>
      </c>
      <c r="O60" s="1">
        <v>871973.70600000001</v>
      </c>
      <c r="P60" s="1">
        <v>950687.06499999994</v>
      </c>
      <c r="Q60" s="1">
        <v>985119.255</v>
      </c>
      <c r="R60" s="1">
        <v>1026873.561</v>
      </c>
      <c r="S60" s="1">
        <v>1060504.0859999999</v>
      </c>
      <c r="T60" s="1">
        <v>1126550.419</v>
      </c>
      <c r="U60" s="1">
        <v>1221719.8799999999</v>
      </c>
      <c r="V60" s="1">
        <v>1442932.247</v>
      </c>
      <c r="W60" s="1">
        <v>1498714.199</v>
      </c>
      <c r="X60" s="1">
        <v>1517302.2150000001</v>
      </c>
      <c r="Y60" s="1">
        <v>1516502.334</v>
      </c>
      <c r="Z60" s="1">
        <v>1513487.433</v>
      </c>
      <c r="AA60" s="1">
        <v>1502730.399</v>
      </c>
      <c r="AB60" s="1">
        <v>1488093.4010000001</v>
      </c>
      <c r="AC60" s="1">
        <v>1478742.5619999999</v>
      </c>
      <c r="AE60" s="1">
        <v>1504253.9350000001</v>
      </c>
      <c r="AF60" s="74">
        <f>('INSTRUCTION-2YR'!B60+'RESEARCH 2yr'!B60+'PUBLIC SERVICE 2yr'!B60+'ASptISptSSv 2yr'!B60+'PLANT OPER MAIN 2yr'!B60+'SCHOLAR FELLOW 2yr'!B60+'All Other 2yr'!B60)-B60</f>
        <v>0</v>
      </c>
      <c r="AG60" s="74">
        <f>('INSTRUCTION-2YR'!C60+'RESEARCH 2yr'!C60+'PUBLIC SERVICE 2yr'!C60+'ASptISptSSv 2yr'!C60+'PLANT OPER MAIN 2yr'!C60+'SCHOLAR FELLOW 2yr'!C60+'All Other 2yr'!C60)-C60</f>
        <v>0</v>
      </c>
      <c r="AH60" s="74">
        <f>('INSTRUCTION-2YR'!D60+'RESEARCH 2yr'!D60+'PUBLIC SERVICE 2yr'!D60+'ASptISptSSv 2yr'!D60+'PLANT OPER MAIN 2yr'!D60+'SCHOLAR FELLOW 2yr'!D60+'All Other 2yr'!D60)-D60</f>
        <v>0</v>
      </c>
      <c r="AI60" s="74">
        <f>('INSTRUCTION-2YR'!E60+'RESEARCH 2yr'!E60+'PUBLIC SERVICE 2yr'!E60+'ASptISptSSv 2yr'!E60+'PLANT OPER MAIN 2yr'!E60+'SCHOLAR FELLOW 2yr'!E60+'All Other 2yr'!E60)-E60</f>
        <v>0</v>
      </c>
      <c r="AJ60" s="74">
        <f>('INSTRUCTION-2YR'!F60+'RESEARCH 2yr'!F60+'PUBLIC SERVICE 2yr'!F60+'ASptISptSSv 2yr'!F60+'PLANT OPER MAIN 2yr'!F60+'SCHOLAR FELLOW 2yr'!F60+'All Other 2yr'!F60)-F60</f>
        <v>0</v>
      </c>
      <c r="AK60" s="74">
        <f>('INSTRUCTION-2YR'!G60+'RESEARCH 2yr'!G60+'PUBLIC SERVICE 2yr'!G60+'ASptISptSSv 2yr'!G60+'PLANT OPER MAIN 2yr'!G60+'SCHOLAR FELLOW 2yr'!G60+'All Other 2yr'!G60)-G60</f>
        <v>0</v>
      </c>
      <c r="AL60" s="74">
        <f>('INSTRUCTION-2YR'!H60+'RESEARCH 2yr'!H60+'PUBLIC SERVICE 2yr'!H60+'ASptISptSSv 2yr'!H60+'PLANT OPER MAIN 2yr'!H60+'SCHOLAR FELLOW 2yr'!H60+'All Other 2yr'!H60)-H60</f>
        <v>0</v>
      </c>
      <c r="AM60" s="74">
        <f>('INSTRUCTION-2YR'!I60+'RESEARCH 2yr'!I60+'PUBLIC SERVICE 2yr'!I60+'ASptISptSSv 2yr'!I60+'PLANT OPER MAIN 2yr'!I60+'SCHOLAR FELLOW 2yr'!I60+'All Other 2yr'!I60)-I60</f>
        <v>0</v>
      </c>
      <c r="AN60" s="74">
        <f>('INSTRUCTION-2YR'!J60+'RESEARCH 2yr'!J60+'PUBLIC SERVICE 2yr'!J60+'ASptISptSSv 2yr'!J60+'PLANT OPER MAIN 2yr'!J60+'SCHOLAR FELLOW 2yr'!J60+'All Other 2yr'!J60)-J60</f>
        <v>0</v>
      </c>
      <c r="AO60" s="74">
        <f>('INSTRUCTION-2YR'!K60+'RESEARCH 2yr'!K60+'PUBLIC SERVICE 2yr'!K60+'ASptISptSSv 2yr'!K60+'PLANT OPER MAIN 2yr'!K60+'SCHOLAR FELLOW 2yr'!K60+'All Other 2yr'!K60)-K60</f>
        <v>0</v>
      </c>
      <c r="AP60" s="74">
        <f>('INSTRUCTION-2YR'!L60+'RESEARCH 2yr'!L60+'PUBLIC SERVICE 2yr'!L60+'ASptISptSSv 2yr'!L60+'PLANT OPER MAIN 2yr'!L60+'SCHOLAR FELLOW 2yr'!L60+'All Other 2yr'!L60)-L60</f>
        <v>0</v>
      </c>
      <c r="AQ60" s="74">
        <f>('INSTRUCTION-2YR'!M60+'RESEARCH 2yr'!M60+'PUBLIC SERVICE 2yr'!M60+'ASptISptSSv 2yr'!M60+'PLANT OPER MAIN 2yr'!M60+'SCHOLAR FELLOW 2yr'!M60+'All Other 2yr'!M60)-M60</f>
        <v>0</v>
      </c>
      <c r="AR60" s="74">
        <f>('INSTRUCTION-2YR'!N60+'RESEARCH 2yr'!N60+'PUBLIC SERVICE 2yr'!N60+'ASptISptSSv 2yr'!N60+'PLANT OPER MAIN 2yr'!N60+'SCHOLAR FELLOW 2yr'!N60+'All Other 2yr'!N60)-N60</f>
        <v>0</v>
      </c>
      <c r="AS60" s="74">
        <f>('INSTRUCTION-2YR'!O60+'RESEARCH 2yr'!O60+'PUBLIC SERVICE 2yr'!O60+'ASptISptSSv 2yr'!O60+'PLANT OPER MAIN 2yr'!O60+'SCHOLAR FELLOW 2yr'!O60+'All Other 2yr'!O60)-O60</f>
        <v>0</v>
      </c>
      <c r="AT60" s="74">
        <f>('INSTRUCTION-2YR'!P60+'RESEARCH 2yr'!P60+'PUBLIC SERVICE 2yr'!P60+'ASptISptSSv 2yr'!P60+'PLANT OPER MAIN 2yr'!P60+'SCHOLAR FELLOW 2yr'!P60+'All Other 2yr'!P60)-P60</f>
        <v>0</v>
      </c>
      <c r="AU60" s="74">
        <f>('INSTRUCTION-2YR'!Q60+'RESEARCH 2yr'!Q60+'PUBLIC SERVICE 2yr'!Q60+'ASptISptSSv 2yr'!Q60+'PLANT OPER MAIN 2yr'!Q60+'SCHOLAR FELLOW 2yr'!Q60+'All Other 2yr'!Q60)-Q60</f>
        <v>0</v>
      </c>
      <c r="AV60" s="74">
        <f>('INSTRUCTION-2YR'!R60+'RESEARCH 2yr'!R60+'PUBLIC SERVICE 2yr'!R60+'ASptISptSSv 2yr'!R60+'PLANT OPER MAIN 2yr'!R60+'SCHOLAR FELLOW 2yr'!R60+'All Other 2yr'!R60)-R60</f>
        <v>0</v>
      </c>
      <c r="AW60" s="74">
        <f>('INSTRUCTION-2YR'!S60+'RESEARCH 2yr'!S60+'PUBLIC SERVICE 2yr'!S60+'ASptISptSSv 2yr'!S60+'PLANT OPER MAIN 2yr'!S60+'SCHOLAR FELLOW 2yr'!S60+'All Other 2yr'!S60)-S60</f>
        <v>0</v>
      </c>
      <c r="AX60" s="74">
        <f>('INSTRUCTION-2YR'!T60+'RESEARCH 2yr'!T60+'PUBLIC SERVICE 2yr'!T60+'ASptISptSSv 2yr'!T60+'PLANT OPER MAIN 2yr'!T60+'SCHOLAR FELLOW 2yr'!T60+'All Other 2yr'!T60)-T60</f>
        <v>0</v>
      </c>
      <c r="AY60" s="74">
        <f>('INSTRUCTION-2YR'!U60+'RESEARCH 2yr'!U60+'PUBLIC SERVICE 2yr'!U60+'ASptISptSSv 2yr'!U60+'PLANT OPER MAIN 2yr'!U60+'SCHOLAR FELLOW 2yr'!U60+'All Other 2yr'!U60)-U60</f>
        <v>0</v>
      </c>
      <c r="AZ60" s="74">
        <f>('INSTRUCTION-2YR'!V60+'RESEARCH 2yr'!V60+'PUBLIC SERVICE 2yr'!V60+'ASptISptSSv 2yr'!V60+'PLANT OPER MAIN 2yr'!V60+'SCHOLAR FELLOW 2yr'!V60+'All Other 2yr'!V60)-V60</f>
        <v>0</v>
      </c>
      <c r="BA60" s="74">
        <f>('INSTRUCTION-2YR'!W60+'RESEARCH 2yr'!W60+'PUBLIC SERVICE 2yr'!W60+'ASptISptSSv 2yr'!W60+'PLANT OPER MAIN 2yr'!W60+'SCHOLAR FELLOW 2yr'!W60+'All Other 2yr'!W60)-W60</f>
        <v>0</v>
      </c>
      <c r="BB60" s="74">
        <f>('INSTRUCTION-2YR'!X60+'RESEARCH 2yr'!X60+'PUBLIC SERVICE 2yr'!X60+'ASptISptSSv 2yr'!X60+'PLANT OPER MAIN 2yr'!X60+'SCHOLAR FELLOW 2yr'!X60+'All Other 2yr'!X60)-X60</f>
        <v>0</v>
      </c>
      <c r="BC60" s="74">
        <f>('INSTRUCTION-2YR'!Y60+'RESEARCH 2yr'!Y60+'PUBLIC SERVICE 2yr'!Y60+'ASptISptSSv 2yr'!Y60+'PLANT OPER MAIN 2yr'!Y60+'SCHOLAR FELLOW 2yr'!Y60+'All Other 2yr'!Y60)-Y60</f>
        <v>0</v>
      </c>
      <c r="BD60" s="74">
        <f>('INSTRUCTION-2YR'!Z60+'RESEARCH 2yr'!Z60+'PUBLIC SERVICE 2yr'!Z60+'ASptISptSSv 2yr'!Z60+'PLANT OPER MAIN 2yr'!Z60+'SCHOLAR FELLOW 2yr'!Z60+'All Other 2yr'!Z60)-Z60</f>
        <v>0</v>
      </c>
      <c r="BE60" s="74">
        <f>('INSTRUCTION-2YR'!AA60+'RESEARCH 2yr'!AA60+'PUBLIC SERVICE 2yr'!AA60+'ASptISptSSv 2yr'!AA60+'PLANT OPER MAIN 2yr'!AA60+'SCHOLAR FELLOW 2yr'!AA60+'All Other 2yr'!AA60)-AA60</f>
        <v>0</v>
      </c>
      <c r="BF60" s="74">
        <f>('INSTRUCTION-2YR'!AB60+'RESEARCH 2yr'!AB60+'PUBLIC SERVICE 2yr'!AB60+'ASptISptSSv 2yr'!AB60+'PLANT OPER MAIN 2yr'!AB60+'SCHOLAR FELLOW 2yr'!AB60+'All Other 2yr'!AB60)-AB60</f>
        <v>0</v>
      </c>
      <c r="BG60" s="74">
        <f>('INSTRUCTION-2YR'!AC60+'RESEARCH 2yr'!AC60+'PUBLIC SERVICE 2yr'!AC60+'ASptISptSSv 2yr'!AC60+'PLANT OPER MAIN 2yr'!AC60+'SCHOLAR FELLOW 2yr'!AC60+'All Other 2yr'!AC60)-AC60</f>
        <v>0</v>
      </c>
      <c r="BH60" s="74">
        <f>('INSTRUCTION-2YR'!AD60+'RESEARCH 2yr'!AD60+'PUBLIC SERVICE 2yr'!AD60+'ASptISptSSv 2yr'!AD60+'PLANT OPER MAIN 2yr'!AD60+'SCHOLAR FELLOW 2yr'!AD60+'All Other 2yr'!AD60)-AD60</f>
        <v>0</v>
      </c>
      <c r="BI60" s="74">
        <f>('INSTRUCTION-2YR'!AE60+'RESEARCH 2yr'!AE60+'PUBLIC SERVICE 2yr'!AE60+'ASptISptSSv 2yr'!AE60+'PLANT OPER MAIN 2yr'!AE60+'SCHOLAR FELLOW 2yr'!AE60+'All Other 2yr'!AE60)-AE60</f>
        <v>0</v>
      </c>
    </row>
    <row r="61" spans="1:61">
      <c r="A61" s="1" t="s">
        <v>75</v>
      </c>
      <c r="F61" s="41">
        <v>1128284.598</v>
      </c>
      <c r="I61" s="1">
        <v>1392945.8230000001</v>
      </c>
      <c r="K61" s="1">
        <v>1505508.537</v>
      </c>
      <c r="L61" s="1">
        <v>1429595.6310000001</v>
      </c>
      <c r="M61" s="1">
        <v>1718283.1869999999</v>
      </c>
      <c r="N61" s="1">
        <v>1935308.058</v>
      </c>
      <c r="O61" s="1">
        <v>2077683.537</v>
      </c>
      <c r="P61" s="1">
        <v>2222238.86</v>
      </c>
      <c r="Q61" s="1">
        <v>2342920.4350000001</v>
      </c>
      <c r="R61" s="1">
        <v>2418481.6460000002</v>
      </c>
      <c r="S61" s="1">
        <v>2849189.781</v>
      </c>
      <c r="T61" s="1">
        <v>2764970.787</v>
      </c>
      <c r="U61" s="1">
        <v>3023039.5729999999</v>
      </c>
      <c r="V61" s="1">
        <v>3374192.824</v>
      </c>
      <c r="W61" s="1">
        <v>3557534.2340000002</v>
      </c>
      <c r="X61" s="1">
        <v>3678119.55</v>
      </c>
      <c r="Y61" s="1">
        <v>3815971.639</v>
      </c>
      <c r="Z61" s="1">
        <v>3973049.43</v>
      </c>
      <c r="AA61" s="1">
        <v>4040249.9720000001</v>
      </c>
      <c r="AB61" s="1">
        <v>4082321.1549999998</v>
      </c>
      <c r="AC61" s="1">
        <v>4038225.898</v>
      </c>
      <c r="AE61" s="1">
        <v>3989216.6510000001</v>
      </c>
      <c r="AF61" s="74">
        <f>('INSTRUCTION-2YR'!B61+'RESEARCH 2yr'!B61+'PUBLIC SERVICE 2yr'!B61+'ASptISptSSv 2yr'!B61+'PLANT OPER MAIN 2yr'!B61+'SCHOLAR FELLOW 2yr'!B61+'All Other 2yr'!B61)-B61</f>
        <v>0</v>
      </c>
      <c r="AG61" s="74">
        <f>('INSTRUCTION-2YR'!C61+'RESEARCH 2yr'!C61+'PUBLIC SERVICE 2yr'!C61+'ASptISptSSv 2yr'!C61+'PLANT OPER MAIN 2yr'!C61+'SCHOLAR FELLOW 2yr'!C61+'All Other 2yr'!C61)-C61</f>
        <v>0</v>
      </c>
      <c r="AH61" s="74">
        <f>('INSTRUCTION-2YR'!D61+'RESEARCH 2yr'!D61+'PUBLIC SERVICE 2yr'!D61+'ASptISptSSv 2yr'!D61+'PLANT OPER MAIN 2yr'!D61+'SCHOLAR FELLOW 2yr'!D61+'All Other 2yr'!D61)-D61</f>
        <v>0</v>
      </c>
      <c r="AI61" s="74">
        <f>('INSTRUCTION-2YR'!E61+'RESEARCH 2yr'!E61+'PUBLIC SERVICE 2yr'!E61+'ASptISptSSv 2yr'!E61+'PLANT OPER MAIN 2yr'!E61+'SCHOLAR FELLOW 2yr'!E61+'All Other 2yr'!E61)-E61</f>
        <v>0</v>
      </c>
      <c r="AJ61" s="74">
        <f>('INSTRUCTION-2YR'!F61+'RESEARCH 2yr'!F61+'PUBLIC SERVICE 2yr'!F61+'ASptISptSSv 2yr'!F61+'PLANT OPER MAIN 2yr'!F61+'SCHOLAR FELLOW 2yr'!F61+'All Other 2yr'!F61)-F61</f>
        <v>0</v>
      </c>
      <c r="AK61" s="74">
        <f>('INSTRUCTION-2YR'!G61+'RESEARCH 2yr'!G61+'PUBLIC SERVICE 2yr'!G61+'ASptISptSSv 2yr'!G61+'PLANT OPER MAIN 2yr'!G61+'SCHOLAR FELLOW 2yr'!G61+'All Other 2yr'!G61)-G61</f>
        <v>0</v>
      </c>
      <c r="AL61" s="74">
        <f>('INSTRUCTION-2YR'!H61+'RESEARCH 2yr'!H61+'PUBLIC SERVICE 2yr'!H61+'ASptISptSSv 2yr'!H61+'PLANT OPER MAIN 2yr'!H61+'SCHOLAR FELLOW 2yr'!H61+'All Other 2yr'!H61)-H61</f>
        <v>0</v>
      </c>
      <c r="AM61" s="74">
        <f>('INSTRUCTION-2YR'!I61+'RESEARCH 2yr'!I61+'PUBLIC SERVICE 2yr'!I61+'ASptISptSSv 2yr'!I61+'PLANT OPER MAIN 2yr'!I61+'SCHOLAR FELLOW 2yr'!I61+'All Other 2yr'!I61)-I61</f>
        <v>0</v>
      </c>
      <c r="AN61" s="74">
        <f>('INSTRUCTION-2YR'!J61+'RESEARCH 2yr'!J61+'PUBLIC SERVICE 2yr'!J61+'ASptISptSSv 2yr'!J61+'PLANT OPER MAIN 2yr'!J61+'SCHOLAR FELLOW 2yr'!J61+'All Other 2yr'!J61)-J61</f>
        <v>0</v>
      </c>
      <c r="AO61" s="74">
        <f>('INSTRUCTION-2YR'!K61+'RESEARCH 2yr'!K61+'PUBLIC SERVICE 2yr'!K61+'ASptISptSSv 2yr'!K61+'PLANT OPER MAIN 2yr'!K61+'SCHOLAR FELLOW 2yr'!K61+'All Other 2yr'!K61)-K61</f>
        <v>0</v>
      </c>
      <c r="AP61" s="74">
        <f>('INSTRUCTION-2YR'!L61+'RESEARCH 2yr'!L61+'PUBLIC SERVICE 2yr'!L61+'ASptISptSSv 2yr'!L61+'PLANT OPER MAIN 2yr'!L61+'SCHOLAR FELLOW 2yr'!L61+'All Other 2yr'!L61)-L61</f>
        <v>0</v>
      </c>
      <c r="AQ61" s="74">
        <f>('INSTRUCTION-2YR'!M61+'RESEARCH 2yr'!M61+'PUBLIC SERVICE 2yr'!M61+'ASptISptSSv 2yr'!M61+'PLANT OPER MAIN 2yr'!M61+'SCHOLAR FELLOW 2yr'!M61+'All Other 2yr'!M61)-M61</f>
        <v>0</v>
      </c>
      <c r="AR61" s="74">
        <f>('INSTRUCTION-2YR'!N61+'RESEARCH 2yr'!N61+'PUBLIC SERVICE 2yr'!N61+'ASptISptSSv 2yr'!N61+'PLANT OPER MAIN 2yr'!N61+'SCHOLAR FELLOW 2yr'!N61+'All Other 2yr'!N61)-N61</f>
        <v>0</v>
      </c>
      <c r="AS61" s="74">
        <f>('INSTRUCTION-2YR'!O61+'RESEARCH 2yr'!O61+'PUBLIC SERVICE 2yr'!O61+'ASptISptSSv 2yr'!O61+'PLANT OPER MAIN 2yr'!O61+'SCHOLAR FELLOW 2yr'!O61+'All Other 2yr'!O61)-O61</f>
        <v>0</v>
      </c>
      <c r="AT61" s="74">
        <f>('INSTRUCTION-2YR'!P61+'RESEARCH 2yr'!P61+'PUBLIC SERVICE 2yr'!P61+'ASptISptSSv 2yr'!P61+'PLANT OPER MAIN 2yr'!P61+'SCHOLAR FELLOW 2yr'!P61+'All Other 2yr'!P61)-P61</f>
        <v>0</v>
      </c>
      <c r="AU61" s="74">
        <f>('INSTRUCTION-2YR'!Q61+'RESEARCH 2yr'!Q61+'PUBLIC SERVICE 2yr'!Q61+'ASptISptSSv 2yr'!Q61+'PLANT OPER MAIN 2yr'!Q61+'SCHOLAR FELLOW 2yr'!Q61+'All Other 2yr'!Q61)-Q61</f>
        <v>0</v>
      </c>
      <c r="AV61" s="74">
        <f>('INSTRUCTION-2YR'!R61+'RESEARCH 2yr'!R61+'PUBLIC SERVICE 2yr'!R61+'ASptISptSSv 2yr'!R61+'PLANT OPER MAIN 2yr'!R61+'SCHOLAR FELLOW 2yr'!R61+'All Other 2yr'!R61)-R61</f>
        <v>0</v>
      </c>
      <c r="AW61" s="74">
        <f>('INSTRUCTION-2YR'!S61+'RESEARCH 2yr'!S61+'PUBLIC SERVICE 2yr'!S61+'ASptISptSSv 2yr'!S61+'PLANT OPER MAIN 2yr'!S61+'SCHOLAR FELLOW 2yr'!S61+'All Other 2yr'!S61)-S61</f>
        <v>0</v>
      </c>
      <c r="AX61" s="74">
        <f>('INSTRUCTION-2YR'!T61+'RESEARCH 2yr'!T61+'PUBLIC SERVICE 2yr'!T61+'ASptISptSSv 2yr'!T61+'PLANT OPER MAIN 2yr'!T61+'SCHOLAR FELLOW 2yr'!T61+'All Other 2yr'!T61)-T61</f>
        <v>0</v>
      </c>
      <c r="AY61" s="74">
        <f>('INSTRUCTION-2YR'!U61+'RESEARCH 2yr'!U61+'PUBLIC SERVICE 2yr'!U61+'ASptISptSSv 2yr'!U61+'PLANT OPER MAIN 2yr'!U61+'SCHOLAR FELLOW 2yr'!U61+'All Other 2yr'!U61)-U61</f>
        <v>0</v>
      </c>
      <c r="AZ61" s="74">
        <f>('INSTRUCTION-2YR'!V61+'RESEARCH 2yr'!V61+'PUBLIC SERVICE 2yr'!V61+'ASptISptSSv 2yr'!V61+'PLANT OPER MAIN 2yr'!V61+'SCHOLAR FELLOW 2yr'!V61+'All Other 2yr'!V61)-V61</f>
        <v>0</v>
      </c>
      <c r="BA61" s="74">
        <f>('INSTRUCTION-2YR'!W61+'RESEARCH 2yr'!W61+'PUBLIC SERVICE 2yr'!W61+'ASptISptSSv 2yr'!W61+'PLANT OPER MAIN 2yr'!W61+'SCHOLAR FELLOW 2yr'!W61+'All Other 2yr'!W61)-W61</f>
        <v>0</v>
      </c>
      <c r="BB61" s="74">
        <f>('INSTRUCTION-2YR'!X61+'RESEARCH 2yr'!X61+'PUBLIC SERVICE 2yr'!X61+'ASptISptSSv 2yr'!X61+'PLANT OPER MAIN 2yr'!X61+'SCHOLAR FELLOW 2yr'!X61+'All Other 2yr'!X61)-X61</f>
        <v>0</v>
      </c>
      <c r="BC61" s="74">
        <f>('INSTRUCTION-2YR'!Y61+'RESEARCH 2yr'!Y61+'PUBLIC SERVICE 2yr'!Y61+'ASptISptSSv 2yr'!Y61+'PLANT OPER MAIN 2yr'!Y61+'SCHOLAR FELLOW 2yr'!Y61+'All Other 2yr'!Y61)-Y61</f>
        <v>0</v>
      </c>
      <c r="BD61" s="74">
        <f>('INSTRUCTION-2YR'!Z61+'RESEARCH 2yr'!Z61+'PUBLIC SERVICE 2yr'!Z61+'ASptISptSSv 2yr'!Z61+'PLANT OPER MAIN 2yr'!Z61+'SCHOLAR FELLOW 2yr'!Z61+'All Other 2yr'!Z61)-Z61</f>
        <v>0</v>
      </c>
      <c r="BE61" s="74">
        <f>('INSTRUCTION-2YR'!AA61+'RESEARCH 2yr'!AA61+'PUBLIC SERVICE 2yr'!AA61+'ASptISptSSv 2yr'!AA61+'PLANT OPER MAIN 2yr'!AA61+'SCHOLAR FELLOW 2yr'!AA61+'All Other 2yr'!AA61)-AA61</f>
        <v>0</v>
      </c>
      <c r="BF61" s="74">
        <f>('INSTRUCTION-2YR'!AB61+'RESEARCH 2yr'!AB61+'PUBLIC SERVICE 2yr'!AB61+'ASptISptSSv 2yr'!AB61+'PLANT OPER MAIN 2yr'!AB61+'SCHOLAR FELLOW 2yr'!AB61+'All Other 2yr'!AB61)-AB61</f>
        <v>0</v>
      </c>
      <c r="BG61" s="74">
        <f>('INSTRUCTION-2YR'!AC61+'RESEARCH 2yr'!AC61+'PUBLIC SERVICE 2yr'!AC61+'ASptISptSSv 2yr'!AC61+'PLANT OPER MAIN 2yr'!AC61+'SCHOLAR FELLOW 2yr'!AC61+'All Other 2yr'!AC61)-AC61</f>
        <v>0</v>
      </c>
      <c r="BH61" s="74">
        <f>('INSTRUCTION-2YR'!AD61+'RESEARCH 2yr'!AD61+'PUBLIC SERVICE 2yr'!AD61+'ASptISptSSv 2yr'!AD61+'PLANT OPER MAIN 2yr'!AD61+'SCHOLAR FELLOW 2yr'!AD61+'All Other 2yr'!AD61)-AD61</f>
        <v>0</v>
      </c>
      <c r="BI61" s="74">
        <f>('INSTRUCTION-2YR'!AE61+'RESEARCH 2yr'!AE61+'PUBLIC SERVICE 2yr'!AE61+'ASptISptSSv 2yr'!AE61+'PLANT OPER MAIN 2yr'!AE61+'SCHOLAR FELLOW 2yr'!AE61+'All Other 2yr'!AE61)-AE61</f>
        <v>0</v>
      </c>
    </row>
    <row r="62" spans="1:61">
      <c r="A62" s="1" t="s">
        <v>76</v>
      </c>
      <c r="F62" s="41">
        <v>398956.05099999998</v>
      </c>
      <c r="I62" s="1">
        <v>457212.84100000001</v>
      </c>
      <c r="K62" s="1">
        <v>483963.94761000009</v>
      </c>
      <c r="L62" s="1">
        <v>530373.071</v>
      </c>
      <c r="M62" s="1">
        <v>567294.96600000001</v>
      </c>
      <c r="N62" s="1">
        <v>672485.10900000005</v>
      </c>
      <c r="O62" s="1">
        <v>740671.255</v>
      </c>
      <c r="P62" s="1">
        <v>801658.44700000004</v>
      </c>
      <c r="Q62" s="1">
        <v>842626.35800000001</v>
      </c>
      <c r="R62" s="1">
        <v>881923.37600000005</v>
      </c>
      <c r="S62" s="1">
        <v>913486.88500000001</v>
      </c>
      <c r="T62" s="1">
        <v>987877.07700000005</v>
      </c>
      <c r="U62" s="1">
        <v>1062965.909</v>
      </c>
      <c r="V62" s="1">
        <v>1196559.9410000001</v>
      </c>
      <c r="W62" s="1">
        <v>1263282.875</v>
      </c>
      <c r="X62" s="1">
        <v>1309489.8700000001</v>
      </c>
      <c r="Y62" s="1">
        <v>1307192.2590000001</v>
      </c>
      <c r="Z62" s="1">
        <v>1321512.236</v>
      </c>
      <c r="AA62" s="1">
        <v>1311641.561</v>
      </c>
      <c r="AB62" s="1">
        <v>1298846.304</v>
      </c>
      <c r="AC62" s="1">
        <v>1315127.8160000001</v>
      </c>
      <c r="AE62" s="1">
        <v>1324677.6510000001</v>
      </c>
      <c r="AF62" s="74">
        <f>('INSTRUCTION-2YR'!B62+'RESEARCH 2yr'!B62+'PUBLIC SERVICE 2yr'!B62+'ASptISptSSv 2yr'!B62+'PLANT OPER MAIN 2yr'!B62+'SCHOLAR FELLOW 2yr'!B62+'All Other 2yr'!B62)-B62</f>
        <v>0</v>
      </c>
      <c r="AG62" s="74">
        <f>('INSTRUCTION-2YR'!C62+'RESEARCH 2yr'!C62+'PUBLIC SERVICE 2yr'!C62+'ASptISptSSv 2yr'!C62+'PLANT OPER MAIN 2yr'!C62+'SCHOLAR FELLOW 2yr'!C62+'All Other 2yr'!C62)-C62</f>
        <v>0</v>
      </c>
      <c r="AH62" s="74">
        <f>('INSTRUCTION-2YR'!D62+'RESEARCH 2yr'!D62+'PUBLIC SERVICE 2yr'!D62+'ASptISptSSv 2yr'!D62+'PLANT OPER MAIN 2yr'!D62+'SCHOLAR FELLOW 2yr'!D62+'All Other 2yr'!D62)-D62</f>
        <v>0</v>
      </c>
      <c r="AI62" s="74">
        <f>('INSTRUCTION-2YR'!E62+'RESEARCH 2yr'!E62+'PUBLIC SERVICE 2yr'!E62+'ASptISptSSv 2yr'!E62+'PLANT OPER MAIN 2yr'!E62+'SCHOLAR FELLOW 2yr'!E62+'All Other 2yr'!E62)-E62</f>
        <v>0</v>
      </c>
      <c r="AJ62" s="74">
        <f>('INSTRUCTION-2YR'!F62+'RESEARCH 2yr'!F62+'PUBLIC SERVICE 2yr'!F62+'ASptISptSSv 2yr'!F62+'PLANT OPER MAIN 2yr'!F62+'SCHOLAR FELLOW 2yr'!F62+'All Other 2yr'!F62)-F62</f>
        <v>0</v>
      </c>
      <c r="AK62" s="74">
        <f>('INSTRUCTION-2YR'!G62+'RESEARCH 2yr'!G62+'PUBLIC SERVICE 2yr'!G62+'ASptISptSSv 2yr'!G62+'PLANT OPER MAIN 2yr'!G62+'SCHOLAR FELLOW 2yr'!G62+'All Other 2yr'!G62)-G62</f>
        <v>0</v>
      </c>
      <c r="AL62" s="74">
        <f>('INSTRUCTION-2YR'!H62+'RESEARCH 2yr'!H62+'PUBLIC SERVICE 2yr'!H62+'ASptISptSSv 2yr'!H62+'PLANT OPER MAIN 2yr'!H62+'SCHOLAR FELLOW 2yr'!H62+'All Other 2yr'!H62)-H62</f>
        <v>0</v>
      </c>
      <c r="AM62" s="74">
        <f>('INSTRUCTION-2YR'!I62+'RESEARCH 2yr'!I62+'PUBLIC SERVICE 2yr'!I62+'ASptISptSSv 2yr'!I62+'PLANT OPER MAIN 2yr'!I62+'SCHOLAR FELLOW 2yr'!I62+'All Other 2yr'!I62)-I62</f>
        <v>0</v>
      </c>
      <c r="AN62" s="74">
        <f>('INSTRUCTION-2YR'!J62+'RESEARCH 2yr'!J62+'PUBLIC SERVICE 2yr'!J62+'ASptISptSSv 2yr'!J62+'PLANT OPER MAIN 2yr'!J62+'SCHOLAR FELLOW 2yr'!J62+'All Other 2yr'!J62)-J62</f>
        <v>0</v>
      </c>
      <c r="AO62" s="74">
        <f>('INSTRUCTION-2YR'!K62+'RESEARCH 2yr'!K62+'PUBLIC SERVICE 2yr'!K62+'ASptISptSSv 2yr'!K62+'PLANT OPER MAIN 2yr'!K62+'SCHOLAR FELLOW 2yr'!K62+'All Other 2yr'!K62)-K62</f>
        <v>0</v>
      </c>
      <c r="AP62" s="74">
        <f>('INSTRUCTION-2YR'!L62+'RESEARCH 2yr'!L62+'PUBLIC SERVICE 2yr'!L62+'ASptISptSSv 2yr'!L62+'PLANT OPER MAIN 2yr'!L62+'SCHOLAR FELLOW 2yr'!L62+'All Other 2yr'!L62)-L62</f>
        <v>0</v>
      </c>
      <c r="AQ62" s="74">
        <f>('INSTRUCTION-2YR'!M62+'RESEARCH 2yr'!M62+'PUBLIC SERVICE 2yr'!M62+'ASptISptSSv 2yr'!M62+'PLANT OPER MAIN 2yr'!M62+'SCHOLAR FELLOW 2yr'!M62+'All Other 2yr'!M62)-M62</f>
        <v>0</v>
      </c>
      <c r="AR62" s="74">
        <f>('INSTRUCTION-2YR'!N62+'RESEARCH 2yr'!N62+'PUBLIC SERVICE 2yr'!N62+'ASptISptSSv 2yr'!N62+'PLANT OPER MAIN 2yr'!N62+'SCHOLAR FELLOW 2yr'!N62+'All Other 2yr'!N62)-N62</f>
        <v>0</v>
      </c>
      <c r="AS62" s="74">
        <f>('INSTRUCTION-2YR'!O62+'RESEARCH 2yr'!O62+'PUBLIC SERVICE 2yr'!O62+'ASptISptSSv 2yr'!O62+'PLANT OPER MAIN 2yr'!O62+'SCHOLAR FELLOW 2yr'!O62+'All Other 2yr'!O62)-O62</f>
        <v>0</v>
      </c>
      <c r="AT62" s="74">
        <f>('INSTRUCTION-2YR'!P62+'RESEARCH 2yr'!P62+'PUBLIC SERVICE 2yr'!P62+'ASptISptSSv 2yr'!P62+'PLANT OPER MAIN 2yr'!P62+'SCHOLAR FELLOW 2yr'!P62+'All Other 2yr'!P62)-P62</f>
        <v>0</v>
      </c>
      <c r="AU62" s="74">
        <f>('INSTRUCTION-2YR'!Q62+'RESEARCH 2yr'!Q62+'PUBLIC SERVICE 2yr'!Q62+'ASptISptSSv 2yr'!Q62+'PLANT OPER MAIN 2yr'!Q62+'SCHOLAR FELLOW 2yr'!Q62+'All Other 2yr'!Q62)-Q62</f>
        <v>0</v>
      </c>
      <c r="AV62" s="74">
        <f>('INSTRUCTION-2YR'!R62+'RESEARCH 2yr'!R62+'PUBLIC SERVICE 2yr'!R62+'ASptISptSSv 2yr'!R62+'PLANT OPER MAIN 2yr'!R62+'SCHOLAR FELLOW 2yr'!R62+'All Other 2yr'!R62)-R62</f>
        <v>0</v>
      </c>
      <c r="AW62" s="74">
        <f>('INSTRUCTION-2YR'!S62+'RESEARCH 2yr'!S62+'PUBLIC SERVICE 2yr'!S62+'ASptISptSSv 2yr'!S62+'PLANT OPER MAIN 2yr'!S62+'SCHOLAR FELLOW 2yr'!S62+'All Other 2yr'!S62)-S62</f>
        <v>0</v>
      </c>
      <c r="AX62" s="74">
        <f>('INSTRUCTION-2YR'!T62+'RESEARCH 2yr'!T62+'PUBLIC SERVICE 2yr'!T62+'ASptISptSSv 2yr'!T62+'PLANT OPER MAIN 2yr'!T62+'SCHOLAR FELLOW 2yr'!T62+'All Other 2yr'!T62)-T62</f>
        <v>0</v>
      </c>
      <c r="AY62" s="74">
        <f>('INSTRUCTION-2YR'!U62+'RESEARCH 2yr'!U62+'PUBLIC SERVICE 2yr'!U62+'ASptISptSSv 2yr'!U62+'PLANT OPER MAIN 2yr'!U62+'SCHOLAR FELLOW 2yr'!U62+'All Other 2yr'!U62)-U62</f>
        <v>0</v>
      </c>
      <c r="AZ62" s="74">
        <f>('INSTRUCTION-2YR'!V62+'RESEARCH 2yr'!V62+'PUBLIC SERVICE 2yr'!V62+'ASptISptSSv 2yr'!V62+'PLANT OPER MAIN 2yr'!V62+'SCHOLAR FELLOW 2yr'!V62+'All Other 2yr'!V62)-V62</f>
        <v>0</v>
      </c>
      <c r="BA62" s="74">
        <f>('INSTRUCTION-2YR'!W62+'RESEARCH 2yr'!W62+'PUBLIC SERVICE 2yr'!W62+'ASptISptSSv 2yr'!W62+'PLANT OPER MAIN 2yr'!W62+'SCHOLAR FELLOW 2yr'!W62+'All Other 2yr'!W62)-W62</f>
        <v>0</v>
      </c>
      <c r="BB62" s="74">
        <f>('INSTRUCTION-2YR'!X62+'RESEARCH 2yr'!X62+'PUBLIC SERVICE 2yr'!X62+'ASptISptSSv 2yr'!X62+'PLANT OPER MAIN 2yr'!X62+'SCHOLAR FELLOW 2yr'!X62+'All Other 2yr'!X62)-X62</f>
        <v>0</v>
      </c>
      <c r="BC62" s="74">
        <f>('INSTRUCTION-2YR'!Y62+'RESEARCH 2yr'!Y62+'PUBLIC SERVICE 2yr'!Y62+'ASptISptSSv 2yr'!Y62+'PLANT OPER MAIN 2yr'!Y62+'SCHOLAR FELLOW 2yr'!Y62+'All Other 2yr'!Y62)-Y62</f>
        <v>0</v>
      </c>
      <c r="BD62" s="74">
        <f>('INSTRUCTION-2YR'!Z62+'RESEARCH 2yr'!Z62+'PUBLIC SERVICE 2yr'!Z62+'ASptISptSSv 2yr'!Z62+'PLANT OPER MAIN 2yr'!Z62+'SCHOLAR FELLOW 2yr'!Z62+'All Other 2yr'!Z62)-Z62</f>
        <v>0</v>
      </c>
      <c r="BE62" s="74">
        <f>('INSTRUCTION-2YR'!AA62+'RESEARCH 2yr'!AA62+'PUBLIC SERVICE 2yr'!AA62+'ASptISptSSv 2yr'!AA62+'PLANT OPER MAIN 2yr'!AA62+'SCHOLAR FELLOW 2yr'!AA62+'All Other 2yr'!AA62)-AA62</f>
        <v>0</v>
      </c>
      <c r="BF62" s="74">
        <f>('INSTRUCTION-2YR'!AB62+'RESEARCH 2yr'!AB62+'PUBLIC SERVICE 2yr'!AB62+'ASptISptSSv 2yr'!AB62+'PLANT OPER MAIN 2yr'!AB62+'SCHOLAR FELLOW 2yr'!AB62+'All Other 2yr'!AB62)-AB62</f>
        <v>0</v>
      </c>
      <c r="BG62" s="74">
        <f>('INSTRUCTION-2YR'!AC62+'RESEARCH 2yr'!AC62+'PUBLIC SERVICE 2yr'!AC62+'ASptISptSSv 2yr'!AC62+'PLANT OPER MAIN 2yr'!AC62+'SCHOLAR FELLOW 2yr'!AC62+'All Other 2yr'!AC62)-AC62</f>
        <v>0</v>
      </c>
      <c r="BH62" s="74">
        <f>('INSTRUCTION-2YR'!AD62+'RESEARCH 2yr'!AD62+'PUBLIC SERVICE 2yr'!AD62+'ASptISptSSv 2yr'!AD62+'PLANT OPER MAIN 2yr'!AD62+'SCHOLAR FELLOW 2yr'!AD62+'All Other 2yr'!AD62)-AD62</f>
        <v>0</v>
      </c>
      <c r="BI62" s="74">
        <f>('INSTRUCTION-2YR'!AE62+'RESEARCH 2yr'!AE62+'PUBLIC SERVICE 2yr'!AE62+'ASptISptSSv 2yr'!AE62+'PLANT OPER MAIN 2yr'!AE62+'SCHOLAR FELLOW 2yr'!AE62+'All Other 2yr'!AE62)-AE62</f>
        <v>0</v>
      </c>
    </row>
    <row r="63" spans="1:61">
      <c r="A63" s="1" t="s">
        <v>77</v>
      </c>
      <c r="F63" s="41">
        <v>52537.47</v>
      </c>
      <c r="I63" s="1">
        <v>57731.472000000002</v>
      </c>
      <c r="K63" s="1">
        <v>58558.724000000002</v>
      </c>
      <c r="L63" s="1">
        <v>65159.12</v>
      </c>
      <c r="M63" s="1">
        <v>69797.865999999995</v>
      </c>
      <c r="N63" s="1">
        <v>77482.024000000005</v>
      </c>
      <c r="O63" s="1">
        <v>81372.631999999998</v>
      </c>
      <c r="P63" s="1">
        <v>87186.244999999995</v>
      </c>
      <c r="Q63" s="1">
        <v>92151.221000000005</v>
      </c>
      <c r="R63" s="1">
        <v>94513.044999999998</v>
      </c>
      <c r="S63" s="1">
        <v>98372.561000000002</v>
      </c>
      <c r="T63" s="1">
        <v>104712.232</v>
      </c>
      <c r="U63" s="1">
        <v>111134.34</v>
      </c>
      <c r="V63" s="1">
        <v>114938.622</v>
      </c>
      <c r="W63" s="1">
        <v>122896.664</v>
      </c>
      <c r="X63" s="1">
        <v>130550.09600000001</v>
      </c>
      <c r="Y63" s="1">
        <v>132385.61300000001</v>
      </c>
      <c r="Z63" s="1">
        <v>136595.182</v>
      </c>
      <c r="AA63" s="1">
        <v>136100.23699999999</v>
      </c>
      <c r="AB63" s="1">
        <v>139578.72899999999</v>
      </c>
      <c r="AC63" s="1">
        <v>140411.94699999999</v>
      </c>
      <c r="AE63" s="1">
        <v>154305.853</v>
      </c>
      <c r="AF63" s="74">
        <f>('INSTRUCTION-2YR'!B63+'RESEARCH 2yr'!B63+'PUBLIC SERVICE 2yr'!B63+'ASptISptSSv 2yr'!B63+'PLANT OPER MAIN 2yr'!B63+'SCHOLAR FELLOW 2yr'!B63+'All Other 2yr'!B63)-B63</f>
        <v>0</v>
      </c>
      <c r="AG63" s="74">
        <f>('INSTRUCTION-2YR'!C63+'RESEARCH 2yr'!C63+'PUBLIC SERVICE 2yr'!C63+'ASptISptSSv 2yr'!C63+'PLANT OPER MAIN 2yr'!C63+'SCHOLAR FELLOW 2yr'!C63+'All Other 2yr'!C63)-C63</f>
        <v>0</v>
      </c>
      <c r="AH63" s="74">
        <f>('INSTRUCTION-2YR'!D63+'RESEARCH 2yr'!D63+'PUBLIC SERVICE 2yr'!D63+'ASptISptSSv 2yr'!D63+'PLANT OPER MAIN 2yr'!D63+'SCHOLAR FELLOW 2yr'!D63+'All Other 2yr'!D63)-D63</f>
        <v>0</v>
      </c>
      <c r="AI63" s="74">
        <f>('INSTRUCTION-2YR'!E63+'RESEARCH 2yr'!E63+'PUBLIC SERVICE 2yr'!E63+'ASptISptSSv 2yr'!E63+'PLANT OPER MAIN 2yr'!E63+'SCHOLAR FELLOW 2yr'!E63+'All Other 2yr'!E63)-E63</f>
        <v>0</v>
      </c>
      <c r="AJ63" s="74">
        <f>('INSTRUCTION-2YR'!F63+'RESEARCH 2yr'!F63+'PUBLIC SERVICE 2yr'!F63+'ASptISptSSv 2yr'!F63+'PLANT OPER MAIN 2yr'!F63+'SCHOLAR FELLOW 2yr'!F63+'All Other 2yr'!F63)-F63</f>
        <v>0</v>
      </c>
      <c r="AK63" s="74">
        <f>('INSTRUCTION-2YR'!G63+'RESEARCH 2yr'!G63+'PUBLIC SERVICE 2yr'!G63+'ASptISptSSv 2yr'!G63+'PLANT OPER MAIN 2yr'!G63+'SCHOLAR FELLOW 2yr'!G63+'All Other 2yr'!G63)-G63</f>
        <v>0</v>
      </c>
      <c r="AL63" s="74">
        <f>('INSTRUCTION-2YR'!H63+'RESEARCH 2yr'!H63+'PUBLIC SERVICE 2yr'!H63+'ASptISptSSv 2yr'!H63+'PLANT OPER MAIN 2yr'!H63+'SCHOLAR FELLOW 2yr'!H63+'All Other 2yr'!H63)-H63</f>
        <v>0</v>
      </c>
      <c r="AM63" s="74">
        <f>('INSTRUCTION-2YR'!I63+'RESEARCH 2yr'!I63+'PUBLIC SERVICE 2yr'!I63+'ASptISptSSv 2yr'!I63+'PLANT OPER MAIN 2yr'!I63+'SCHOLAR FELLOW 2yr'!I63+'All Other 2yr'!I63)-I63</f>
        <v>0</v>
      </c>
      <c r="AN63" s="74">
        <f>('INSTRUCTION-2YR'!J63+'RESEARCH 2yr'!J63+'PUBLIC SERVICE 2yr'!J63+'ASptISptSSv 2yr'!J63+'PLANT OPER MAIN 2yr'!J63+'SCHOLAR FELLOW 2yr'!J63+'All Other 2yr'!J63)-J63</f>
        <v>0</v>
      </c>
      <c r="AO63" s="74">
        <f>('INSTRUCTION-2YR'!K63+'RESEARCH 2yr'!K63+'PUBLIC SERVICE 2yr'!K63+'ASptISptSSv 2yr'!K63+'PLANT OPER MAIN 2yr'!K63+'SCHOLAR FELLOW 2yr'!K63+'All Other 2yr'!K63)-K63</f>
        <v>0</v>
      </c>
      <c r="AP63" s="74">
        <f>('INSTRUCTION-2YR'!L63+'RESEARCH 2yr'!L63+'PUBLIC SERVICE 2yr'!L63+'ASptISptSSv 2yr'!L63+'PLANT OPER MAIN 2yr'!L63+'SCHOLAR FELLOW 2yr'!L63+'All Other 2yr'!L63)-L63</f>
        <v>0</v>
      </c>
      <c r="AQ63" s="74">
        <f>('INSTRUCTION-2YR'!M63+'RESEARCH 2yr'!M63+'PUBLIC SERVICE 2yr'!M63+'ASptISptSSv 2yr'!M63+'PLANT OPER MAIN 2yr'!M63+'SCHOLAR FELLOW 2yr'!M63+'All Other 2yr'!M63)-M63</f>
        <v>0</v>
      </c>
      <c r="AR63" s="74">
        <f>('INSTRUCTION-2YR'!N63+'RESEARCH 2yr'!N63+'PUBLIC SERVICE 2yr'!N63+'ASptISptSSv 2yr'!N63+'PLANT OPER MAIN 2yr'!N63+'SCHOLAR FELLOW 2yr'!N63+'All Other 2yr'!N63)-N63</f>
        <v>0</v>
      </c>
      <c r="AS63" s="74">
        <f>('INSTRUCTION-2YR'!O63+'RESEARCH 2yr'!O63+'PUBLIC SERVICE 2yr'!O63+'ASptISptSSv 2yr'!O63+'PLANT OPER MAIN 2yr'!O63+'SCHOLAR FELLOW 2yr'!O63+'All Other 2yr'!O63)-O63</f>
        <v>0</v>
      </c>
      <c r="AT63" s="74">
        <f>('INSTRUCTION-2YR'!P63+'RESEARCH 2yr'!P63+'PUBLIC SERVICE 2yr'!P63+'ASptISptSSv 2yr'!P63+'PLANT OPER MAIN 2yr'!P63+'SCHOLAR FELLOW 2yr'!P63+'All Other 2yr'!P63)-P63</f>
        <v>0</v>
      </c>
      <c r="AU63" s="74">
        <f>('INSTRUCTION-2YR'!Q63+'RESEARCH 2yr'!Q63+'PUBLIC SERVICE 2yr'!Q63+'ASptISptSSv 2yr'!Q63+'PLANT OPER MAIN 2yr'!Q63+'SCHOLAR FELLOW 2yr'!Q63+'All Other 2yr'!Q63)-Q63</f>
        <v>0</v>
      </c>
      <c r="AV63" s="74">
        <f>('INSTRUCTION-2YR'!R63+'RESEARCH 2yr'!R63+'PUBLIC SERVICE 2yr'!R63+'ASptISptSSv 2yr'!R63+'PLANT OPER MAIN 2yr'!R63+'SCHOLAR FELLOW 2yr'!R63+'All Other 2yr'!R63)-R63</f>
        <v>0</v>
      </c>
      <c r="AW63" s="74">
        <f>('INSTRUCTION-2YR'!S63+'RESEARCH 2yr'!S63+'PUBLIC SERVICE 2yr'!S63+'ASptISptSSv 2yr'!S63+'PLANT OPER MAIN 2yr'!S63+'SCHOLAR FELLOW 2yr'!S63+'All Other 2yr'!S63)-S63</f>
        <v>0</v>
      </c>
      <c r="AX63" s="74">
        <f>('INSTRUCTION-2YR'!T63+'RESEARCH 2yr'!T63+'PUBLIC SERVICE 2yr'!T63+'ASptISptSSv 2yr'!T63+'PLANT OPER MAIN 2yr'!T63+'SCHOLAR FELLOW 2yr'!T63+'All Other 2yr'!T63)-T63</f>
        <v>0</v>
      </c>
      <c r="AY63" s="74">
        <f>('INSTRUCTION-2YR'!U63+'RESEARCH 2yr'!U63+'PUBLIC SERVICE 2yr'!U63+'ASptISptSSv 2yr'!U63+'PLANT OPER MAIN 2yr'!U63+'SCHOLAR FELLOW 2yr'!U63+'All Other 2yr'!U63)-U63</f>
        <v>0</v>
      </c>
      <c r="AZ63" s="74">
        <f>('INSTRUCTION-2YR'!V63+'RESEARCH 2yr'!V63+'PUBLIC SERVICE 2yr'!V63+'ASptISptSSv 2yr'!V63+'PLANT OPER MAIN 2yr'!V63+'SCHOLAR FELLOW 2yr'!V63+'All Other 2yr'!V63)-V63</f>
        <v>0</v>
      </c>
      <c r="BA63" s="74">
        <f>('INSTRUCTION-2YR'!W63+'RESEARCH 2yr'!W63+'PUBLIC SERVICE 2yr'!W63+'ASptISptSSv 2yr'!W63+'PLANT OPER MAIN 2yr'!W63+'SCHOLAR FELLOW 2yr'!W63+'All Other 2yr'!W63)-W63</f>
        <v>0</v>
      </c>
      <c r="BB63" s="74">
        <f>('INSTRUCTION-2YR'!X63+'RESEARCH 2yr'!X63+'PUBLIC SERVICE 2yr'!X63+'ASptISptSSv 2yr'!X63+'PLANT OPER MAIN 2yr'!X63+'SCHOLAR FELLOW 2yr'!X63+'All Other 2yr'!X63)-X63</f>
        <v>0</v>
      </c>
      <c r="BC63" s="74">
        <f>('INSTRUCTION-2YR'!Y63+'RESEARCH 2yr'!Y63+'PUBLIC SERVICE 2yr'!Y63+'ASptISptSSv 2yr'!Y63+'PLANT OPER MAIN 2yr'!Y63+'SCHOLAR FELLOW 2yr'!Y63+'All Other 2yr'!Y63)-Y63</f>
        <v>0</v>
      </c>
      <c r="BD63" s="74">
        <f>('INSTRUCTION-2YR'!Z63+'RESEARCH 2yr'!Z63+'PUBLIC SERVICE 2yr'!Z63+'ASptISptSSv 2yr'!Z63+'PLANT OPER MAIN 2yr'!Z63+'SCHOLAR FELLOW 2yr'!Z63+'All Other 2yr'!Z63)-Z63</f>
        <v>0</v>
      </c>
      <c r="BE63" s="74">
        <f>('INSTRUCTION-2YR'!AA63+'RESEARCH 2yr'!AA63+'PUBLIC SERVICE 2yr'!AA63+'ASptISptSSv 2yr'!AA63+'PLANT OPER MAIN 2yr'!AA63+'SCHOLAR FELLOW 2yr'!AA63+'All Other 2yr'!AA63)-AA63</f>
        <v>0</v>
      </c>
      <c r="BF63" s="74">
        <f>('INSTRUCTION-2YR'!AB63+'RESEARCH 2yr'!AB63+'PUBLIC SERVICE 2yr'!AB63+'ASptISptSSv 2yr'!AB63+'PLANT OPER MAIN 2yr'!AB63+'SCHOLAR FELLOW 2yr'!AB63+'All Other 2yr'!AB63)-AB63</f>
        <v>0</v>
      </c>
      <c r="BG63" s="74">
        <f>('INSTRUCTION-2YR'!AC63+'RESEARCH 2yr'!AC63+'PUBLIC SERVICE 2yr'!AC63+'ASptISptSSv 2yr'!AC63+'PLANT OPER MAIN 2yr'!AC63+'SCHOLAR FELLOW 2yr'!AC63+'All Other 2yr'!AC63)-AC63</f>
        <v>0</v>
      </c>
      <c r="BH63" s="74">
        <f>('INSTRUCTION-2YR'!AD63+'RESEARCH 2yr'!AD63+'PUBLIC SERVICE 2yr'!AD63+'ASptISptSSv 2yr'!AD63+'PLANT OPER MAIN 2yr'!AD63+'SCHOLAR FELLOW 2yr'!AD63+'All Other 2yr'!AD63)-AD63</f>
        <v>0</v>
      </c>
      <c r="BI63" s="74">
        <f>('INSTRUCTION-2YR'!AE63+'RESEARCH 2yr'!AE63+'PUBLIC SERVICE 2yr'!AE63+'ASptISptSSv 2yr'!AE63+'PLANT OPER MAIN 2yr'!AE63+'SCHOLAR FELLOW 2yr'!AE63+'All Other 2yr'!AE63)-AE63</f>
        <v>0</v>
      </c>
    </row>
    <row r="64" spans="1:61">
      <c r="A64" s="23" t="s">
        <v>78</v>
      </c>
      <c r="B64" s="23"/>
      <c r="C64" s="23"/>
      <c r="D64" s="23"/>
      <c r="E64" s="23"/>
      <c r="F64" s="44">
        <v>18297.302</v>
      </c>
      <c r="G64" s="23"/>
      <c r="H64" s="23"/>
      <c r="I64" s="23">
        <v>11530.64</v>
      </c>
      <c r="J64" s="23"/>
      <c r="K64" s="23">
        <v>13116.867</v>
      </c>
      <c r="L64" s="23">
        <v>15101.999</v>
      </c>
      <c r="M64" s="23">
        <v>16781.912</v>
      </c>
      <c r="N64" s="23">
        <v>19666.956999999999</v>
      </c>
      <c r="O64" s="23">
        <v>23052.178</v>
      </c>
      <c r="P64" s="23">
        <v>24998.733</v>
      </c>
      <c r="Q64" s="23">
        <v>25393.325000000001</v>
      </c>
      <c r="R64" s="23">
        <v>27042.739000000001</v>
      </c>
      <c r="S64" s="23">
        <v>27196.798999999999</v>
      </c>
      <c r="T64" s="23">
        <v>30164.835999999999</v>
      </c>
      <c r="U64" s="23">
        <v>63222.544000000002</v>
      </c>
      <c r="V64" s="23">
        <v>38165.300000000003</v>
      </c>
      <c r="W64" s="23">
        <v>43498.485000000001</v>
      </c>
      <c r="X64" s="23">
        <v>43787.678999999996</v>
      </c>
      <c r="Y64" s="23">
        <v>92902.747000000003</v>
      </c>
      <c r="Z64" s="23">
        <v>93057.210999999996</v>
      </c>
      <c r="AA64" s="23">
        <v>88721.207999999999</v>
      </c>
      <c r="AB64" s="23">
        <v>39369.135000000002</v>
      </c>
      <c r="AC64" s="23">
        <v>39158.123</v>
      </c>
      <c r="AD64" s="23"/>
      <c r="AE64" s="23">
        <v>37440.915999999997</v>
      </c>
      <c r="AF64" s="74">
        <f>('INSTRUCTION-2YR'!B64+'RESEARCH 2yr'!B64+'PUBLIC SERVICE 2yr'!B64+'ASptISptSSv 2yr'!B64+'PLANT OPER MAIN 2yr'!B64+'SCHOLAR FELLOW 2yr'!B64+'All Other 2yr'!B64)-B64</f>
        <v>0</v>
      </c>
      <c r="AG64" s="74">
        <f>('INSTRUCTION-2YR'!C64+'RESEARCH 2yr'!C64+'PUBLIC SERVICE 2yr'!C64+'ASptISptSSv 2yr'!C64+'PLANT OPER MAIN 2yr'!C64+'SCHOLAR FELLOW 2yr'!C64+'All Other 2yr'!C64)-C64</f>
        <v>0</v>
      </c>
      <c r="AH64" s="74">
        <f>('INSTRUCTION-2YR'!D64+'RESEARCH 2yr'!D64+'PUBLIC SERVICE 2yr'!D64+'ASptISptSSv 2yr'!D64+'PLANT OPER MAIN 2yr'!D64+'SCHOLAR FELLOW 2yr'!D64+'All Other 2yr'!D64)-D64</f>
        <v>0</v>
      </c>
      <c r="AI64" s="74">
        <f>('INSTRUCTION-2YR'!E64+'RESEARCH 2yr'!E64+'PUBLIC SERVICE 2yr'!E64+'ASptISptSSv 2yr'!E64+'PLANT OPER MAIN 2yr'!E64+'SCHOLAR FELLOW 2yr'!E64+'All Other 2yr'!E64)-E64</f>
        <v>0</v>
      </c>
      <c r="AJ64" s="74">
        <f>('INSTRUCTION-2YR'!F64+'RESEARCH 2yr'!F64+'PUBLIC SERVICE 2yr'!F64+'ASptISptSSv 2yr'!F64+'PLANT OPER MAIN 2yr'!F64+'SCHOLAR FELLOW 2yr'!F64+'All Other 2yr'!F64)-F64</f>
        <v>0</v>
      </c>
      <c r="AK64" s="74">
        <f>('INSTRUCTION-2YR'!G64+'RESEARCH 2yr'!G64+'PUBLIC SERVICE 2yr'!G64+'ASptISptSSv 2yr'!G64+'PLANT OPER MAIN 2yr'!G64+'SCHOLAR FELLOW 2yr'!G64+'All Other 2yr'!G64)-G64</f>
        <v>0</v>
      </c>
      <c r="AL64" s="74">
        <f>('INSTRUCTION-2YR'!H64+'RESEARCH 2yr'!H64+'PUBLIC SERVICE 2yr'!H64+'ASptISptSSv 2yr'!H64+'PLANT OPER MAIN 2yr'!H64+'SCHOLAR FELLOW 2yr'!H64+'All Other 2yr'!H64)-H64</f>
        <v>0</v>
      </c>
      <c r="AM64" s="74">
        <f>('INSTRUCTION-2YR'!I64+'RESEARCH 2yr'!I64+'PUBLIC SERVICE 2yr'!I64+'ASptISptSSv 2yr'!I64+'PLANT OPER MAIN 2yr'!I64+'SCHOLAR FELLOW 2yr'!I64+'All Other 2yr'!I64)-I64</f>
        <v>0</v>
      </c>
      <c r="AN64" s="74">
        <f>('INSTRUCTION-2YR'!J64+'RESEARCH 2yr'!J64+'PUBLIC SERVICE 2yr'!J64+'ASptISptSSv 2yr'!J64+'PLANT OPER MAIN 2yr'!J64+'SCHOLAR FELLOW 2yr'!J64+'All Other 2yr'!J64)-J64</f>
        <v>0</v>
      </c>
      <c r="AO64" s="74">
        <f>('INSTRUCTION-2YR'!K64+'RESEARCH 2yr'!K64+'PUBLIC SERVICE 2yr'!K64+'ASptISptSSv 2yr'!K64+'PLANT OPER MAIN 2yr'!K64+'SCHOLAR FELLOW 2yr'!K64+'All Other 2yr'!K64)-K64</f>
        <v>0</v>
      </c>
      <c r="AP64" s="74">
        <f>('INSTRUCTION-2YR'!L64+'RESEARCH 2yr'!L64+'PUBLIC SERVICE 2yr'!L64+'ASptISptSSv 2yr'!L64+'PLANT OPER MAIN 2yr'!L64+'SCHOLAR FELLOW 2yr'!L64+'All Other 2yr'!L64)-L64</f>
        <v>0</v>
      </c>
      <c r="AQ64" s="74">
        <f>('INSTRUCTION-2YR'!M64+'RESEARCH 2yr'!M64+'PUBLIC SERVICE 2yr'!M64+'ASptISptSSv 2yr'!M64+'PLANT OPER MAIN 2yr'!M64+'SCHOLAR FELLOW 2yr'!M64+'All Other 2yr'!M64)-M64</f>
        <v>0</v>
      </c>
      <c r="AR64" s="74">
        <f>('INSTRUCTION-2YR'!N64+'RESEARCH 2yr'!N64+'PUBLIC SERVICE 2yr'!N64+'ASptISptSSv 2yr'!N64+'PLANT OPER MAIN 2yr'!N64+'SCHOLAR FELLOW 2yr'!N64+'All Other 2yr'!N64)-N64</f>
        <v>0</v>
      </c>
      <c r="AS64" s="74">
        <f>('INSTRUCTION-2YR'!O64+'RESEARCH 2yr'!O64+'PUBLIC SERVICE 2yr'!O64+'ASptISptSSv 2yr'!O64+'PLANT OPER MAIN 2yr'!O64+'SCHOLAR FELLOW 2yr'!O64+'All Other 2yr'!O64)-O64</f>
        <v>0</v>
      </c>
      <c r="AT64" s="74">
        <f>('INSTRUCTION-2YR'!P64+'RESEARCH 2yr'!P64+'PUBLIC SERVICE 2yr'!P64+'ASptISptSSv 2yr'!P64+'PLANT OPER MAIN 2yr'!P64+'SCHOLAR FELLOW 2yr'!P64+'All Other 2yr'!P64)-P64</f>
        <v>0</v>
      </c>
      <c r="AU64" s="74">
        <f>('INSTRUCTION-2YR'!Q64+'RESEARCH 2yr'!Q64+'PUBLIC SERVICE 2yr'!Q64+'ASptISptSSv 2yr'!Q64+'PLANT OPER MAIN 2yr'!Q64+'SCHOLAR FELLOW 2yr'!Q64+'All Other 2yr'!Q64)-Q64</f>
        <v>0</v>
      </c>
      <c r="AV64" s="74">
        <f>('INSTRUCTION-2YR'!R64+'RESEARCH 2yr'!R64+'PUBLIC SERVICE 2yr'!R64+'ASptISptSSv 2yr'!R64+'PLANT OPER MAIN 2yr'!R64+'SCHOLAR FELLOW 2yr'!R64+'All Other 2yr'!R64)-R64</f>
        <v>0</v>
      </c>
      <c r="AW64" s="74">
        <f>('INSTRUCTION-2YR'!S64+'RESEARCH 2yr'!S64+'PUBLIC SERVICE 2yr'!S64+'ASptISptSSv 2yr'!S64+'PLANT OPER MAIN 2yr'!S64+'SCHOLAR FELLOW 2yr'!S64+'All Other 2yr'!S64)-S64</f>
        <v>0</v>
      </c>
      <c r="AX64" s="74">
        <f>('INSTRUCTION-2YR'!T64+'RESEARCH 2yr'!T64+'PUBLIC SERVICE 2yr'!T64+'ASptISptSSv 2yr'!T64+'PLANT OPER MAIN 2yr'!T64+'SCHOLAR FELLOW 2yr'!T64+'All Other 2yr'!T64)-T64</f>
        <v>0</v>
      </c>
      <c r="AY64" s="74">
        <f>('INSTRUCTION-2YR'!U64+'RESEARCH 2yr'!U64+'PUBLIC SERVICE 2yr'!U64+'ASptISptSSv 2yr'!U64+'PLANT OPER MAIN 2yr'!U64+'SCHOLAR FELLOW 2yr'!U64+'All Other 2yr'!U64)-U64</f>
        <v>0</v>
      </c>
      <c r="AZ64" s="74">
        <f>('INSTRUCTION-2YR'!V64+'RESEARCH 2yr'!V64+'PUBLIC SERVICE 2yr'!V64+'ASptISptSSv 2yr'!V64+'PLANT OPER MAIN 2yr'!V64+'SCHOLAR FELLOW 2yr'!V64+'All Other 2yr'!V64)-V64</f>
        <v>0</v>
      </c>
      <c r="BA64" s="74">
        <f>('INSTRUCTION-2YR'!W64+'RESEARCH 2yr'!W64+'PUBLIC SERVICE 2yr'!W64+'ASptISptSSv 2yr'!W64+'PLANT OPER MAIN 2yr'!W64+'SCHOLAR FELLOW 2yr'!W64+'All Other 2yr'!W64)-W64</f>
        <v>0</v>
      </c>
      <c r="BB64" s="74">
        <f>('INSTRUCTION-2YR'!X64+'RESEARCH 2yr'!X64+'PUBLIC SERVICE 2yr'!X64+'ASptISptSSv 2yr'!X64+'PLANT OPER MAIN 2yr'!X64+'SCHOLAR FELLOW 2yr'!X64+'All Other 2yr'!X64)-X64</f>
        <v>0</v>
      </c>
      <c r="BC64" s="74">
        <f>('INSTRUCTION-2YR'!Y64+'RESEARCH 2yr'!Y64+'PUBLIC SERVICE 2yr'!Y64+'ASptISptSSv 2yr'!Y64+'PLANT OPER MAIN 2yr'!Y64+'SCHOLAR FELLOW 2yr'!Y64+'All Other 2yr'!Y64)-Y64</f>
        <v>0</v>
      </c>
      <c r="BD64" s="74">
        <f>('INSTRUCTION-2YR'!Z64+'RESEARCH 2yr'!Z64+'PUBLIC SERVICE 2yr'!Z64+'ASptISptSSv 2yr'!Z64+'PLANT OPER MAIN 2yr'!Z64+'SCHOLAR FELLOW 2yr'!Z64+'All Other 2yr'!Z64)-Z64</f>
        <v>0</v>
      </c>
      <c r="BE64" s="74">
        <f>('INSTRUCTION-2YR'!AA64+'RESEARCH 2yr'!AA64+'PUBLIC SERVICE 2yr'!AA64+'ASptISptSSv 2yr'!AA64+'PLANT OPER MAIN 2yr'!AA64+'SCHOLAR FELLOW 2yr'!AA64+'All Other 2yr'!AA64)-AA64</f>
        <v>0</v>
      </c>
      <c r="BF64" s="74">
        <f>('INSTRUCTION-2YR'!AB64+'RESEARCH 2yr'!AB64+'PUBLIC SERVICE 2yr'!AB64+'ASptISptSSv 2yr'!AB64+'PLANT OPER MAIN 2yr'!AB64+'SCHOLAR FELLOW 2yr'!AB64+'All Other 2yr'!AB64)-AB64</f>
        <v>0</v>
      </c>
      <c r="BG64" s="74">
        <f>('INSTRUCTION-2YR'!AC64+'RESEARCH 2yr'!AC64+'PUBLIC SERVICE 2yr'!AC64+'ASptISptSSv 2yr'!AC64+'PLANT OPER MAIN 2yr'!AC64+'SCHOLAR FELLOW 2yr'!AC64+'All Other 2yr'!AC64)-AC64</f>
        <v>0</v>
      </c>
      <c r="BH64" s="74">
        <f>('INSTRUCTION-2YR'!AD64+'RESEARCH 2yr'!AD64+'PUBLIC SERVICE 2yr'!AD64+'ASptISptSSv 2yr'!AD64+'PLANT OPER MAIN 2yr'!AD64+'SCHOLAR FELLOW 2yr'!AD64+'All Other 2yr'!AD64)-AD64</f>
        <v>0</v>
      </c>
      <c r="BI64" s="74">
        <f>('INSTRUCTION-2YR'!AE64+'RESEARCH 2yr'!AE64+'PUBLIC SERVICE 2yr'!AE64+'ASptISptSSv 2yr'!AE64+'PLANT OPER MAIN 2yr'!AE64+'SCHOLAR FELLOW 2yr'!AE64+'All Other 2yr'!AE64)-AE64</f>
        <v>0</v>
      </c>
    </row>
    <row r="65" spans="1:61">
      <c r="A65" s="45" t="s">
        <v>79</v>
      </c>
      <c r="B65" s="45"/>
      <c r="C65" s="45"/>
      <c r="D65" s="45"/>
      <c r="E65" s="45"/>
      <c r="F65" s="46">
        <v>0</v>
      </c>
      <c r="G65" s="45"/>
      <c r="H65" s="45"/>
      <c r="I65" s="45">
        <v>0</v>
      </c>
      <c r="J65" s="45"/>
      <c r="K65" s="45">
        <v>0</v>
      </c>
      <c r="L65" s="45">
        <v>0</v>
      </c>
      <c r="M65" s="45">
        <v>0</v>
      </c>
      <c r="N65" s="45">
        <v>0</v>
      </c>
      <c r="O65" s="45">
        <v>0</v>
      </c>
      <c r="P65" s="45">
        <v>0</v>
      </c>
      <c r="Q65" s="45">
        <v>0</v>
      </c>
      <c r="R65" s="45">
        <v>0</v>
      </c>
      <c r="S65" s="45">
        <v>0</v>
      </c>
      <c r="T65" s="45">
        <v>0</v>
      </c>
      <c r="U65" s="45">
        <v>0</v>
      </c>
      <c r="V65" s="45">
        <v>0</v>
      </c>
      <c r="W65" s="45">
        <v>0</v>
      </c>
      <c r="X65" s="23"/>
      <c r="Y65" s="23"/>
      <c r="Z65" s="23"/>
      <c r="AA65" s="23"/>
      <c r="AB65" s="23"/>
      <c r="AC65" s="23"/>
      <c r="AD65" s="23"/>
      <c r="AE65" s="23"/>
      <c r="AF65" s="74">
        <f>('INSTRUCTION-2YR'!B65+'RESEARCH 2yr'!B65+'PUBLIC SERVICE 2yr'!B65+'ASptISptSSv 2yr'!B65+'PLANT OPER MAIN 2yr'!B65+'SCHOLAR FELLOW 2yr'!B65+'All Other 2yr'!B65)-B65</f>
        <v>0</v>
      </c>
      <c r="AG65" s="74">
        <f>('INSTRUCTION-2YR'!C65+'RESEARCH 2yr'!C65+'PUBLIC SERVICE 2yr'!C65+'ASptISptSSv 2yr'!C65+'PLANT OPER MAIN 2yr'!C65+'SCHOLAR FELLOW 2yr'!C65+'All Other 2yr'!C65)-C65</f>
        <v>0</v>
      </c>
      <c r="AH65" s="74">
        <f>('INSTRUCTION-2YR'!D65+'RESEARCH 2yr'!D65+'PUBLIC SERVICE 2yr'!D65+'ASptISptSSv 2yr'!D65+'PLANT OPER MAIN 2yr'!D65+'SCHOLAR FELLOW 2yr'!D65+'All Other 2yr'!D65)-D65</f>
        <v>0</v>
      </c>
      <c r="AI65" s="74">
        <f>('INSTRUCTION-2YR'!E65+'RESEARCH 2yr'!E65+'PUBLIC SERVICE 2yr'!E65+'ASptISptSSv 2yr'!E65+'PLANT OPER MAIN 2yr'!E65+'SCHOLAR FELLOW 2yr'!E65+'All Other 2yr'!E65)-E65</f>
        <v>0</v>
      </c>
      <c r="AJ65" s="74">
        <f>('INSTRUCTION-2YR'!F65+'RESEARCH 2yr'!F65+'PUBLIC SERVICE 2yr'!F65+'ASptISptSSv 2yr'!F65+'PLANT OPER MAIN 2yr'!F65+'SCHOLAR FELLOW 2yr'!F65+'All Other 2yr'!F65)-F65</f>
        <v>0</v>
      </c>
      <c r="AK65" s="74">
        <f>('INSTRUCTION-2YR'!G65+'RESEARCH 2yr'!G65+'PUBLIC SERVICE 2yr'!G65+'ASptISptSSv 2yr'!G65+'PLANT OPER MAIN 2yr'!G65+'SCHOLAR FELLOW 2yr'!G65+'All Other 2yr'!G65)-G65</f>
        <v>0</v>
      </c>
      <c r="AL65" s="74">
        <f>('INSTRUCTION-2YR'!H65+'RESEARCH 2yr'!H65+'PUBLIC SERVICE 2yr'!H65+'ASptISptSSv 2yr'!H65+'PLANT OPER MAIN 2yr'!H65+'SCHOLAR FELLOW 2yr'!H65+'All Other 2yr'!H65)-H65</f>
        <v>0</v>
      </c>
      <c r="AM65" s="74">
        <f>('INSTRUCTION-2YR'!I65+'RESEARCH 2yr'!I65+'PUBLIC SERVICE 2yr'!I65+'ASptISptSSv 2yr'!I65+'PLANT OPER MAIN 2yr'!I65+'SCHOLAR FELLOW 2yr'!I65+'All Other 2yr'!I65)-I65</f>
        <v>0</v>
      </c>
      <c r="AN65" s="74">
        <f>('INSTRUCTION-2YR'!J65+'RESEARCH 2yr'!J65+'PUBLIC SERVICE 2yr'!J65+'ASptISptSSv 2yr'!J65+'PLANT OPER MAIN 2yr'!J65+'SCHOLAR FELLOW 2yr'!J65+'All Other 2yr'!J65)-J65</f>
        <v>0</v>
      </c>
      <c r="AO65" s="74">
        <f>('INSTRUCTION-2YR'!K65+'RESEARCH 2yr'!K65+'PUBLIC SERVICE 2yr'!K65+'ASptISptSSv 2yr'!K65+'PLANT OPER MAIN 2yr'!K65+'SCHOLAR FELLOW 2yr'!K65+'All Other 2yr'!K65)-K65</f>
        <v>0</v>
      </c>
      <c r="AP65" s="74">
        <f>('INSTRUCTION-2YR'!L65+'RESEARCH 2yr'!L65+'PUBLIC SERVICE 2yr'!L65+'ASptISptSSv 2yr'!L65+'PLANT OPER MAIN 2yr'!L65+'SCHOLAR FELLOW 2yr'!L65+'All Other 2yr'!L65)-L65</f>
        <v>0</v>
      </c>
      <c r="AQ65" s="74">
        <f>('INSTRUCTION-2YR'!M65+'RESEARCH 2yr'!M65+'PUBLIC SERVICE 2yr'!M65+'ASptISptSSv 2yr'!M65+'PLANT OPER MAIN 2yr'!M65+'SCHOLAR FELLOW 2yr'!M65+'All Other 2yr'!M65)-M65</f>
        <v>0</v>
      </c>
      <c r="AR65" s="74">
        <f>('INSTRUCTION-2YR'!N65+'RESEARCH 2yr'!N65+'PUBLIC SERVICE 2yr'!N65+'ASptISptSSv 2yr'!N65+'PLANT OPER MAIN 2yr'!N65+'SCHOLAR FELLOW 2yr'!N65+'All Other 2yr'!N65)-N65</f>
        <v>0</v>
      </c>
      <c r="AS65" s="74">
        <f>('INSTRUCTION-2YR'!O65+'RESEARCH 2yr'!O65+'PUBLIC SERVICE 2yr'!O65+'ASptISptSSv 2yr'!O65+'PLANT OPER MAIN 2yr'!O65+'SCHOLAR FELLOW 2yr'!O65+'All Other 2yr'!O65)-O65</f>
        <v>0</v>
      </c>
      <c r="AT65" s="74">
        <f>('INSTRUCTION-2YR'!P65+'RESEARCH 2yr'!P65+'PUBLIC SERVICE 2yr'!P65+'ASptISptSSv 2yr'!P65+'PLANT OPER MAIN 2yr'!P65+'SCHOLAR FELLOW 2yr'!P65+'All Other 2yr'!P65)-P65</f>
        <v>0</v>
      </c>
      <c r="AU65" s="74">
        <f>('INSTRUCTION-2YR'!Q65+'RESEARCH 2yr'!Q65+'PUBLIC SERVICE 2yr'!Q65+'ASptISptSSv 2yr'!Q65+'PLANT OPER MAIN 2yr'!Q65+'SCHOLAR FELLOW 2yr'!Q65+'All Other 2yr'!Q65)-Q65</f>
        <v>0</v>
      </c>
      <c r="AV65" s="74">
        <f>('INSTRUCTION-2YR'!R65+'RESEARCH 2yr'!R65+'PUBLIC SERVICE 2yr'!R65+'ASptISptSSv 2yr'!R65+'PLANT OPER MAIN 2yr'!R65+'SCHOLAR FELLOW 2yr'!R65+'All Other 2yr'!R65)-R65</f>
        <v>0</v>
      </c>
      <c r="AW65" s="74">
        <f>('INSTRUCTION-2YR'!S65+'RESEARCH 2yr'!S65+'PUBLIC SERVICE 2yr'!S65+'ASptISptSSv 2yr'!S65+'PLANT OPER MAIN 2yr'!S65+'SCHOLAR FELLOW 2yr'!S65+'All Other 2yr'!S65)-S65</f>
        <v>0</v>
      </c>
      <c r="AX65" s="74">
        <f>('INSTRUCTION-2YR'!T65+'RESEARCH 2yr'!T65+'PUBLIC SERVICE 2yr'!T65+'ASptISptSSv 2yr'!T65+'PLANT OPER MAIN 2yr'!T65+'SCHOLAR FELLOW 2yr'!T65+'All Other 2yr'!T65)-T65</f>
        <v>0</v>
      </c>
      <c r="AY65" s="74">
        <f>('INSTRUCTION-2YR'!U65+'RESEARCH 2yr'!U65+'PUBLIC SERVICE 2yr'!U65+'ASptISptSSv 2yr'!U65+'PLANT OPER MAIN 2yr'!U65+'SCHOLAR FELLOW 2yr'!U65+'All Other 2yr'!U65)-U65</f>
        <v>0</v>
      </c>
      <c r="AZ65" s="74">
        <f>('INSTRUCTION-2YR'!V65+'RESEARCH 2yr'!V65+'PUBLIC SERVICE 2yr'!V65+'ASptISptSSv 2yr'!V65+'PLANT OPER MAIN 2yr'!V65+'SCHOLAR FELLOW 2yr'!V65+'All Other 2yr'!V65)-V65</f>
        <v>0</v>
      </c>
      <c r="BA65" s="74">
        <f>('INSTRUCTION-2YR'!W65+'RESEARCH 2yr'!W65+'PUBLIC SERVICE 2yr'!W65+'ASptISptSSv 2yr'!W65+'PLANT OPER MAIN 2yr'!W65+'SCHOLAR FELLOW 2yr'!W65+'All Other 2yr'!W65)-W65</f>
        <v>0</v>
      </c>
      <c r="BB65" s="74">
        <f>('INSTRUCTION-2YR'!X65+'RESEARCH 2yr'!X65+'PUBLIC SERVICE 2yr'!X65+'ASptISptSSv 2yr'!X65+'PLANT OPER MAIN 2yr'!X65+'SCHOLAR FELLOW 2yr'!X65+'All Other 2yr'!X65)-X65</f>
        <v>0</v>
      </c>
      <c r="BC65" s="74">
        <f>('INSTRUCTION-2YR'!Y65+'RESEARCH 2yr'!Y65+'PUBLIC SERVICE 2yr'!Y65+'ASptISptSSv 2yr'!Y65+'PLANT OPER MAIN 2yr'!Y65+'SCHOLAR FELLOW 2yr'!Y65+'All Other 2yr'!Y65)-Y65</f>
        <v>0</v>
      </c>
      <c r="BD65" s="74">
        <f>('INSTRUCTION-2YR'!Z65+'RESEARCH 2yr'!Z65+'PUBLIC SERVICE 2yr'!Z65+'ASptISptSSv 2yr'!Z65+'PLANT OPER MAIN 2yr'!Z65+'SCHOLAR FELLOW 2yr'!Z65+'All Other 2yr'!Z65)-Z65</f>
        <v>0</v>
      </c>
      <c r="BE65" s="74">
        <f>('INSTRUCTION-2YR'!AA65+'RESEARCH 2yr'!AA65+'PUBLIC SERVICE 2yr'!AA65+'ASptISptSSv 2yr'!AA65+'PLANT OPER MAIN 2yr'!AA65+'SCHOLAR FELLOW 2yr'!AA65+'All Other 2yr'!AA65)-AA65</f>
        <v>0</v>
      </c>
      <c r="BF65" s="74">
        <f>('INSTRUCTION-2YR'!AB65+'RESEARCH 2yr'!AB65+'PUBLIC SERVICE 2yr'!AB65+'ASptISptSSv 2yr'!AB65+'PLANT OPER MAIN 2yr'!AB65+'SCHOLAR FELLOW 2yr'!AB65+'All Other 2yr'!AB65)-AB65</f>
        <v>0</v>
      </c>
      <c r="BG65" s="74">
        <f>('INSTRUCTION-2YR'!AC65+'RESEARCH 2yr'!AC65+'PUBLIC SERVICE 2yr'!AC65+'ASptISptSSv 2yr'!AC65+'PLANT OPER MAIN 2yr'!AC65+'SCHOLAR FELLOW 2yr'!AC65+'All Other 2yr'!AC65)-AC65</f>
        <v>0</v>
      </c>
      <c r="BH65" s="74">
        <f>('INSTRUCTION-2YR'!AD65+'RESEARCH 2yr'!AD65+'PUBLIC SERVICE 2yr'!AD65+'ASptISptSSv 2yr'!AD65+'PLANT OPER MAIN 2yr'!AD65+'SCHOLAR FELLOW 2yr'!AD65+'All Other 2yr'!AD65)-AD65</f>
        <v>0</v>
      </c>
      <c r="BI65" s="74">
        <f>('INSTRUCTION-2YR'!AE65+'RESEARCH 2yr'!AE65+'PUBLIC SERVICE 2yr'!AE65+'ASptISptSSv 2yr'!AE65+'PLANT OPER MAIN 2yr'!AE65+'SCHOLAR FELLOW 2yr'!AE65+'All Other 2yr'!AE65)-AE65</f>
        <v>0</v>
      </c>
    </row>
    <row r="67" spans="1:61">
      <c r="E67" s="1" t="s">
        <v>98</v>
      </c>
      <c r="I67" s="19" t="s">
        <v>99</v>
      </c>
      <c r="J67" s="19" t="s">
        <v>100</v>
      </c>
      <c r="K67" s="19"/>
      <c r="L67" s="19" t="s">
        <v>101</v>
      </c>
      <c r="M67" s="19"/>
      <c r="N67" s="19"/>
      <c r="O67" s="19" t="s">
        <v>99</v>
      </c>
      <c r="P67" s="19" t="s">
        <v>99</v>
      </c>
      <c r="Q67" s="19" t="s">
        <v>99</v>
      </c>
      <c r="R67" s="19" t="s">
        <v>99</v>
      </c>
      <c r="S67" s="19"/>
      <c r="T67" s="19"/>
      <c r="U67" s="19"/>
      <c r="V67" s="19"/>
      <c r="W67" s="19"/>
      <c r="X67" s="19"/>
      <c r="Y67" s="19"/>
      <c r="Z67" s="19"/>
      <c r="AA67" s="19"/>
      <c r="AB67" s="19"/>
      <c r="AC67" s="19"/>
    </row>
    <row r="68" spans="1:61">
      <c r="I68" s="1" t="s">
        <v>102</v>
      </c>
      <c r="J68" s="1" t="s">
        <v>103</v>
      </c>
      <c r="L68" s="1" t="s">
        <v>104</v>
      </c>
      <c r="O68" s="1" t="s">
        <v>102</v>
      </c>
      <c r="P68" s="1" t="s">
        <v>102</v>
      </c>
      <c r="Q68" s="1" t="s">
        <v>102</v>
      </c>
      <c r="R68" s="1" t="s">
        <v>102</v>
      </c>
    </row>
    <row r="69" spans="1:61">
      <c r="I69" s="1" t="s">
        <v>105</v>
      </c>
      <c r="J69" s="1" t="s">
        <v>106</v>
      </c>
      <c r="O69" s="1" t="s">
        <v>105</v>
      </c>
      <c r="P69" s="1" t="s">
        <v>105</v>
      </c>
      <c r="Q69" s="1" t="s">
        <v>105</v>
      </c>
      <c r="R69" s="1" t="s">
        <v>105</v>
      </c>
    </row>
    <row r="70" spans="1:61">
      <c r="J70" s="1" t="s">
        <v>107</v>
      </c>
    </row>
  </sheetData>
  <phoneticPr fontId="6" type="noConversion"/>
  <pageMargins left="0.5" right="0.5" top="0.5" bottom="0.55000000000000004" header="0.5" footer="0.5"/>
  <pageSetup scale="76" orientation="landscape" verticalDpi="300" r:id="rId1"/>
  <headerFooter alignWithMargins="0">
    <oddFooter>&amp;LSREB Fact Book 1996/1997&amp;CUpdate&amp;R&amp;D</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8"/>
  </sheetPr>
  <dimension ref="A1:AE70"/>
  <sheetViews>
    <sheetView zoomScale="96" zoomScaleNormal="96" workbookViewId="0">
      <pane xSplit="1" ySplit="5" topLeftCell="T33" activePane="bottomRight" state="frozen"/>
      <selection pane="topRight" activeCell="B52" sqref="B52"/>
      <selection pane="bottomLeft" activeCell="B52" sqref="B52"/>
      <selection pane="bottomRight" activeCell="AE9" sqref="AE9:AE24"/>
    </sheetView>
  </sheetViews>
  <sheetFormatPr defaultColWidth="9.85546875" defaultRowHeight="12.75"/>
  <cols>
    <col min="1" max="1" width="23.42578125" style="43" customWidth="1"/>
    <col min="2" max="23" width="12.42578125" style="1" customWidth="1"/>
    <col min="24" max="24" width="11.5703125" style="1" bestFit="1" customWidth="1"/>
    <col min="25" max="25" width="14.42578125" style="1" bestFit="1" customWidth="1"/>
    <col min="26" max="27" width="14.42578125" style="1" customWidth="1"/>
    <col min="28" max="29" width="11.140625" style="1" bestFit="1" customWidth="1"/>
    <col min="30" max="31" width="12.42578125" style="1" customWidth="1"/>
    <col min="32" max="16384" width="9.85546875" style="1"/>
  </cols>
  <sheetData>
    <row r="1" spans="1:31">
      <c r="A1" s="7" t="s">
        <v>110</v>
      </c>
      <c r="D1" s="9"/>
      <c r="E1" s="9"/>
      <c r="AA1" s="1">
        <v>1000</v>
      </c>
    </row>
    <row r="2" spans="1:31">
      <c r="A2" s="1"/>
    </row>
    <row r="3" spans="1:31">
      <c r="A3" s="1" t="s">
        <v>18</v>
      </c>
      <c r="D3" s="9"/>
      <c r="E3" s="9"/>
      <c r="F3" s="9"/>
    </row>
    <row r="4" spans="1:31" s="32" customFormat="1">
      <c r="B4" s="32">
        <v>1984</v>
      </c>
      <c r="C4" s="32">
        <v>1985</v>
      </c>
      <c r="D4" s="32">
        <v>1986</v>
      </c>
      <c r="E4" s="32">
        <v>1991</v>
      </c>
      <c r="F4" s="32">
        <v>1992</v>
      </c>
      <c r="G4" s="32">
        <v>1993</v>
      </c>
      <c r="H4" s="32">
        <v>1994</v>
      </c>
      <c r="I4" s="32">
        <v>1995</v>
      </c>
      <c r="J4" s="32">
        <v>1996</v>
      </c>
      <c r="K4" s="32">
        <v>1997</v>
      </c>
      <c r="L4" s="32">
        <v>2000</v>
      </c>
      <c r="M4" s="39">
        <v>2001</v>
      </c>
      <c r="N4" s="39">
        <v>2002</v>
      </c>
      <c r="O4" s="39">
        <v>2003</v>
      </c>
      <c r="P4" s="39">
        <v>2004</v>
      </c>
      <c r="Q4" s="39">
        <v>2005</v>
      </c>
      <c r="R4" s="39">
        <v>2006</v>
      </c>
      <c r="S4" s="39">
        <v>2007</v>
      </c>
      <c r="T4" s="39">
        <v>2008</v>
      </c>
      <c r="U4" s="39">
        <v>2009</v>
      </c>
      <c r="V4" s="39">
        <v>2010</v>
      </c>
      <c r="W4" s="39">
        <v>2011</v>
      </c>
      <c r="X4" s="32" t="s">
        <v>111</v>
      </c>
      <c r="Y4" s="32" t="s">
        <v>112</v>
      </c>
      <c r="Z4" s="32" t="s">
        <v>113</v>
      </c>
      <c r="AA4" s="32" t="s">
        <v>114</v>
      </c>
      <c r="AB4" s="95" t="s">
        <v>115</v>
      </c>
      <c r="AC4" s="95" t="s">
        <v>116</v>
      </c>
      <c r="AD4" s="96">
        <v>2018</v>
      </c>
      <c r="AE4" s="96">
        <v>2019</v>
      </c>
    </row>
    <row r="5" spans="1:31">
      <c r="B5" s="8" t="s">
        <v>117</v>
      </c>
      <c r="C5" s="8" t="s">
        <v>117</v>
      </c>
      <c r="D5" s="8" t="s">
        <v>117</v>
      </c>
      <c r="E5" s="8" t="s">
        <v>117</v>
      </c>
      <c r="F5" s="8" t="s">
        <v>117</v>
      </c>
      <c r="G5" s="8" t="s">
        <v>117</v>
      </c>
      <c r="H5" s="8" t="s">
        <v>117</v>
      </c>
      <c r="I5" s="8" t="s">
        <v>117</v>
      </c>
      <c r="J5" s="8" t="s">
        <v>117</v>
      </c>
      <c r="K5" s="8" t="s">
        <v>117</v>
      </c>
      <c r="L5" s="8" t="s">
        <v>117</v>
      </c>
      <c r="M5" s="8" t="s">
        <v>117</v>
      </c>
      <c r="N5" s="8" t="s">
        <v>117</v>
      </c>
      <c r="O5" s="8" t="s">
        <v>117</v>
      </c>
      <c r="P5" s="8" t="s">
        <v>117</v>
      </c>
      <c r="Q5" s="8" t="s">
        <v>117</v>
      </c>
      <c r="R5" s="8" t="s">
        <v>117</v>
      </c>
      <c r="S5" s="8" t="s">
        <v>117</v>
      </c>
      <c r="T5" s="8" t="s">
        <v>117</v>
      </c>
      <c r="U5" s="8" t="s">
        <v>117</v>
      </c>
      <c r="V5" s="8" t="s">
        <v>117</v>
      </c>
      <c r="W5" s="8" t="s">
        <v>117</v>
      </c>
      <c r="X5" s="1" t="s">
        <v>118</v>
      </c>
      <c r="Y5" s="8" t="s">
        <v>117</v>
      </c>
      <c r="Z5" s="8" t="s">
        <v>117</v>
      </c>
      <c r="AA5" s="8" t="s">
        <v>117</v>
      </c>
      <c r="AB5" s="8" t="s">
        <v>117</v>
      </c>
      <c r="AC5" s="8" t="s">
        <v>117</v>
      </c>
      <c r="AD5" s="8" t="s">
        <v>96</v>
      </c>
      <c r="AE5" s="8" t="s">
        <v>96</v>
      </c>
    </row>
    <row r="6" spans="1:31">
      <c r="A6" s="23" t="s">
        <v>24</v>
      </c>
      <c r="B6" s="23">
        <f>5592407+8518129</f>
        <v>14110536</v>
      </c>
      <c r="C6" s="23">
        <f>6092470+9376319</f>
        <v>15468789</v>
      </c>
      <c r="D6" s="23">
        <f>6583758+10176035</f>
        <v>16759793</v>
      </c>
      <c r="E6" s="23">
        <v>23504947.074000001</v>
      </c>
      <c r="F6" s="48">
        <f>+F7+F25+F40+F54+F65</f>
        <v>23973574.332999997</v>
      </c>
      <c r="G6" s="23">
        <v>25283425.030999999</v>
      </c>
      <c r="H6" s="23">
        <v>26269274.958999999</v>
      </c>
      <c r="I6" s="48">
        <f>+I7+I25+I40+I54+I65</f>
        <v>27374055.660000004</v>
      </c>
      <c r="J6" s="23">
        <v>28531591.208999999</v>
      </c>
      <c r="K6" s="48">
        <f t="shared" ref="K6:U6" si="0">+K7+K25+K40+K54+K65</f>
        <v>29983873.957090002</v>
      </c>
      <c r="L6" s="48">
        <f t="shared" si="0"/>
        <v>34396391.364</v>
      </c>
      <c r="M6" s="48">
        <f t="shared" si="0"/>
        <v>36521752.212000005</v>
      </c>
      <c r="N6" s="48">
        <f t="shared" si="0"/>
        <v>37665779.549999997</v>
      </c>
      <c r="O6" s="48">
        <f t="shared" si="0"/>
        <v>38818059.660000004</v>
      </c>
      <c r="P6" s="48">
        <f t="shared" si="0"/>
        <v>39992241.469999999</v>
      </c>
      <c r="Q6" s="48">
        <f t="shared" si="0"/>
        <v>43172202.924000002</v>
      </c>
      <c r="R6" s="48">
        <f t="shared" si="0"/>
        <v>45226828.245999999</v>
      </c>
      <c r="S6" s="48">
        <f t="shared" si="0"/>
        <v>48395749.437000006</v>
      </c>
      <c r="T6" s="48">
        <f t="shared" si="0"/>
        <v>53220816.711000003</v>
      </c>
      <c r="U6" s="48">
        <f t="shared" si="0"/>
        <v>51623999.414000005</v>
      </c>
      <c r="V6" s="48">
        <f t="shared" ref="V6:W6" si="1">+V7+V25+V40+V54+V65</f>
        <v>62119095.990000002</v>
      </c>
      <c r="W6" s="48">
        <f t="shared" si="1"/>
        <v>64807541.956999995</v>
      </c>
      <c r="X6" s="48">
        <f t="shared" ref="X6:Y6" si="2">+X7+X25+X40+X54+X65</f>
        <v>66721318.760999992</v>
      </c>
      <c r="Y6" s="48">
        <f t="shared" si="2"/>
        <v>66233427.222999997</v>
      </c>
      <c r="Z6" s="48">
        <f t="shared" ref="Z6:AA6" si="3">+Z7+Z25+Z40+Z54+Z65</f>
        <v>69883075.885000005</v>
      </c>
      <c r="AA6" s="48">
        <f t="shared" si="3"/>
        <v>72845695.813999996</v>
      </c>
      <c r="AB6" s="48">
        <f t="shared" ref="AB6:AE6" si="4">+AB7+AB25+AB40+AB54+AB65</f>
        <v>78399330.659999982</v>
      </c>
      <c r="AC6" s="48">
        <f t="shared" si="4"/>
        <v>81137145.159999996</v>
      </c>
      <c r="AD6" s="48">
        <f t="shared" si="4"/>
        <v>0</v>
      </c>
      <c r="AE6" s="48">
        <f t="shared" si="4"/>
        <v>83787642.588</v>
      </c>
    </row>
    <row r="7" spans="1:31">
      <c r="A7" s="1" t="s">
        <v>25</v>
      </c>
      <c r="B7" s="47">
        <f>SUM(B8:B24)</f>
        <v>4695176</v>
      </c>
      <c r="C7" s="47">
        <f t="shared" ref="C7:U7" si="5">SUM(C8:C24)</f>
        <v>5128435</v>
      </c>
      <c r="D7" s="47">
        <f t="shared" si="5"/>
        <v>5599541</v>
      </c>
      <c r="E7" s="47">
        <f t="shared" si="5"/>
        <v>7898921.7359999996</v>
      </c>
      <c r="F7" s="47">
        <f t="shared" si="5"/>
        <v>8187436.358</v>
      </c>
      <c r="G7" s="47">
        <f t="shared" si="5"/>
        <v>8611500.2270000018</v>
      </c>
      <c r="H7" s="47">
        <f t="shared" si="5"/>
        <v>9115637.4600000009</v>
      </c>
      <c r="I7" s="47">
        <f t="shared" si="5"/>
        <v>9847287.8120000008</v>
      </c>
      <c r="J7" s="47">
        <f t="shared" si="5"/>
        <v>10252258.5</v>
      </c>
      <c r="K7" s="47">
        <f t="shared" si="5"/>
        <v>10795681.562000001</v>
      </c>
      <c r="L7" s="47">
        <f t="shared" si="5"/>
        <v>12651169.493999999</v>
      </c>
      <c r="M7" s="47">
        <f t="shared" si="5"/>
        <v>13583506.869000001</v>
      </c>
      <c r="N7" s="47">
        <f t="shared" si="5"/>
        <v>14144502.220000001</v>
      </c>
      <c r="O7" s="47">
        <f t="shared" si="5"/>
        <v>15019959.209999999</v>
      </c>
      <c r="P7" s="47">
        <f t="shared" si="5"/>
        <v>15441010.987</v>
      </c>
      <c r="Q7" s="47">
        <f t="shared" si="5"/>
        <v>16569644.872000001</v>
      </c>
      <c r="R7" s="47">
        <f t="shared" si="5"/>
        <v>17327303.039000001</v>
      </c>
      <c r="S7" s="47">
        <f t="shared" si="5"/>
        <v>18426431.784000006</v>
      </c>
      <c r="T7" s="47">
        <f t="shared" si="5"/>
        <v>20097381.867000002</v>
      </c>
      <c r="U7" s="47">
        <f t="shared" si="5"/>
        <v>17802704.088000003</v>
      </c>
      <c r="V7" s="47">
        <f t="shared" ref="V7:W7" si="6">SUM(V8:V24)</f>
        <v>23590918.865000002</v>
      </c>
      <c r="W7" s="47">
        <f t="shared" si="6"/>
        <v>24542660.433999997</v>
      </c>
      <c r="X7" s="47">
        <f t="shared" ref="X7:Y7" si="7">SUM(X8:X24)</f>
        <v>25069225.629999999</v>
      </c>
      <c r="Y7" s="47">
        <f t="shared" si="7"/>
        <v>23414959.628000002</v>
      </c>
      <c r="Z7" s="47">
        <f t="shared" ref="Z7:AA7" si="8">SUM(Z8:Z24)</f>
        <v>24800882.789000001</v>
      </c>
      <c r="AA7" s="47">
        <f t="shared" si="8"/>
        <v>25572404.433999997</v>
      </c>
      <c r="AB7" s="47">
        <f t="shared" ref="AB7:AE7" si="9">SUM(AB8:AB24)</f>
        <v>28781867.136999998</v>
      </c>
      <c r="AC7" s="47">
        <f t="shared" si="9"/>
        <v>29828880.678000003</v>
      </c>
      <c r="AD7" s="47">
        <f t="shared" si="9"/>
        <v>0</v>
      </c>
      <c r="AE7" s="47">
        <f t="shared" si="9"/>
        <v>31179180.364000004</v>
      </c>
    </row>
    <row r="8" spans="1:31">
      <c r="A8" s="7" t="s">
        <v>97</v>
      </c>
    </row>
    <row r="9" spans="1:31">
      <c r="A9" s="1" t="s">
        <v>26</v>
      </c>
      <c r="B9" s="1">
        <f>94019+181676</f>
        <v>275695</v>
      </c>
      <c r="C9" s="1">
        <f>101026+200625</f>
        <v>301651</v>
      </c>
      <c r="D9" s="1">
        <f>112026+214231</f>
        <v>326257</v>
      </c>
      <c r="E9" s="1">
        <v>434625.43400000001</v>
      </c>
      <c r="F9" s="41">
        <v>440548.342</v>
      </c>
      <c r="G9" s="1">
        <v>481656.12599999999</v>
      </c>
      <c r="H9" s="1">
        <v>531548.06000000006</v>
      </c>
      <c r="I9" s="1">
        <v>562658.82700000005</v>
      </c>
      <c r="J9" s="1">
        <v>539398.96400000004</v>
      </c>
      <c r="K9" s="1">
        <v>555973.09100000001</v>
      </c>
      <c r="L9" s="1">
        <v>639776.272</v>
      </c>
      <c r="M9" s="1">
        <v>680321.02</v>
      </c>
      <c r="N9" s="1">
        <v>726244.45</v>
      </c>
      <c r="O9" s="1">
        <v>778571.87600000005</v>
      </c>
      <c r="P9" s="1">
        <v>802169.59400000004</v>
      </c>
      <c r="Q9" s="1">
        <v>861712.58200000005</v>
      </c>
      <c r="R9" s="1">
        <v>916041.37699999998</v>
      </c>
      <c r="S9" s="1">
        <v>993273.82299999997</v>
      </c>
      <c r="T9" s="1">
        <v>1108995.311</v>
      </c>
      <c r="U9" s="1">
        <v>1204935.72</v>
      </c>
      <c r="V9" s="1">
        <v>1278542.7350000001</v>
      </c>
      <c r="W9" s="1">
        <v>1359971.3430000001</v>
      </c>
      <c r="X9" s="1">
        <v>1381589.128</v>
      </c>
      <c r="Y9" s="1">
        <v>1410271.142</v>
      </c>
      <c r="Z9" s="1">
        <v>1469219.835</v>
      </c>
      <c r="AA9" s="1">
        <v>1482376.068</v>
      </c>
      <c r="AB9" s="1">
        <v>1464018.9820000001</v>
      </c>
      <c r="AC9" s="1">
        <v>1604931.4509999999</v>
      </c>
      <c r="AE9" s="1">
        <v>1486721.8910000001</v>
      </c>
    </row>
    <row r="10" spans="1:31">
      <c r="A10" s="1" t="s">
        <v>27</v>
      </c>
      <c r="B10" s="1">
        <f>28387+99048</f>
        <v>127435</v>
      </c>
      <c r="C10" s="1">
        <f>34458+117866</f>
        <v>152324</v>
      </c>
      <c r="D10" s="1">
        <f>39476+129991</f>
        <v>169467</v>
      </c>
      <c r="E10" s="1">
        <v>276554.80599999998</v>
      </c>
      <c r="F10" s="41">
        <v>214344.30100000001</v>
      </c>
      <c r="G10" s="1">
        <v>241077.64799999999</v>
      </c>
      <c r="H10" s="1">
        <v>242579.83799999999</v>
      </c>
      <c r="I10" s="1">
        <v>256483.54500000001</v>
      </c>
      <c r="J10" s="1">
        <v>283135.603</v>
      </c>
      <c r="K10" s="1">
        <v>306489.527</v>
      </c>
      <c r="L10" s="1">
        <v>361416.09600000002</v>
      </c>
      <c r="M10" s="1">
        <v>375470.85</v>
      </c>
      <c r="N10" s="1">
        <v>401797.11099999998</v>
      </c>
      <c r="O10" s="1">
        <v>415530.84600000002</v>
      </c>
      <c r="P10" s="1">
        <v>439732.29399999999</v>
      </c>
      <c r="Q10" s="1">
        <v>464642.06699999998</v>
      </c>
      <c r="R10" s="1">
        <v>484181.24</v>
      </c>
      <c r="S10" s="1">
        <v>486193.25699999998</v>
      </c>
      <c r="T10" s="1">
        <v>489891.435</v>
      </c>
      <c r="U10" s="1">
        <v>407534.71799999999</v>
      </c>
      <c r="V10" s="1">
        <v>639122.58200000005</v>
      </c>
      <c r="W10" s="1">
        <v>677624.69</v>
      </c>
      <c r="X10" s="1">
        <v>673596.52899999998</v>
      </c>
      <c r="Y10" s="1">
        <v>696334.88399999996</v>
      </c>
      <c r="Z10" s="1">
        <v>733689.69299999997</v>
      </c>
      <c r="AA10" s="1">
        <v>754151.84900000005</v>
      </c>
      <c r="AB10" s="1">
        <v>734894.19</v>
      </c>
      <c r="AC10" s="1">
        <v>751511.07499999995</v>
      </c>
      <c r="AE10" s="1">
        <v>783404.56</v>
      </c>
    </row>
    <row r="11" spans="1:31">
      <c r="A11" s="1" t="s">
        <v>28</v>
      </c>
      <c r="D11" s="1">
        <f>79469+7206</f>
        <v>86675</v>
      </c>
      <c r="E11" s="1">
        <v>126704.974</v>
      </c>
      <c r="F11" s="41">
        <v>134021.47</v>
      </c>
      <c r="I11" s="1">
        <v>164907.08900000001</v>
      </c>
      <c r="J11" s="1">
        <v>173778.32800000001</v>
      </c>
      <c r="K11" s="1">
        <v>179916.226</v>
      </c>
      <c r="L11" s="1">
        <v>201291.041</v>
      </c>
      <c r="M11" s="1">
        <v>239970.103</v>
      </c>
      <c r="N11" s="1">
        <v>245982.397</v>
      </c>
      <c r="O11" s="1">
        <v>258701.38699999999</v>
      </c>
      <c r="P11" s="1">
        <v>269186.50199999998</v>
      </c>
      <c r="Q11" s="1">
        <f>25561.864+260781.124</f>
        <v>286342.98800000001</v>
      </c>
      <c r="R11" s="1">
        <v>293293.77100000001</v>
      </c>
      <c r="S11" s="1">
        <v>310379.25599999999</v>
      </c>
      <c r="T11" s="1">
        <v>332462.96000000002</v>
      </c>
      <c r="U11" s="1">
        <v>344618.32799999998</v>
      </c>
      <c r="V11" s="1">
        <v>354089.83799999999</v>
      </c>
      <c r="W11" s="1">
        <v>380239.261</v>
      </c>
      <c r="X11" s="1">
        <v>387927.973</v>
      </c>
      <c r="Y11" s="1">
        <v>44357.862999999998</v>
      </c>
      <c r="Z11" s="1">
        <v>418932.78100000002</v>
      </c>
      <c r="AA11" s="1">
        <v>437801.54</v>
      </c>
      <c r="AB11" s="1">
        <v>455434.43400000001</v>
      </c>
      <c r="AC11" s="1">
        <v>54035.847000000002</v>
      </c>
      <c r="AE11" s="1">
        <v>540413.196</v>
      </c>
    </row>
    <row r="12" spans="1:31">
      <c r="A12" s="1" t="s">
        <v>29</v>
      </c>
      <c r="B12" s="1">
        <f>211655+177408</f>
        <v>389063</v>
      </c>
      <c r="C12" s="1">
        <f>235479+194750</f>
        <v>430229</v>
      </c>
      <c r="D12" s="1">
        <f>248051+213873</f>
        <v>461924</v>
      </c>
      <c r="E12" s="1">
        <v>684128.41</v>
      </c>
      <c r="F12" s="41">
        <v>685266.81599999999</v>
      </c>
      <c r="G12" s="1">
        <v>756288.40300000005</v>
      </c>
      <c r="H12" s="1">
        <v>798269.08</v>
      </c>
      <c r="I12" s="1">
        <v>835995.22600000002</v>
      </c>
      <c r="J12" s="1">
        <v>883056.09100000001</v>
      </c>
      <c r="K12" s="1">
        <v>924878.64</v>
      </c>
      <c r="L12" s="1">
        <v>1178818.6189999999</v>
      </c>
      <c r="M12" s="1">
        <v>1288004.0919999999</v>
      </c>
      <c r="N12" s="1">
        <v>1328741.4180000001</v>
      </c>
      <c r="O12" s="1">
        <v>1556668.3149999999</v>
      </c>
      <c r="P12" s="1">
        <v>1650187.872</v>
      </c>
      <c r="Q12" s="1">
        <v>1725209.922</v>
      </c>
      <c r="R12" s="1">
        <v>1852573.7080000001</v>
      </c>
      <c r="S12" s="1">
        <v>1839546.4069999999</v>
      </c>
      <c r="T12" s="1">
        <v>1926616.05</v>
      </c>
      <c r="U12" s="1">
        <v>1912022.9890000001</v>
      </c>
      <c r="V12" s="1">
        <v>2216475.625</v>
      </c>
      <c r="W12" s="1">
        <v>2358911.9010000001</v>
      </c>
      <c r="X12" s="1">
        <v>2390264.5830000001</v>
      </c>
      <c r="Y12" s="1">
        <v>2419423.8640000001</v>
      </c>
      <c r="Z12" s="1">
        <v>2574640.247</v>
      </c>
      <c r="AA12" s="1">
        <v>2719292.17</v>
      </c>
      <c r="AB12" s="1">
        <v>2730792.4109999998</v>
      </c>
      <c r="AC12" s="1">
        <v>2856193.65</v>
      </c>
      <c r="AE12" s="1">
        <v>3055644.3909999998</v>
      </c>
    </row>
    <row r="13" spans="1:31">
      <c r="A13" s="1" t="s">
        <v>30</v>
      </c>
      <c r="B13" s="1">
        <f>91149+211423</f>
        <v>302572</v>
      </c>
      <c r="C13" s="1">
        <f>95150+228653</f>
        <v>323803</v>
      </c>
      <c r="D13" s="1">
        <f>104925+279309</f>
        <v>384234</v>
      </c>
      <c r="E13" s="1">
        <v>506464.46299999999</v>
      </c>
      <c r="F13" s="41">
        <v>522503.42</v>
      </c>
      <c r="G13" s="1">
        <v>575406.18900000001</v>
      </c>
      <c r="H13" s="1">
        <v>626129.20900000003</v>
      </c>
      <c r="I13" s="1">
        <v>681920.31299999997</v>
      </c>
      <c r="J13" s="1">
        <v>729059.68799999997</v>
      </c>
      <c r="K13" s="1">
        <v>780182.82499999995</v>
      </c>
      <c r="L13" s="1">
        <v>905878.20799999998</v>
      </c>
      <c r="M13" s="1">
        <v>1009669.452</v>
      </c>
      <c r="N13" s="1">
        <v>925118.69099999999</v>
      </c>
      <c r="O13" s="1">
        <v>1002826.333</v>
      </c>
      <c r="P13" s="1">
        <v>1005111.236</v>
      </c>
      <c r="Q13" s="1">
        <v>1029020.974</v>
      </c>
      <c r="R13" s="1">
        <v>1079459.2050000001</v>
      </c>
      <c r="S13" s="1">
        <v>1187273.99</v>
      </c>
      <c r="T13" s="1">
        <v>1313415.3459999999</v>
      </c>
      <c r="U13" s="1">
        <v>1159186.8589999999</v>
      </c>
      <c r="V13" s="1">
        <v>1487777.943</v>
      </c>
      <c r="W13" s="1">
        <v>1616219.541</v>
      </c>
      <c r="X13" s="1">
        <v>1668458</v>
      </c>
      <c r="Y13" s="1">
        <v>1791640.544</v>
      </c>
      <c r="Z13" s="1">
        <v>1824209.6159999999</v>
      </c>
      <c r="AA13" s="1">
        <v>1899994.459</v>
      </c>
      <c r="AB13" s="1">
        <v>1940155.871</v>
      </c>
      <c r="AC13" s="1">
        <v>2074412.0419999999</v>
      </c>
      <c r="AE13" s="1">
        <v>2101732.04</v>
      </c>
    </row>
    <row r="14" spans="1:31">
      <c r="A14" s="1" t="s">
        <v>31</v>
      </c>
      <c r="B14" s="1">
        <f>143933+94507</f>
        <v>238440</v>
      </c>
      <c r="C14" s="1">
        <f>146632+97280</f>
        <v>243912</v>
      </c>
      <c r="D14" s="1">
        <f>158172+100253</f>
        <v>258425</v>
      </c>
      <c r="E14" s="1">
        <v>383390.82199999999</v>
      </c>
      <c r="F14" s="41">
        <v>420042.55900000001</v>
      </c>
      <c r="G14" s="1">
        <v>410112.304</v>
      </c>
      <c r="H14" s="1">
        <v>419941.74699999997</v>
      </c>
      <c r="I14" s="1">
        <v>427776.28899999999</v>
      </c>
      <c r="J14" s="1">
        <v>469473.45400000003</v>
      </c>
      <c r="K14" s="1">
        <v>507342.00400000002</v>
      </c>
      <c r="L14" s="1">
        <v>547759.20700000005</v>
      </c>
      <c r="M14" s="1">
        <v>579677.84</v>
      </c>
      <c r="N14" s="1">
        <v>648042.34100000001</v>
      </c>
      <c r="O14" s="1">
        <v>663990.96900000004</v>
      </c>
      <c r="P14" s="1">
        <v>690542.28300000005</v>
      </c>
      <c r="Q14" s="1">
        <v>713558.86800000002</v>
      </c>
      <c r="R14" s="1">
        <v>747472.33100000001</v>
      </c>
      <c r="S14" s="1">
        <v>802941.64300000004</v>
      </c>
      <c r="T14" s="1">
        <v>834768.53899999999</v>
      </c>
      <c r="U14" s="1">
        <v>828368.96100000001</v>
      </c>
      <c r="V14" s="1">
        <v>954839.25100000005</v>
      </c>
      <c r="W14" s="1">
        <v>993558.98899999994</v>
      </c>
      <c r="X14" s="1">
        <v>1037158.095</v>
      </c>
      <c r="Y14" s="1">
        <v>1040995.189</v>
      </c>
      <c r="Z14" s="1">
        <v>1068656.0060000001</v>
      </c>
      <c r="AA14" s="1">
        <v>1083815.8259999999</v>
      </c>
      <c r="AB14" s="1">
        <v>1110019.6640000001</v>
      </c>
      <c r="AC14" s="1">
        <v>1148242.6399999999</v>
      </c>
      <c r="AE14" s="1">
        <v>1108728.301</v>
      </c>
    </row>
    <row r="15" spans="1:31">
      <c r="A15" s="1" t="s">
        <v>32</v>
      </c>
      <c r="B15" s="1">
        <f>61745+210375</f>
        <v>272120</v>
      </c>
      <c r="C15" s="1">
        <f>67632+231114</f>
        <v>298746</v>
      </c>
      <c r="D15" s="1">
        <f>69790+245806</f>
        <v>315596</v>
      </c>
      <c r="E15" s="1">
        <v>414626.02</v>
      </c>
      <c r="F15" s="41">
        <v>455369.92499999999</v>
      </c>
      <c r="G15" s="1">
        <v>477082.11900000001</v>
      </c>
      <c r="H15" s="1">
        <v>499053.48700000002</v>
      </c>
      <c r="I15" s="1">
        <v>538815.79299999995</v>
      </c>
      <c r="J15" s="1">
        <v>549446.66399999999</v>
      </c>
      <c r="K15" s="1">
        <v>592386.41399999999</v>
      </c>
      <c r="L15" s="1">
        <v>670714.61699999997</v>
      </c>
      <c r="M15" s="1">
        <v>678802.80599999998</v>
      </c>
      <c r="N15" s="1">
        <v>657477.62899999996</v>
      </c>
      <c r="O15" s="1">
        <v>695520.34299999999</v>
      </c>
      <c r="P15" s="1">
        <v>794331.9</v>
      </c>
      <c r="Q15" s="1">
        <v>834727.42799999996</v>
      </c>
      <c r="R15" s="1">
        <v>802614.777</v>
      </c>
      <c r="S15" s="1">
        <v>834466.40500000003</v>
      </c>
      <c r="T15" s="1">
        <v>1089484.2379999999</v>
      </c>
      <c r="U15" s="1">
        <v>884045.28599999996</v>
      </c>
      <c r="V15" s="1">
        <v>1086250.6040000001</v>
      </c>
      <c r="W15" s="1">
        <v>1076247.2209999999</v>
      </c>
      <c r="X15" s="1">
        <v>1058289.7660000001</v>
      </c>
      <c r="Y15" s="1">
        <v>1046500.028</v>
      </c>
      <c r="Z15" s="1">
        <v>1092716.9550000001</v>
      </c>
      <c r="AA15" s="1">
        <v>1070917.871</v>
      </c>
      <c r="AB15" s="1">
        <v>1069437.426</v>
      </c>
      <c r="AC15" s="1">
        <v>1177456.861</v>
      </c>
      <c r="AE15" s="1">
        <v>1246537.247</v>
      </c>
    </row>
    <row r="16" spans="1:31">
      <c r="A16" s="1" t="s">
        <v>33</v>
      </c>
      <c r="B16" s="1">
        <v>244857</v>
      </c>
      <c r="C16" s="1">
        <f>0+284751</f>
        <v>284751</v>
      </c>
      <c r="D16" s="1">
        <f>0+275634</f>
        <v>275634</v>
      </c>
      <c r="E16" s="1">
        <v>440842.18599999999</v>
      </c>
      <c r="F16" s="41">
        <v>442290.55200000003</v>
      </c>
      <c r="G16" s="1">
        <v>459627.87199999997</v>
      </c>
      <c r="H16" s="1">
        <v>482263.12400000001</v>
      </c>
      <c r="I16" s="1">
        <v>505380.85499999998</v>
      </c>
      <c r="J16" s="1">
        <v>531162.71299999999</v>
      </c>
      <c r="K16" s="1">
        <v>578854.76699999999</v>
      </c>
      <c r="L16" s="1">
        <v>661042.94999999995</v>
      </c>
      <c r="M16" s="1">
        <v>740132.79</v>
      </c>
      <c r="N16" s="1">
        <v>833854.47900000005</v>
      </c>
      <c r="O16" s="1">
        <v>861303.571</v>
      </c>
      <c r="P16" s="1">
        <v>860057.36199999996</v>
      </c>
      <c r="Q16" s="1">
        <v>1041305.115</v>
      </c>
      <c r="R16" s="1">
        <v>916498.38300000003</v>
      </c>
      <c r="S16" s="1">
        <v>950677.04399999999</v>
      </c>
      <c r="T16" s="1">
        <v>1053865.8700000001</v>
      </c>
      <c r="U16" s="1">
        <v>943190.02099999995</v>
      </c>
      <c r="V16" s="1">
        <v>1192245.5989999999</v>
      </c>
      <c r="W16" s="1">
        <v>1207964.8430000001</v>
      </c>
      <c r="X16" s="1">
        <v>1280394.3840000001</v>
      </c>
      <c r="Y16" s="1">
        <v>1321748.1340000001</v>
      </c>
      <c r="Z16" s="1">
        <v>1363047.1569999999</v>
      </c>
      <c r="AA16" s="1">
        <v>1421363.051</v>
      </c>
      <c r="AB16" s="1">
        <v>1402996.601</v>
      </c>
      <c r="AC16" s="1">
        <v>1470865.902</v>
      </c>
      <c r="AE16" s="1">
        <v>1483898.83</v>
      </c>
    </row>
    <row r="17" spans="1:31">
      <c r="A17" s="1" t="s">
        <v>34</v>
      </c>
      <c r="B17" s="1">
        <f>23186+125715</f>
        <v>148901</v>
      </c>
      <c r="C17" s="1">
        <f>24245+130154</f>
        <v>154399</v>
      </c>
      <c r="D17" s="1">
        <f>25957+137567</f>
        <v>163524</v>
      </c>
      <c r="E17" s="1">
        <v>216328.76699999999</v>
      </c>
      <c r="F17" s="41">
        <v>221277.071</v>
      </c>
      <c r="G17" s="1">
        <v>239816.595</v>
      </c>
      <c r="H17" s="1">
        <v>260707.31599999999</v>
      </c>
      <c r="I17" s="1">
        <v>291331.32400000002</v>
      </c>
      <c r="J17" s="1">
        <v>305921.65700000001</v>
      </c>
      <c r="K17" s="1">
        <v>312609.01699999999</v>
      </c>
      <c r="L17" s="1">
        <v>390955.489</v>
      </c>
      <c r="M17" s="1">
        <v>384615.38</v>
      </c>
      <c r="N17" s="1">
        <v>406057.81599999999</v>
      </c>
      <c r="O17" s="1">
        <v>417704.85600000003</v>
      </c>
      <c r="P17" s="1">
        <v>440975.94500000001</v>
      </c>
      <c r="Q17" s="1">
        <v>440657.93199999997</v>
      </c>
      <c r="R17" s="1">
        <v>444826.51699999999</v>
      </c>
      <c r="S17" s="1">
        <v>482600.565</v>
      </c>
      <c r="T17" s="1">
        <v>546512</v>
      </c>
      <c r="U17" s="1">
        <v>447519.19</v>
      </c>
      <c r="V17" s="1">
        <v>642847.21</v>
      </c>
      <c r="W17" s="1">
        <v>645291.24899999995</v>
      </c>
      <c r="X17" s="1">
        <v>667502.84699999995</v>
      </c>
      <c r="Y17" s="1">
        <v>700603.51199999999</v>
      </c>
      <c r="Z17" s="1">
        <v>711132.40800000005</v>
      </c>
      <c r="AA17" s="1">
        <v>732214.15700000001</v>
      </c>
      <c r="AB17" s="1">
        <v>756892.06499999994</v>
      </c>
      <c r="AC17" s="1">
        <v>790117.46100000001</v>
      </c>
      <c r="AE17" s="1">
        <v>701795.44499999995</v>
      </c>
    </row>
    <row r="18" spans="1:31">
      <c r="A18" s="1" t="s">
        <v>35</v>
      </c>
      <c r="B18" s="1">
        <f>138644+280407</f>
        <v>419051</v>
      </c>
      <c r="C18" s="1">
        <f>159975+322734</f>
        <v>482709</v>
      </c>
      <c r="D18" s="1">
        <f>172888+359009</f>
        <v>531897</v>
      </c>
      <c r="E18" s="1">
        <v>745670.52599999995</v>
      </c>
      <c r="F18" s="41">
        <v>762547.13100000005</v>
      </c>
      <c r="G18" s="1">
        <v>805082.826</v>
      </c>
      <c r="H18" s="1">
        <v>850548.12300000002</v>
      </c>
      <c r="I18" s="1">
        <v>907747.67299999995</v>
      </c>
      <c r="J18" s="1">
        <v>944175.28</v>
      </c>
      <c r="K18" s="1">
        <v>1010016.328</v>
      </c>
      <c r="L18" s="1">
        <v>1204614.094</v>
      </c>
      <c r="M18" s="1">
        <v>1318604.9950000001</v>
      </c>
      <c r="N18" s="1">
        <v>1332692.446</v>
      </c>
      <c r="O18" s="1">
        <v>1419829.9210000001</v>
      </c>
      <c r="P18" s="1">
        <v>1493525.17</v>
      </c>
      <c r="Q18" s="1">
        <v>1613881.882</v>
      </c>
      <c r="R18" s="1">
        <v>1723216.041</v>
      </c>
      <c r="S18" s="1">
        <v>1882754.1980000001</v>
      </c>
      <c r="T18" s="1">
        <v>2054299.709</v>
      </c>
      <c r="U18" s="1">
        <v>2090104.5379999999</v>
      </c>
      <c r="V18" s="1">
        <v>2312673.6290000002</v>
      </c>
      <c r="W18" s="1">
        <v>2409516.0430000001</v>
      </c>
      <c r="X18" s="1">
        <v>2366952.2579999999</v>
      </c>
      <c r="Y18" s="1">
        <v>2499788.0189999999</v>
      </c>
      <c r="Z18" s="1">
        <v>2495617.5970000001</v>
      </c>
      <c r="AA18" s="1">
        <v>2523211.8390000002</v>
      </c>
      <c r="AB18" s="1">
        <v>2628351.1439999999</v>
      </c>
      <c r="AC18" s="1">
        <v>2755381.537</v>
      </c>
      <c r="AE18" s="1">
        <v>2785392.648</v>
      </c>
    </row>
    <row r="19" spans="1:31">
      <c r="A19" s="1" t="s">
        <v>36</v>
      </c>
      <c r="B19" s="1">
        <v>208580</v>
      </c>
      <c r="C19" s="1">
        <f>0+215489</f>
        <v>215489</v>
      </c>
      <c r="D19" s="1">
        <f>0+236933</f>
        <v>236933</v>
      </c>
      <c r="E19" s="1">
        <v>297009.658</v>
      </c>
      <c r="F19" s="41">
        <v>320688.84700000001</v>
      </c>
      <c r="G19" s="1">
        <v>307371.12699999998</v>
      </c>
      <c r="H19" s="1">
        <v>316846.11499999999</v>
      </c>
      <c r="I19" s="1">
        <v>352253.37800000003</v>
      </c>
      <c r="J19" s="1">
        <v>364963.32199999999</v>
      </c>
      <c r="K19" s="1">
        <v>391746.58243000001</v>
      </c>
      <c r="L19" s="1">
        <v>479000.32699999999</v>
      </c>
      <c r="M19" s="1">
        <v>518077.723</v>
      </c>
      <c r="N19" s="1">
        <v>537432.14899999998</v>
      </c>
      <c r="O19" s="1">
        <v>555079.95900000003</v>
      </c>
      <c r="P19" s="1">
        <v>589911.95200000005</v>
      </c>
      <c r="Q19" s="1">
        <v>631397.72400000005</v>
      </c>
      <c r="R19" s="1">
        <v>688996.66700000002</v>
      </c>
      <c r="S19" s="1">
        <v>762182.549</v>
      </c>
      <c r="T19" s="1">
        <v>822472.24</v>
      </c>
      <c r="U19" s="1">
        <v>608843.05599999998</v>
      </c>
      <c r="V19" s="1">
        <v>930819.83200000005</v>
      </c>
      <c r="W19" s="1">
        <v>987532.68200000003</v>
      </c>
      <c r="X19" s="1">
        <v>1022634.503</v>
      </c>
      <c r="Y19" s="1">
        <v>1037650.659</v>
      </c>
      <c r="Z19" s="1">
        <v>1084515.1059999999</v>
      </c>
      <c r="AA19" s="1">
        <v>1108369.1680000001</v>
      </c>
      <c r="AB19" s="1">
        <v>1137613.862</v>
      </c>
      <c r="AC19" s="1">
        <v>1151602.1680000001</v>
      </c>
      <c r="AE19" s="1">
        <v>1119533.4879999999</v>
      </c>
    </row>
    <row r="20" spans="1:31">
      <c r="A20" s="1" t="s">
        <v>37</v>
      </c>
      <c r="B20" s="1">
        <f>104571+92465</f>
        <v>197036</v>
      </c>
      <c r="C20" s="1">
        <f>125558+98873</f>
        <v>224431</v>
      </c>
      <c r="D20" s="1">
        <f>137426+116489</f>
        <v>253915</v>
      </c>
      <c r="E20" s="1">
        <v>359896.06699999998</v>
      </c>
      <c r="F20" s="41">
        <v>373611.78200000001</v>
      </c>
      <c r="G20" s="1">
        <v>403892.451</v>
      </c>
      <c r="H20" s="1">
        <v>417446.489</v>
      </c>
      <c r="I20" s="1">
        <v>433574.37099999998</v>
      </c>
      <c r="J20" s="1">
        <v>454106.11</v>
      </c>
      <c r="K20" s="1">
        <v>477337.58500000002</v>
      </c>
      <c r="L20" s="1">
        <v>584509.49899999995</v>
      </c>
      <c r="M20" s="1">
        <v>567715.31099999999</v>
      </c>
      <c r="N20" s="1">
        <v>576670.54599999997</v>
      </c>
      <c r="O20" s="1">
        <v>615944.55799999996</v>
      </c>
      <c r="P20" s="1">
        <v>618501.95900000003</v>
      </c>
      <c r="Q20" s="1">
        <v>669816.65300000005</v>
      </c>
      <c r="R20" s="1">
        <v>727519.89199999999</v>
      </c>
      <c r="S20" s="1">
        <v>787284.53899999999</v>
      </c>
      <c r="T20" s="1">
        <v>880984.33799999999</v>
      </c>
      <c r="U20" s="1">
        <v>705491.72900000005</v>
      </c>
      <c r="V20" s="1">
        <v>1034623.196</v>
      </c>
      <c r="W20" s="1">
        <v>1069631.6359999999</v>
      </c>
      <c r="X20" s="1">
        <v>1097344.3160000001</v>
      </c>
      <c r="Y20" s="1">
        <v>1165962.014</v>
      </c>
      <c r="Z20" s="1">
        <v>1210631.0959999999</v>
      </c>
      <c r="AA20" s="1">
        <v>1274034.4439999999</v>
      </c>
      <c r="AB20" s="1">
        <v>1319647.888</v>
      </c>
      <c r="AC20" s="1">
        <v>1383877.51</v>
      </c>
      <c r="AE20" s="1">
        <v>1442289.709</v>
      </c>
    </row>
    <row r="21" spans="1:31" s="11" customFormat="1">
      <c r="A21" s="1" t="s">
        <v>38</v>
      </c>
      <c r="B21" s="1">
        <f>73430+195176</f>
        <v>268606</v>
      </c>
      <c r="C21" s="1">
        <f>82944+224908</f>
        <v>307852</v>
      </c>
      <c r="D21" s="1">
        <f>87939+243267</f>
        <v>331206</v>
      </c>
      <c r="E21" s="1">
        <v>459280.83100000001</v>
      </c>
      <c r="F21" s="41">
        <v>456549.81400000001</v>
      </c>
      <c r="G21" s="1">
        <v>505430.04499999998</v>
      </c>
      <c r="H21" s="1">
        <v>551129.29399999999</v>
      </c>
      <c r="I21" s="1">
        <v>590076.18200000003</v>
      </c>
      <c r="J21" s="1">
        <v>604526.90700000001</v>
      </c>
      <c r="K21" s="1">
        <v>614608.42952999996</v>
      </c>
      <c r="L21" s="1">
        <v>699080.94299999997</v>
      </c>
      <c r="M21" s="1">
        <v>764631.35100000002</v>
      </c>
      <c r="N21" s="1">
        <v>788778.348</v>
      </c>
      <c r="O21" s="1">
        <v>817215.2</v>
      </c>
      <c r="P21" s="1">
        <v>820822.52</v>
      </c>
      <c r="Q21" s="1">
        <v>875520.58499999996</v>
      </c>
      <c r="R21" s="1">
        <v>918503.06200000003</v>
      </c>
      <c r="S21" s="1">
        <v>972665.75</v>
      </c>
      <c r="T21" s="1">
        <v>1052028.7819999999</v>
      </c>
      <c r="U21" s="1">
        <v>1055892.6969999999</v>
      </c>
      <c r="V21" s="1">
        <v>1215858.426</v>
      </c>
      <c r="W21" s="1">
        <v>1269914.0830000001</v>
      </c>
      <c r="X21" s="11">
        <v>1331534.33</v>
      </c>
      <c r="Y21" s="1">
        <v>1398581.932</v>
      </c>
      <c r="Z21" s="1">
        <v>1498353.446</v>
      </c>
      <c r="AA21" s="1">
        <v>1458024.4080000001</v>
      </c>
      <c r="AB21" s="1">
        <v>1474006.067</v>
      </c>
      <c r="AC21" s="1">
        <v>1544051.601</v>
      </c>
      <c r="AD21" s="1"/>
      <c r="AE21" s="1">
        <v>1597370.898</v>
      </c>
    </row>
    <row r="22" spans="1:31">
      <c r="A22" s="1" t="s">
        <v>39</v>
      </c>
      <c r="B22" s="1">
        <f>339806+792705</f>
        <v>1132511</v>
      </c>
      <c r="C22" s="1">
        <f>356193+831408</f>
        <v>1187601</v>
      </c>
      <c r="D22" s="1">
        <f>370913+859631</f>
        <v>1230544</v>
      </c>
      <c r="E22" s="1">
        <v>1688812.3540000001</v>
      </c>
      <c r="F22" s="41">
        <v>1850658.047</v>
      </c>
      <c r="G22" s="1">
        <v>2043702.882</v>
      </c>
      <c r="H22" s="1">
        <v>2178137.7429999998</v>
      </c>
      <c r="I22" s="1">
        <v>2299559.5070000002</v>
      </c>
      <c r="J22" s="1">
        <v>2393274.3530000001</v>
      </c>
      <c r="K22" s="1">
        <v>2473031.2859999998</v>
      </c>
      <c r="L22" s="1">
        <v>2821597.2030000002</v>
      </c>
      <c r="M22" s="1">
        <v>3045054.4309999999</v>
      </c>
      <c r="N22" s="1">
        <v>3351881.5389999999</v>
      </c>
      <c r="O22" s="1">
        <v>3544654.8930000002</v>
      </c>
      <c r="P22" s="1">
        <v>3529602.605</v>
      </c>
      <c r="Q22" s="1">
        <v>3831435.84</v>
      </c>
      <c r="R22" s="1">
        <v>4061544.4330000002</v>
      </c>
      <c r="S22" s="1">
        <v>4308798.8789999997</v>
      </c>
      <c r="T22" s="1">
        <v>4591504.8640000001</v>
      </c>
      <c r="U22" s="1">
        <v>3166587.8560000001</v>
      </c>
      <c r="V22" s="1">
        <v>5868844.9840000002</v>
      </c>
      <c r="W22" s="1">
        <v>5990580.5580000002</v>
      </c>
      <c r="X22" s="1">
        <v>6108909.9050000003</v>
      </c>
      <c r="Y22" s="1">
        <v>4132918.4530000002</v>
      </c>
      <c r="Z22" s="1">
        <v>4453045.3540000003</v>
      </c>
      <c r="AA22" s="1">
        <v>4680426.9740000004</v>
      </c>
      <c r="AB22" s="1">
        <v>7573792.3689999999</v>
      </c>
      <c r="AC22" s="1">
        <v>7950763.1390000004</v>
      </c>
      <c r="AE22" s="1">
        <v>8415176.1649999991</v>
      </c>
    </row>
    <row r="23" spans="1:31">
      <c r="A23" s="1" t="s">
        <v>40</v>
      </c>
      <c r="B23" s="1">
        <f>148439+213740</f>
        <v>362179</v>
      </c>
      <c r="C23" s="1">
        <f>163077+242239</f>
        <v>405316</v>
      </c>
      <c r="D23" s="1">
        <f>181819+268476</f>
        <v>450295</v>
      </c>
      <c r="E23" s="1">
        <v>675779.40099999995</v>
      </c>
      <c r="F23" s="41">
        <v>682258.43799999997</v>
      </c>
      <c r="G23" s="1">
        <v>699044.36399999994</v>
      </c>
      <c r="H23" s="1">
        <v>728326.18400000001</v>
      </c>
      <c r="I23" s="1">
        <v>778101.24899999995</v>
      </c>
      <c r="J23" s="1">
        <v>793135.07700000005</v>
      </c>
      <c r="K23" s="1">
        <v>848327.07400000002</v>
      </c>
      <c r="L23" s="1">
        <v>1036362.204</v>
      </c>
      <c r="M23" s="1">
        <v>1117741.486</v>
      </c>
      <c r="N23" s="1">
        <v>1106047.0630000001</v>
      </c>
      <c r="O23" s="1">
        <v>1122458.5060000001</v>
      </c>
      <c r="P23" s="1">
        <v>1131896.2409999999</v>
      </c>
      <c r="Q23" s="1">
        <v>1243674.7239999999</v>
      </c>
      <c r="R23" s="1">
        <v>1327407.699</v>
      </c>
      <c r="S23" s="1">
        <v>1473496.4380000001</v>
      </c>
      <c r="T23" s="1">
        <v>1617890.6969999999</v>
      </c>
      <c r="U23" s="1">
        <v>1647828.077</v>
      </c>
      <c r="V23" s="1">
        <v>1862630.638</v>
      </c>
      <c r="W23" s="1">
        <v>1957372.3359999999</v>
      </c>
      <c r="X23" s="1">
        <v>2027745.054</v>
      </c>
      <c r="Y23" s="1">
        <v>2136847.7379999999</v>
      </c>
      <c r="Z23" s="1">
        <v>2220525.804</v>
      </c>
      <c r="AA23" s="1">
        <v>2327182.5789999999</v>
      </c>
      <c r="AB23" s="1">
        <v>2447534.176</v>
      </c>
      <c r="AC23" s="1">
        <v>2567645.9389999998</v>
      </c>
      <c r="AE23" s="1">
        <v>2736614.6150000002</v>
      </c>
    </row>
    <row r="24" spans="1:31">
      <c r="A24" s="23" t="s">
        <v>41</v>
      </c>
      <c r="B24" s="23">
        <f>57214+50916</f>
        <v>108130</v>
      </c>
      <c r="C24" s="23">
        <f>60691+54531</f>
        <v>115222</v>
      </c>
      <c r="D24" s="23">
        <f>62905+60110</f>
        <v>123015</v>
      </c>
      <c r="E24" s="23">
        <v>188807.01699999999</v>
      </c>
      <c r="F24" s="44">
        <v>205457.84299999999</v>
      </c>
      <c r="G24" s="23">
        <v>205909.27600000001</v>
      </c>
      <c r="H24" s="23">
        <v>212711.65100000001</v>
      </c>
      <c r="I24" s="23">
        <v>220706.19099999999</v>
      </c>
      <c r="J24" s="23">
        <v>233644.28899999999</v>
      </c>
      <c r="K24" s="23">
        <v>241981.76603999999</v>
      </c>
      <c r="L24" s="23">
        <v>268352.72499999998</v>
      </c>
      <c r="M24" s="23">
        <v>275017.239</v>
      </c>
      <c r="N24" s="23">
        <v>277683.79700000002</v>
      </c>
      <c r="O24" s="23">
        <v>293957.67700000003</v>
      </c>
      <c r="P24" s="23">
        <v>304455.55200000003</v>
      </c>
      <c r="Q24" s="23">
        <v>306739.58799999999</v>
      </c>
      <c r="R24" s="23">
        <v>343153.93599999999</v>
      </c>
      <c r="S24" s="23">
        <v>351897.04100000003</v>
      </c>
      <c r="T24" s="23">
        <v>382189.48800000001</v>
      </c>
      <c r="U24" s="23">
        <v>396534.06300000002</v>
      </c>
      <c r="V24" s="23">
        <v>513276.77299999999</v>
      </c>
      <c r="W24" s="23">
        <v>542084.05799999996</v>
      </c>
      <c r="X24" s="23">
        <v>568923.95900000003</v>
      </c>
      <c r="Y24" s="23">
        <v>571335.65300000005</v>
      </c>
      <c r="Z24" s="23">
        <v>581949.68799999997</v>
      </c>
      <c r="AA24" s="23">
        <v>599228.03099999996</v>
      </c>
      <c r="AB24" s="23">
        <v>536279.98699999996</v>
      </c>
      <c r="AC24" s="23">
        <v>547791.85499999998</v>
      </c>
      <c r="AD24" s="23"/>
      <c r="AE24" s="23">
        <v>573926.93999999994</v>
      </c>
    </row>
    <row r="25" spans="1:31">
      <c r="A25" s="7" t="s">
        <v>42</v>
      </c>
      <c r="B25" s="47">
        <f>SUM(B27:B39)</f>
        <v>0</v>
      </c>
      <c r="C25" s="47">
        <f t="shared" ref="C25:AC25" si="10">SUM(C27:C39)</f>
        <v>0</v>
      </c>
      <c r="D25" s="47">
        <f t="shared" si="10"/>
        <v>0</v>
      </c>
      <c r="E25" s="47">
        <f t="shared" si="10"/>
        <v>0</v>
      </c>
      <c r="F25" s="47">
        <f t="shared" si="10"/>
        <v>5549021.6229999997</v>
      </c>
      <c r="G25" s="47">
        <f t="shared" si="10"/>
        <v>0</v>
      </c>
      <c r="H25" s="47">
        <f t="shared" si="10"/>
        <v>0</v>
      </c>
      <c r="I25" s="47">
        <f t="shared" si="10"/>
        <v>5910127.7009999994</v>
      </c>
      <c r="J25" s="47">
        <f t="shared" si="10"/>
        <v>0</v>
      </c>
      <c r="K25" s="47">
        <f t="shared" si="10"/>
        <v>6618955.5883300006</v>
      </c>
      <c r="L25" s="47">
        <f t="shared" si="10"/>
        <v>7800878.2069999995</v>
      </c>
      <c r="M25" s="47">
        <f t="shared" si="10"/>
        <v>8387943.4039999992</v>
      </c>
      <c r="N25" s="47">
        <f t="shared" si="10"/>
        <v>8804171.0239999983</v>
      </c>
      <c r="O25" s="47">
        <f t="shared" si="10"/>
        <v>9014962.3080000002</v>
      </c>
      <c r="P25" s="47">
        <f t="shared" si="10"/>
        <v>9274923.245000001</v>
      </c>
      <c r="Q25" s="47">
        <f t="shared" si="10"/>
        <v>9948358.6250000019</v>
      </c>
      <c r="R25" s="47">
        <f t="shared" si="10"/>
        <v>10499288.318</v>
      </c>
      <c r="S25" s="47">
        <f t="shared" si="10"/>
        <v>11376556.875999998</v>
      </c>
      <c r="T25" s="47">
        <f t="shared" si="10"/>
        <v>12829788.544</v>
      </c>
      <c r="U25" s="47">
        <f t="shared" si="10"/>
        <v>12810112.645000001</v>
      </c>
      <c r="V25" s="47">
        <f t="shared" si="10"/>
        <v>13971424.905000001</v>
      </c>
      <c r="W25" s="47">
        <f t="shared" si="10"/>
        <v>14840930.293</v>
      </c>
      <c r="X25" s="47">
        <f t="shared" si="10"/>
        <v>15644300.670999998</v>
      </c>
      <c r="Y25" s="47">
        <f t="shared" si="10"/>
        <v>16361368.247000001</v>
      </c>
      <c r="Z25" s="47">
        <f t="shared" si="10"/>
        <v>17411200.204</v>
      </c>
      <c r="AA25" s="47">
        <f t="shared" si="10"/>
        <v>18625008.910999998</v>
      </c>
      <c r="AB25" s="47">
        <f t="shared" si="10"/>
        <v>19602639.277999997</v>
      </c>
      <c r="AC25" s="47">
        <f t="shared" si="10"/>
        <v>20443707.484999999</v>
      </c>
      <c r="AD25" s="47">
        <f t="shared" ref="AD25:AE25" si="11">SUM(AD27:AD39)</f>
        <v>0</v>
      </c>
      <c r="AE25" s="47">
        <f t="shared" si="11"/>
        <v>21867630.649999999</v>
      </c>
    </row>
    <row r="26" spans="1:31">
      <c r="A26" s="7" t="s">
        <v>97</v>
      </c>
    </row>
    <row r="27" spans="1:31">
      <c r="A27" s="1" t="s">
        <v>43</v>
      </c>
      <c r="F27" s="41">
        <v>92823.509000000005</v>
      </c>
      <c r="I27" s="1">
        <v>93597.259000000005</v>
      </c>
      <c r="K27" s="1">
        <v>97854.687999999995</v>
      </c>
      <c r="L27" s="1">
        <v>99722.792000000001</v>
      </c>
      <c r="M27" s="1">
        <v>112653.33</v>
      </c>
      <c r="N27" s="1">
        <v>124806.69100000001</v>
      </c>
      <c r="O27" s="1">
        <v>131207.91200000001</v>
      </c>
      <c r="P27" s="1">
        <v>140477.41399999999</v>
      </c>
      <c r="Q27" s="1">
        <v>146348.04300000001</v>
      </c>
      <c r="R27" s="1">
        <v>158788.696</v>
      </c>
      <c r="S27" s="1">
        <v>174597.13800000001</v>
      </c>
      <c r="T27" s="1">
        <v>176479.98800000001</v>
      </c>
      <c r="U27" s="1">
        <v>226581.9</v>
      </c>
      <c r="V27" s="1">
        <v>236615.6</v>
      </c>
      <c r="W27" s="1">
        <v>243308.53099999999</v>
      </c>
      <c r="X27" s="1">
        <v>247149.41699999999</v>
      </c>
      <c r="Y27" s="1">
        <v>250288.05799999999</v>
      </c>
      <c r="Z27" s="1">
        <v>260310.022</v>
      </c>
      <c r="AA27" s="1">
        <v>264556.27399999998</v>
      </c>
      <c r="AB27" s="1">
        <v>264940.05699999997</v>
      </c>
      <c r="AC27" s="1">
        <v>248853.70600000001</v>
      </c>
      <c r="AE27" s="1">
        <v>242392.39300000001</v>
      </c>
    </row>
    <row r="28" spans="1:31">
      <c r="A28" s="1" t="s">
        <v>44</v>
      </c>
      <c r="F28" s="41">
        <v>377333.08</v>
      </c>
      <c r="I28" s="1">
        <v>432401.761</v>
      </c>
      <c r="K28" s="1">
        <v>484415.63900000002</v>
      </c>
      <c r="L28" s="1">
        <v>588041.12899999996</v>
      </c>
      <c r="M28" s="1">
        <v>623075.51800000004</v>
      </c>
      <c r="N28" s="1">
        <v>629789.30500000005</v>
      </c>
      <c r="O28" s="1">
        <v>660088.59199999995</v>
      </c>
      <c r="P28" s="1">
        <v>704719.33400000003</v>
      </c>
      <c r="Q28" s="1">
        <v>734234.81700000004</v>
      </c>
      <c r="R28" s="1">
        <v>795783.57400000002</v>
      </c>
      <c r="S28" s="1">
        <v>867044.826</v>
      </c>
      <c r="T28" s="1">
        <v>933396.80599999998</v>
      </c>
      <c r="U28" s="1">
        <v>940161.08799999999</v>
      </c>
      <c r="V28" s="1">
        <v>1129157.5060000001</v>
      </c>
      <c r="W28" s="1">
        <v>1181700.304</v>
      </c>
      <c r="X28" s="1">
        <v>1230289.2490000001</v>
      </c>
      <c r="Y28" s="1">
        <v>1236468.2180000001</v>
      </c>
      <c r="Z28" s="1">
        <v>1360048.335</v>
      </c>
      <c r="AA28" s="1">
        <v>1433823.7080000001</v>
      </c>
      <c r="AB28" s="1">
        <v>1464125.257</v>
      </c>
      <c r="AC28" s="1">
        <v>1536748.149</v>
      </c>
      <c r="AE28" s="1">
        <v>1879768.111</v>
      </c>
    </row>
    <row r="29" spans="1:31">
      <c r="A29" s="1" t="s">
        <v>45</v>
      </c>
      <c r="F29" s="41">
        <v>2870733.4</v>
      </c>
      <c r="I29" s="1">
        <v>2873908.24</v>
      </c>
      <c r="K29" s="1">
        <v>3246793.4419999998</v>
      </c>
      <c r="L29" s="1">
        <v>3868744.6869999999</v>
      </c>
      <c r="M29" s="1">
        <v>4184380.7310000001</v>
      </c>
      <c r="N29" s="1">
        <v>4137131.2790000001</v>
      </c>
      <c r="O29" s="1">
        <v>4393845.1100000003</v>
      </c>
      <c r="P29" s="1">
        <v>4564143.93</v>
      </c>
      <c r="Q29" s="1">
        <v>4713348.926</v>
      </c>
      <c r="R29" s="1">
        <v>5009670.6239999998</v>
      </c>
      <c r="S29" s="1">
        <v>5397834.3729999997</v>
      </c>
      <c r="T29" s="1">
        <v>6313555.1370000001</v>
      </c>
      <c r="U29" s="1">
        <v>6261278.9759999998</v>
      </c>
      <c r="V29" s="1">
        <v>6452372.0109999999</v>
      </c>
      <c r="W29" s="1">
        <v>7019690.4730000002</v>
      </c>
      <c r="X29" s="1">
        <v>7449591.6859999998</v>
      </c>
      <c r="Y29" s="1">
        <v>7823432.034</v>
      </c>
      <c r="Z29" s="1">
        <v>8365644.0939999996</v>
      </c>
      <c r="AA29" s="1">
        <v>9076760.5219999999</v>
      </c>
      <c r="AB29" s="1">
        <v>9655109.3629999999</v>
      </c>
      <c r="AC29" s="1">
        <v>10057279.306</v>
      </c>
      <c r="AE29" s="1">
        <v>10565426.642000001</v>
      </c>
    </row>
    <row r="30" spans="1:31">
      <c r="A30" s="1" t="s">
        <v>46</v>
      </c>
      <c r="F30" s="41">
        <v>489506.674</v>
      </c>
      <c r="I30" s="1">
        <v>538661.87600000005</v>
      </c>
      <c r="K30" s="1">
        <v>582638.50869000005</v>
      </c>
      <c r="L30" s="1">
        <v>678630.53799999994</v>
      </c>
      <c r="M30" s="1">
        <v>723543.52099999995</v>
      </c>
      <c r="N30" s="1">
        <v>1061904.9240000001</v>
      </c>
      <c r="O30" s="1">
        <v>796440.87</v>
      </c>
      <c r="P30" s="1">
        <v>648984.69099999999</v>
      </c>
      <c r="Q30" s="1">
        <v>915267.47</v>
      </c>
      <c r="R30" s="1">
        <v>853793.72699999996</v>
      </c>
      <c r="S30" s="1">
        <v>914032.69400000002</v>
      </c>
      <c r="T30" s="1">
        <v>1012877.667</v>
      </c>
      <c r="U30" s="1">
        <v>1055564.389</v>
      </c>
      <c r="V30" s="1">
        <v>1265160.5560000001</v>
      </c>
      <c r="W30" s="1">
        <v>1326593.723</v>
      </c>
      <c r="X30" s="1">
        <v>1445680.4069999999</v>
      </c>
      <c r="Y30" s="1">
        <v>1541960.9069999999</v>
      </c>
      <c r="Z30" s="1">
        <v>1646143.9879999999</v>
      </c>
      <c r="AA30" s="1">
        <v>1750941.273</v>
      </c>
      <c r="AB30" s="1">
        <v>1817103.9310000001</v>
      </c>
      <c r="AC30" s="1">
        <v>1958313.2120000001</v>
      </c>
      <c r="AE30" s="1">
        <v>2165211.2489999998</v>
      </c>
    </row>
    <row r="31" spans="1:31">
      <c r="A31" s="1" t="s">
        <v>47</v>
      </c>
      <c r="F31" s="41">
        <v>152271.53200000001</v>
      </c>
      <c r="I31" s="1">
        <v>173472.25099999999</v>
      </c>
      <c r="K31" s="1">
        <v>176260.32</v>
      </c>
      <c r="L31" s="1">
        <v>180253.12299999999</v>
      </c>
      <c r="M31" s="1">
        <v>174312.179</v>
      </c>
      <c r="N31" s="1">
        <v>176543.79300000001</v>
      </c>
      <c r="O31" s="1">
        <v>205318.96900000001</v>
      </c>
      <c r="P31" s="1">
        <v>224862.46100000001</v>
      </c>
      <c r="Q31" s="1">
        <v>237071.302</v>
      </c>
      <c r="R31" s="1">
        <v>254779.74</v>
      </c>
      <c r="S31" s="1">
        <v>272347.07</v>
      </c>
      <c r="T31" s="1">
        <v>296727.42800000001</v>
      </c>
      <c r="U31" s="1">
        <v>303154.01299999998</v>
      </c>
      <c r="V31" s="1">
        <v>330279.60700000002</v>
      </c>
      <c r="W31" s="1">
        <v>317665.84899999999</v>
      </c>
      <c r="X31" s="1">
        <v>350664.66200000001</v>
      </c>
      <c r="Y31" s="1">
        <v>369994.66</v>
      </c>
      <c r="Z31" s="1">
        <v>405943.70600000001</v>
      </c>
      <c r="AA31" s="1">
        <v>509626.56599999999</v>
      </c>
      <c r="AB31" s="1">
        <v>406762.52399999998</v>
      </c>
      <c r="AC31" s="1">
        <v>423127.25699999998</v>
      </c>
      <c r="AE31" s="1">
        <v>465132.72200000001</v>
      </c>
    </row>
    <row r="32" spans="1:31">
      <c r="A32" s="1" t="s">
        <v>48</v>
      </c>
      <c r="F32" s="41">
        <v>134441.82199999999</v>
      </c>
      <c r="I32" s="1">
        <v>154010.26199999999</v>
      </c>
      <c r="K32" s="1">
        <v>170213.886</v>
      </c>
      <c r="L32" s="1">
        <v>198670.76500000001</v>
      </c>
      <c r="M32" s="1">
        <v>215894.174</v>
      </c>
      <c r="N32" s="1">
        <v>233403.82800000001</v>
      </c>
      <c r="O32" s="1">
        <v>216737.97</v>
      </c>
      <c r="P32" s="1">
        <v>228262.26199999999</v>
      </c>
      <c r="Q32" s="1">
        <v>239636.11300000001</v>
      </c>
      <c r="R32" s="1">
        <v>262468.05</v>
      </c>
      <c r="S32" s="1">
        <v>270466.97200000001</v>
      </c>
      <c r="T32" s="1">
        <v>283309.81599999999</v>
      </c>
      <c r="U32" s="1">
        <v>293438.40000000002</v>
      </c>
      <c r="V32" s="1">
        <v>311798.26699999999</v>
      </c>
      <c r="W32" s="1">
        <v>315341.53200000001</v>
      </c>
      <c r="X32" s="1">
        <v>328342.38099999999</v>
      </c>
      <c r="Y32" s="1">
        <v>345261.85100000002</v>
      </c>
      <c r="Z32" s="1">
        <v>349952.55900000001</v>
      </c>
      <c r="AA32" s="1">
        <v>363648.20400000003</v>
      </c>
      <c r="AB32" s="1">
        <v>373667.49699999997</v>
      </c>
      <c r="AC32" s="1">
        <v>386010.076</v>
      </c>
      <c r="AE32" s="1">
        <v>416548.78200000001</v>
      </c>
    </row>
    <row r="33" spans="1:31">
      <c r="A33" s="1" t="s">
        <v>49</v>
      </c>
      <c r="F33" s="41">
        <v>83981.087</v>
      </c>
      <c r="I33" s="1">
        <v>93356.089000000007</v>
      </c>
      <c r="K33" s="1">
        <v>112632.905</v>
      </c>
      <c r="L33" s="1">
        <v>131730.79999999999</v>
      </c>
      <c r="M33" s="1">
        <v>134645.622</v>
      </c>
      <c r="N33" s="1">
        <v>141573.80499999999</v>
      </c>
      <c r="O33" s="1">
        <v>148885.03</v>
      </c>
      <c r="P33" s="1">
        <v>153792.18799999999</v>
      </c>
      <c r="Q33" s="1">
        <v>159464.19399999999</v>
      </c>
      <c r="R33" s="1">
        <v>169558.16099999999</v>
      </c>
      <c r="S33" s="1">
        <v>180020.18799999999</v>
      </c>
      <c r="T33" s="1">
        <v>191998.97099999999</v>
      </c>
      <c r="U33" s="1">
        <v>215807.234</v>
      </c>
      <c r="V33" s="1">
        <v>233537.22399999999</v>
      </c>
      <c r="W33" s="1">
        <v>241843.18400000001</v>
      </c>
      <c r="X33" s="1">
        <v>248787.16699999999</v>
      </c>
      <c r="Y33" s="1">
        <v>258457.726</v>
      </c>
      <c r="Z33" s="1">
        <v>268046.79599999997</v>
      </c>
      <c r="AA33" s="1">
        <v>270962.43300000002</v>
      </c>
      <c r="AB33" s="1">
        <v>274518.98499999999</v>
      </c>
      <c r="AC33" s="1">
        <v>285929.255</v>
      </c>
      <c r="AE33" s="1">
        <v>274670.19199999998</v>
      </c>
    </row>
    <row r="34" spans="1:31">
      <c r="A34" s="1" t="s">
        <v>50</v>
      </c>
      <c r="F34" s="41">
        <v>105696.05100000001</v>
      </c>
      <c r="I34" s="1">
        <v>119552.681</v>
      </c>
      <c r="K34" s="1">
        <v>148597.36499999999</v>
      </c>
      <c r="L34" s="1">
        <v>193063.66099999999</v>
      </c>
      <c r="M34" s="1">
        <v>205589.59599999999</v>
      </c>
      <c r="N34" s="1">
        <v>224679.288</v>
      </c>
      <c r="O34" s="1">
        <v>242045.25200000001</v>
      </c>
      <c r="P34" s="1">
        <v>327017.81099999999</v>
      </c>
      <c r="Q34" s="1">
        <v>362591.72200000001</v>
      </c>
      <c r="R34" s="1">
        <v>385212.674</v>
      </c>
      <c r="S34" s="1">
        <v>433373.14899999998</v>
      </c>
      <c r="T34" s="1">
        <v>469974.49599999998</v>
      </c>
      <c r="U34" s="1">
        <v>363471.77799999999</v>
      </c>
      <c r="V34" s="1">
        <v>447598.84</v>
      </c>
      <c r="W34" s="1">
        <v>450802.65700000001</v>
      </c>
      <c r="X34" s="1">
        <v>437034.609</v>
      </c>
      <c r="Y34" s="1">
        <v>450508.21</v>
      </c>
      <c r="Z34" s="1">
        <v>471674.35499999998</v>
      </c>
      <c r="AA34" s="1">
        <v>482623.27100000001</v>
      </c>
      <c r="AB34" s="1">
        <v>523636.50199999998</v>
      </c>
      <c r="AC34" s="1">
        <v>554986.33600000001</v>
      </c>
      <c r="AE34" s="1">
        <v>606204.71600000001</v>
      </c>
    </row>
    <row r="35" spans="1:31">
      <c r="A35" s="1" t="s">
        <v>51</v>
      </c>
      <c r="F35" s="41">
        <v>175459.91</v>
      </c>
      <c r="I35" s="1">
        <v>210358.51800000001</v>
      </c>
      <c r="K35" s="1">
        <v>241371.41063999999</v>
      </c>
      <c r="L35" s="1">
        <v>254858.08</v>
      </c>
      <c r="M35" s="1">
        <v>264775.79399999999</v>
      </c>
      <c r="N35" s="1">
        <v>289169.522</v>
      </c>
      <c r="O35" s="1">
        <v>295262.43</v>
      </c>
      <c r="P35" s="1">
        <v>310306.27500000002</v>
      </c>
      <c r="Q35" s="1">
        <v>323383.50099999999</v>
      </c>
      <c r="R35" s="1">
        <v>334518.04200000002</v>
      </c>
      <c r="S35" s="1">
        <v>351978.158</v>
      </c>
      <c r="T35" s="1">
        <v>378304.53700000001</v>
      </c>
      <c r="U35" s="1">
        <v>407283.84600000002</v>
      </c>
      <c r="V35" s="1">
        <v>457260.78600000002</v>
      </c>
      <c r="W35" s="1">
        <v>452257.82900000003</v>
      </c>
      <c r="X35" s="1">
        <v>458007.83199999999</v>
      </c>
      <c r="Y35" s="1">
        <v>479525.89600000001</v>
      </c>
      <c r="Z35" s="1">
        <v>499829.886</v>
      </c>
      <c r="AA35" s="1">
        <v>525868.90700000001</v>
      </c>
      <c r="AB35" s="1">
        <v>520347.598</v>
      </c>
      <c r="AC35" s="1">
        <v>521476.685</v>
      </c>
      <c r="AE35" s="1">
        <v>505338.375</v>
      </c>
    </row>
    <row r="36" spans="1:31">
      <c r="A36" s="1" t="s">
        <v>52</v>
      </c>
      <c r="F36" s="41">
        <v>278724.84000000003</v>
      </c>
      <c r="I36" s="1">
        <v>317199.54399999999</v>
      </c>
      <c r="K36" s="1">
        <v>381679.10800000001</v>
      </c>
      <c r="L36" s="1">
        <v>481941.93</v>
      </c>
      <c r="M36" s="1">
        <v>525055.77</v>
      </c>
      <c r="N36" s="1">
        <v>475616.69099999999</v>
      </c>
      <c r="O36" s="1">
        <v>487003.83299999998</v>
      </c>
      <c r="P36" s="1">
        <v>502525.027</v>
      </c>
      <c r="Q36" s="1">
        <v>521327.40399999998</v>
      </c>
      <c r="R36" s="1">
        <v>571465.94200000004</v>
      </c>
      <c r="S36" s="1">
        <v>592806.61899999995</v>
      </c>
      <c r="T36" s="1">
        <v>653551.61199999996</v>
      </c>
      <c r="U36" s="1">
        <v>614114.43999999994</v>
      </c>
      <c r="V36" s="1">
        <v>780666.71100000001</v>
      </c>
      <c r="W36" s="1">
        <v>853099.3</v>
      </c>
      <c r="X36" s="1">
        <v>932474.31599999999</v>
      </c>
      <c r="Y36" s="1">
        <v>983554.19700000004</v>
      </c>
      <c r="Z36" s="1">
        <v>1034098.801</v>
      </c>
      <c r="AA36" s="1">
        <v>999801.14899999998</v>
      </c>
      <c r="AB36" s="1">
        <v>1194397.325</v>
      </c>
      <c r="AC36" s="1">
        <v>1149606.0160000001</v>
      </c>
      <c r="AE36" s="1">
        <v>1219580.1680000001</v>
      </c>
    </row>
    <row r="37" spans="1:31">
      <c r="A37" s="1" t="s">
        <v>53</v>
      </c>
      <c r="F37" s="41">
        <v>221503.791</v>
      </c>
      <c r="I37" s="1">
        <v>286122.26699999999</v>
      </c>
      <c r="K37" s="1">
        <v>310847.19199999998</v>
      </c>
      <c r="L37" s="1">
        <v>367686.17800000001</v>
      </c>
      <c r="M37" s="1">
        <v>395455.462</v>
      </c>
      <c r="N37" s="1">
        <v>421158.74</v>
      </c>
      <c r="O37" s="1">
        <v>427418.08199999999</v>
      </c>
      <c r="P37" s="1">
        <v>453302.09100000001</v>
      </c>
      <c r="Q37" s="1">
        <v>479920.592</v>
      </c>
      <c r="R37" s="1">
        <v>510551.11599999998</v>
      </c>
      <c r="S37" s="1">
        <v>537343.52</v>
      </c>
      <c r="T37" s="1">
        <v>604306.01</v>
      </c>
      <c r="U37" s="1">
        <v>616480.96799999999</v>
      </c>
      <c r="V37" s="1">
        <v>615667.37699999998</v>
      </c>
      <c r="W37" s="1">
        <v>685058.68099999998</v>
      </c>
      <c r="X37" s="1">
        <v>756247.71400000004</v>
      </c>
      <c r="Y37" s="1">
        <v>785955.70900000003</v>
      </c>
      <c r="Z37" s="1">
        <v>802549.28700000001</v>
      </c>
      <c r="AA37" s="1">
        <v>857978.62</v>
      </c>
      <c r="AB37" s="1">
        <v>921628.22499999998</v>
      </c>
      <c r="AC37" s="1">
        <v>981712.55500000005</v>
      </c>
      <c r="AE37" s="1">
        <v>1069822.547</v>
      </c>
    </row>
    <row r="38" spans="1:31">
      <c r="A38" s="1" t="s">
        <v>54</v>
      </c>
      <c r="F38" s="41">
        <v>510010.32699999999</v>
      </c>
      <c r="I38" s="1">
        <v>551548.20900000003</v>
      </c>
      <c r="K38" s="1">
        <v>601969.85100000002</v>
      </c>
      <c r="L38" s="1">
        <v>685863.93400000001</v>
      </c>
      <c r="M38" s="1">
        <v>752194.19700000004</v>
      </c>
      <c r="N38" s="1">
        <v>810088.51300000004</v>
      </c>
      <c r="O38" s="1">
        <v>922939.674</v>
      </c>
      <c r="P38" s="1">
        <v>927125.49399999995</v>
      </c>
      <c r="Q38" s="1">
        <v>1020575.2439999999</v>
      </c>
      <c r="R38" s="1">
        <v>1094625.4990000001</v>
      </c>
      <c r="S38" s="1">
        <v>1282235.344</v>
      </c>
      <c r="T38" s="1">
        <v>1399792.72</v>
      </c>
      <c r="U38" s="1">
        <v>1393192.689</v>
      </c>
      <c r="V38" s="1">
        <v>1564188.2849999999</v>
      </c>
      <c r="W38" s="1">
        <v>1599407.2949999999</v>
      </c>
      <c r="X38" s="1">
        <v>1594618.365</v>
      </c>
      <c r="Y38" s="1">
        <v>1678883.3729999999</v>
      </c>
      <c r="Z38" s="1">
        <v>1784394.2250000001</v>
      </c>
      <c r="AA38" s="1">
        <v>1923601.56</v>
      </c>
      <c r="AB38" s="1">
        <v>2025055.74</v>
      </c>
      <c r="AC38" s="1">
        <v>2169513.4270000001</v>
      </c>
      <c r="AE38" s="1">
        <v>2280861.3670000001</v>
      </c>
    </row>
    <row r="39" spans="1:31">
      <c r="A39" s="23" t="s">
        <v>55</v>
      </c>
      <c r="B39" s="23"/>
      <c r="C39" s="23"/>
      <c r="D39" s="23"/>
      <c r="E39" s="23"/>
      <c r="F39" s="44">
        <v>56535.6</v>
      </c>
      <c r="G39" s="23"/>
      <c r="H39" s="23"/>
      <c r="I39" s="23">
        <v>65938.744000000006</v>
      </c>
      <c r="J39" s="23"/>
      <c r="K39" s="23">
        <v>63681.273000000001</v>
      </c>
      <c r="L39" s="23">
        <v>71670.59</v>
      </c>
      <c r="M39" s="23">
        <v>76367.509999999995</v>
      </c>
      <c r="N39" s="23">
        <v>78304.645000000004</v>
      </c>
      <c r="O39" s="23">
        <v>87768.584000000003</v>
      </c>
      <c r="P39" s="23">
        <v>89404.267000000007</v>
      </c>
      <c r="Q39" s="23">
        <v>95189.297000000006</v>
      </c>
      <c r="R39" s="23">
        <v>98072.472999999998</v>
      </c>
      <c r="S39" s="23">
        <v>102476.825</v>
      </c>
      <c r="T39" s="23">
        <v>115513.356</v>
      </c>
      <c r="U39" s="23">
        <v>119582.924</v>
      </c>
      <c r="V39" s="23">
        <v>147122.13500000001</v>
      </c>
      <c r="W39" s="23">
        <v>154160.935</v>
      </c>
      <c r="X39" s="23">
        <v>165412.86600000001</v>
      </c>
      <c r="Y39" s="23">
        <v>157077.408</v>
      </c>
      <c r="Z39" s="23">
        <v>162564.15</v>
      </c>
      <c r="AA39" s="23">
        <v>164816.424</v>
      </c>
      <c r="AB39" s="23">
        <v>161346.274</v>
      </c>
      <c r="AC39" s="23">
        <v>170151.505</v>
      </c>
      <c r="AD39" s="23"/>
      <c r="AE39" s="23">
        <v>176673.386</v>
      </c>
    </row>
    <row r="40" spans="1:31">
      <c r="A40" s="7" t="s">
        <v>56</v>
      </c>
      <c r="B40" s="47">
        <f>SUM(B42:B53)</f>
        <v>0</v>
      </c>
      <c r="C40" s="47">
        <f t="shared" ref="C40:AC40" si="12">SUM(C42:C53)</f>
        <v>0</v>
      </c>
      <c r="D40" s="47">
        <f t="shared" si="12"/>
        <v>0</v>
      </c>
      <c r="E40" s="47">
        <f t="shared" si="12"/>
        <v>0</v>
      </c>
      <c r="F40" s="47">
        <f t="shared" si="12"/>
        <v>6441398.5189999994</v>
      </c>
      <c r="G40" s="47">
        <f t="shared" si="12"/>
        <v>0</v>
      </c>
      <c r="H40" s="47">
        <f t="shared" si="12"/>
        <v>0</v>
      </c>
      <c r="I40" s="47">
        <f t="shared" si="12"/>
        <v>7222060.5259999996</v>
      </c>
      <c r="J40" s="47">
        <f t="shared" si="12"/>
        <v>0</v>
      </c>
      <c r="K40" s="47">
        <f t="shared" si="12"/>
        <v>7724028.5987300007</v>
      </c>
      <c r="L40" s="47">
        <f t="shared" si="12"/>
        <v>8950184.148</v>
      </c>
      <c r="M40" s="47">
        <f t="shared" si="12"/>
        <v>9587647.7669999991</v>
      </c>
      <c r="N40" s="47">
        <f t="shared" si="12"/>
        <v>9895823.347000001</v>
      </c>
      <c r="O40" s="47">
        <f t="shared" si="12"/>
        <v>10204137.241</v>
      </c>
      <c r="P40" s="47">
        <f t="shared" si="12"/>
        <v>10584895.757000001</v>
      </c>
      <c r="Q40" s="47">
        <f t="shared" si="12"/>
        <v>11009560.619000001</v>
      </c>
      <c r="R40" s="47">
        <f t="shared" si="12"/>
        <v>11545208.129999999</v>
      </c>
      <c r="S40" s="47">
        <f t="shared" si="12"/>
        <v>12209259.68</v>
      </c>
      <c r="T40" s="47">
        <f t="shared" si="12"/>
        <v>13373068.393999999</v>
      </c>
      <c r="U40" s="47">
        <f t="shared" si="12"/>
        <v>14308693.953</v>
      </c>
      <c r="V40" s="47">
        <f t="shared" si="12"/>
        <v>15922149.796999998</v>
      </c>
      <c r="W40" s="47">
        <f t="shared" si="12"/>
        <v>16246513.231999999</v>
      </c>
      <c r="X40" s="47">
        <f t="shared" si="12"/>
        <v>16761596.388</v>
      </c>
      <c r="Y40" s="47">
        <f t="shared" si="12"/>
        <v>17392625.418000001</v>
      </c>
      <c r="Z40" s="47">
        <f t="shared" si="12"/>
        <v>17917399.903000001</v>
      </c>
      <c r="AA40" s="47">
        <f t="shared" si="12"/>
        <v>18192844.516000003</v>
      </c>
      <c r="AB40" s="47">
        <f t="shared" si="12"/>
        <v>18710083.864999998</v>
      </c>
      <c r="AC40" s="47">
        <f t="shared" si="12"/>
        <v>19533990.493999999</v>
      </c>
      <c r="AD40" s="47">
        <f t="shared" ref="AD40:AE40" si="13">SUM(AD42:AD53)</f>
        <v>0</v>
      </c>
      <c r="AE40" s="47">
        <f t="shared" si="13"/>
        <v>19428856.437999997</v>
      </c>
    </row>
    <row r="41" spans="1:31">
      <c r="A41" s="7" t="s">
        <v>97</v>
      </c>
    </row>
    <row r="42" spans="1:31">
      <c r="A42" s="1" t="s">
        <v>57</v>
      </c>
      <c r="F42" s="41">
        <v>744333.85600000003</v>
      </c>
      <c r="I42" s="1">
        <v>872756.83</v>
      </c>
      <c r="K42" s="1">
        <v>965658.04099999997</v>
      </c>
      <c r="L42" s="1">
        <v>1101904.3540000001</v>
      </c>
      <c r="M42" s="1">
        <v>1176054.4350000001</v>
      </c>
      <c r="N42" s="1">
        <v>1268643.0279999999</v>
      </c>
      <c r="O42" s="1">
        <v>1249084.993</v>
      </c>
      <c r="P42" s="1">
        <v>1372376.4990000001</v>
      </c>
      <c r="Q42" s="1">
        <v>1378408.5759999999</v>
      </c>
      <c r="R42" s="1">
        <v>1409028.9450000001</v>
      </c>
      <c r="S42" s="1">
        <v>1489319.6459999999</v>
      </c>
      <c r="T42" s="1">
        <v>1600499.71</v>
      </c>
      <c r="U42" s="1">
        <v>1868749.4879999999</v>
      </c>
      <c r="V42" s="1">
        <v>2283223.37</v>
      </c>
      <c r="W42" s="1">
        <v>2322196.781</v>
      </c>
      <c r="X42" s="1">
        <v>2499125.29</v>
      </c>
      <c r="Y42" s="1">
        <v>2739820.432</v>
      </c>
      <c r="Z42" s="1">
        <v>2757329.7760000001</v>
      </c>
      <c r="AA42" s="1">
        <v>2808733.4219999998</v>
      </c>
      <c r="AB42" s="1">
        <v>2765268.2280000001</v>
      </c>
      <c r="AC42" s="1">
        <v>3128528.9070000001</v>
      </c>
      <c r="AE42" s="1">
        <v>2699569.923</v>
      </c>
    </row>
    <row r="43" spans="1:31">
      <c r="A43" s="1" t="s">
        <v>58</v>
      </c>
      <c r="F43" s="41">
        <v>747811.09199999995</v>
      </c>
      <c r="I43" s="1">
        <v>846609.13300000003</v>
      </c>
      <c r="K43" s="1">
        <v>939809.88</v>
      </c>
      <c r="L43" s="1">
        <v>1083659.831</v>
      </c>
      <c r="M43" s="1">
        <v>1125228.3740000001</v>
      </c>
      <c r="N43" s="1">
        <v>1155328.7779999999</v>
      </c>
      <c r="O43" s="1">
        <v>1228693</v>
      </c>
      <c r="P43" s="1">
        <v>1319351.7320000001</v>
      </c>
      <c r="Q43" s="1">
        <v>1402579.4639999999</v>
      </c>
      <c r="R43" s="1">
        <v>1457056.017</v>
      </c>
      <c r="S43" s="1">
        <v>1582351.2009999999</v>
      </c>
      <c r="T43" s="1">
        <v>1704651.105</v>
      </c>
      <c r="U43" s="1">
        <v>1941096.0589999999</v>
      </c>
      <c r="V43" s="1">
        <v>2094891.361</v>
      </c>
      <c r="W43" s="1">
        <v>2156080.031</v>
      </c>
      <c r="X43" s="1">
        <v>2192780.4279999998</v>
      </c>
      <c r="Y43" s="1">
        <v>2170054.7570000002</v>
      </c>
      <c r="Z43" s="1">
        <v>2268656.4019999998</v>
      </c>
      <c r="AA43" s="1">
        <v>2225636.3220000002</v>
      </c>
      <c r="AB43" s="1">
        <v>2458869.233</v>
      </c>
      <c r="AC43" s="1">
        <v>2564925.014</v>
      </c>
      <c r="AE43" s="1">
        <v>2709290.7779999999</v>
      </c>
    </row>
    <row r="44" spans="1:31">
      <c r="A44" s="1" t="s">
        <v>59</v>
      </c>
      <c r="F44" s="41">
        <v>323288.70600000001</v>
      </c>
      <c r="I44" s="1">
        <v>365365.32</v>
      </c>
      <c r="K44" s="1">
        <v>391116.30599999998</v>
      </c>
      <c r="L44" s="1">
        <v>447143.68599999999</v>
      </c>
      <c r="M44" s="1">
        <v>461793.47399999999</v>
      </c>
      <c r="N44" s="1">
        <v>488440.96399999998</v>
      </c>
      <c r="O44" s="1">
        <v>472928.783</v>
      </c>
      <c r="P44" s="1">
        <v>505803.52600000001</v>
      </c>
      <c r="Q44" s="1">
        <v>490883.81400000001</v>
      </c>
      <c r="R44" s="1">
        <v>580797.91599999997</v>
      </c>
      <c r="S44" s="1">
        <v>539818.61699999997</v>
      </c>
      <c r="T44" s="1">
        <v>600298.66500000004</v>
      </c>
      <c r="U44" s="1">
        <v>630919.81900000002</v>
      </c>
      <c r="V44" s="1">
        <v>721312.90099999995</v>
      </c>
      <c r="W44" s="1">
        <v>739061.99300000002</v>
      </c>
      <c r="X44" s="1">
        <v>744905.75699999998</v>
      </c>
      <c r="Y44" s="1">
        <v>761744.01399999997</v>
      </c>
      <c r="Z44" s="1">
        <v>800049.16</v>
      </c>
      <c r="AA44" s="1">
        <v>825624.86199999996</v>
      </c>
      <c r="AB44" s="1">
        <v>818942.18500000006</v>
      </c>
      <c r="AC44" s="1">
        <v>840858.98499999999</v>
      </c>
      <c r="AE44" s="1">
        <v>857906.92</v>
      </c>
    </row>
    <row r="45" spans="1:31">
      <c r="A45" s="1" t="s">
        <v>60</v>
      </c>
      <c r="F45" s="41">
        <v>322747.90899999999</v>
      </c>
      <c r="I45" s="1">
        <v>376448.35800000001</v>
      </c>
      <c r="K45" s="1">
        <v>391798.49798000004</v>
      </c>
      <c r="L45" s="1">
        <v>475220.853</v>
      </c>
      <c r="M45" s="1">
        <v>487562.16800000001</v>
      </c>
      <c r="N45" s="1">
        <v>510131.777</v>
      </c>
      <c r="O45" s="1">
        <v>523483.95600000001</v>
      </c>
      <c r="P45" s="1">
        <v>539157.61300000001</v>
      </c>
      <c r="Q45" s="1">
        <v>586553.78700000001</v>
      </c>
      <c r="R45" s="1">
        <v>612872.90899999999</v>
      </c>
      <c r="S45" s="1">
        <v>610158.76699999999</v>
      </c>
      <c r="T45" s="1">
        <v>651005.94700000004</v>
      </c>
      <c r="U45" s="1">
        <v>670607.29</v>
      </c>
      <c r="V45" s="1">
        <v>757548.87600000005</v>
      </c>
      <c r="W45" s="1">
        <v>769897.10499999998</v>
      </c>
      <c r="X45" s="1">
        <v>823648.39199999999</v>
      </c>
      <c r="Y45" s="1">
        <v>893612.72699999996</v>
      </c>
      <c r="Z45" s="1">
        <v>927927.91700000002</v>
      </c>
      <c r="AA45" s="1">
        <v>958157.15099999995</v>
      </c>
      <c r="AB45" s="1">
        <v>919555.277</v>
      </c>
      <c r="AC45" s="1">
        <v>965264.86499999999</v>
      </c>
      <c r="AE45" s="1">
        <v>1035636.201</v>
      </c>
    </row>
    <row r="46" spans="1:31">
      <c r="A46" s="1" t="s">
        <v>61</v>
      </c>
      <c r="F46" s="41">
        <v>1103519.7779999999</v>
      </c>
      <c r="I46" s="1">
        <v>1221812.564</v>
      </c>
      <c r="K46" s="1">
        <v>1347886.4920000001</v>
      </c>
      <c r="L46" s="1">
        <v>1618585.3970000001</v>
      </c>
      <c r="M46" s="1">
        <v>1742880.737</v>
      </c>
      <c r="N46" s="1">
        <v>1845303.05</v>
      </c>
      <c r="O46" s="1">
        <v>1935321.7649999999</v>
      </c>
      <c r="P46" s="1">
        <v>1962146.3119999999</v>
      </c>
      <c r="Q46" s="1">
        <v>2008262.8130000001</v>
      </c>
      <c r="R46" s="1">
        <v>2077785.203</v>
      </c>
      <c r="S46" s="1">
        <v>2214738.0610000002</v>
      </c>
      <c r="T46" s="1">
        <v>2593389.0279999999</v>
      </c>
      <c r="U46" s="1">
        <v>2800371.1320000002</v>
      </c>
      <c r="V46" s="1">
        <v>2971680.2919999999</v>
      </c>
      <c r="W46" s="1">
        <v>3011160.3829999999</v>
      </c>
      <c r="X46" s="1">
        <v>3137259.8360000001</v>
      </c>
      <c r="Y46" s="1">
        <v>3208779.86</v>
      </c>
      <c r="Z46" s="1">
        <v>3312578.7030000002</v>
      </c>
      <c r="AA46" s="1">
        <v>3407235.1170000001</v>
      </c>
      <c r="AB46" s="1">
        <v>3446642.64</v>
      </c>
      <c r="AC46" s="1">
        <v>3546536.6120000002</v>
      </c>
      <c r="AE46" s="1">
        <v>3689127.5040000002</v>
      </c>
    </row>
    <row r="47" spans="1:31">
      <c r="A47" s="1" t="s">
        <v>62</v>
      </c>
      <c r="F47" s="41">
        <v>511592.103</v>
      </c>
      <c r="I47" s="1">
        <v>558698.89899999998</v>
      </c>
      <c r="K47" s="1">
        <v>576932.19499999995</v>
      </c>
      <c r="L47" s="1">
        <v>648038.32499999995</v>
      </c>
      <c r="M47" s="1">
        <v>761555.91799999995</v>
      </c>
      <c r="N47" s="1">
        <v>756479.67200000002</v>
      </c>
      <c r="O47" s="1">
        <v>791484.66</v>
      </c>
      <c r="P47" s="1">
        <v>780143.95499999996</v>
      </c>
      <c r="Q47" s="1">
        <v>813560.326</v>
      </c>
      <c r="R47" s="1">
        <v>868002.30799999996</v>
      </c>
      <c r="S47" s="1">
        <v>893250.76199999999</v>
      </c>
      <c r="T47" s="1">
        <v>936028.75699999998</v>
      </c>
      <c r="U47" s="1">
        <v>1034374.339</v>
      </c>
      <c r="V47" s="1">
        <v>1079489.5209999999</v>
      </c>
      <c r="W47" s="1">
        <v>1066859.328</v>
      </c>
      <c r="X47" s="1">
        <v>1070542.327</v>
      </c>
      <c r="Y47" s="1">
        <v>1131387.882</v>
      </c>
      <c r="Z47" s="1">
        <v>1182783.5819999999</v>
      </c>
      <c r="AA47" s="1">
        <v>1177494.071</v>
      </c>
      <c r="AB47" s="1">
        <v>1208418.196</v>
      </c>
      <c r="AC47" s="1">
        <v>1233451.753</v>
      </c>
      <c r="AE47" s="1">
        <v>1277198.6869999999</v>
      </c>
    </row>
    <row r="48" spans="1:31">
      <c r="A48" s="1" t="s">
        <v>63</v>
      </c>
      <c r="F48" s="41">
        <v>439162.59</v>
      </c>
      <c r="I48" s="1">
        <v>516462.93199999997</v>
      </c>
      <c r="K48" s="1">
        <v>584854.59100000001</v>
      </c>
      <c r="L48" s="1">
        <v>679771.69</v>
      </c>
      <c r="M48" s="1">
        <v>780368.35800000001</v>
      </c>
      <c r="N48" s="1">
        <v>702079.61899999995</v>
      </c>
      <c r="O48" s="1">
        <v>678196.25800000003</v>
      </c>
      <c r="P48" s="1">
        <v>684723.16099999996</v>
      </c>
      <c r="Q48" s="1">
        <v>719240.16700000002</v>
      </c>
      <c r="R48" s="1">
        <v>761083.97100000002</v>
      </c>
      <c r="S48" s="1">
        <v>783911.05700000003</v>
      </c>
      <c r="T48" s="1">
        <v>908515.64800000004</v>
      </c>
      <c r="U48" s="1">
        <v>959486.77599999995</v>
      </c>
      <c r="V48" s="1">
        <v>996664.32400000002</v>
      </c>
      <c r="W48" s="1">
        <v>1018300.388</v>
      </c>
      <c r="X48" s="1">
        <v>1085991.4569999999</v>
      </c>
      <c r="Y48" s="1">
        <v>1122046.392</v>
      </c>
      <c r="Z48" s="1">
        <v>1185726.0220000001</v>
      </c>
      <c r="AA48" s="1">
        <v>1208434.102</v>
      </c>
      <c r="AB48" s="1">
        <v>1200912.5660000001</v>
      </c>
      <c r="AC48" s="1">
        <v>1227308.402</v>
      </c>
      <c r="AE48" s="1">
        <v>1204899.4879999999</v>
      </c>
    </row>
    <row r="49" spans="1:31">
      <c r="A49" s="1" t="s">
        <v>64</v>
      </c>
      <c r="F49" s="41">
        <v>211082.96400000001</v>
      </c>
      <c r="I49" s="1">
        <v>238522.91099999999</v>
      </c>
      <c r="K49" s="1">
        <v>248431.519</v>
      </c>
      <c r="L49" s="1">
        <v>298481.51299999998</v>
      </c>
      <c r="M49" s="1">
        <v>320335.136</v>
      </c>
      <c r="N49" s="1">
        <v>344967.18199999997</v>
      </c>
      <c r="O49" s="1">
        <v>351814.76199999999</v>
      </c>
      <c r="P49" s="1">
        <v>349378.95</v>
      </c>
      <c r="Q49" s="1">
        <v>373232.68800000002</v>
      </c>
      <c r="R49" s="1">
        <v>396572.11200000002</v>
      </c>
      <c r="S49" s="1">
        <v>410410.01199999999</v>
      </c>
      <c r="T49" s="1">
        <v>435240.261</v>
      </c>
      <c r="U49" s="1">
        <v>318934.41600000003</v>
      </c>
      <c r="V49" s="1">
        <v>530540.11100000003</v>
      </c>
      <c r="W49" s="1">
        <v>555005.72499999998</v>
      </c>
      <c r="X49" s="1">
        <v>556105.03899999999</v>
      </c>
      <c r="Y49" s="1">
        <v>583295.28399999999</v>
      </c>
      <c r="Z49" s="1">
        <v>610332.25300000003</v>
      </c>
      <c r="AA49" s="1">
        <v>598672.70200000005</v>
      </c>
      <c r="AB49" s="1">
        <v>604578.62</v>
      </c>
      <c r="AC49" s="1">
        <v>662947.21499999997</v>
      </c>
      <c r="AE49" s="1">
        <v>673730.08499999996</v>
      </c>
    </row>
    <row r="50" spans="1:31">
      <c r="A50" s="1" t="s">
        <v>65</v>
      </c>
      <c r="F50" s="41">
        <v>116572.072</v>
      </c>
      <c r="I50" s="1">
        <v>127838.001</v>
      </c>
      <c r="K50" s="1">
        <v>129711.126</v>
      </c>
      <c r="L50" s="1">
        <v>143480.88</v>
      </c>
      <c r="M50" s="1">
        <v>149688.54800000001</v>
      </c>
      <c r="N50" s="1">
        <v>158129.315</v>
      </c>
      <c r="O50" s="1">
        <v>169686.361</v>
      </c>
      <c r="P50" s="1">
        <v>182241.23800000001</v>
      </c>
      <c r="Q50" s="1">
        <v>198719.79300000001</v>
      </c>
      <c r="R50" s="1">
        <v>204633.36300000001</v>
      </c>
      <c r="S50" s="1">
        <v>212251.68900000001</v>
      </c>
      <c r="T50" s="1">
        <v>242383.98699999999</v>
      </c>
      <c r="U50" s="1">
        <v>261188.21400000001</v>
      </c>
      <c r="V50" s="1">
        <v>303992.28000000003</v>
      </c>
      <c r="W50" s="1">
        <v>316157.13299999997</v>
      </c>
      <c r="X50" s="1">
        <v>344732.815</v>
      </c>
      <c r="Y50" s="1">
        <v>371190.85700000002</v>
      </c>
      <c r="Z50" s="1">
        <v>377343.26400000002</v>
      </c>
      <c r="AA50" s="1">
        <v>397594.696</v>
      </c>
      <c r="AB50" s="1">
        <v>409547.989</v>
      </c>
      <c r="AC50" s="1">
        <v>404727.87</v>
      </c>
      <c r="AE50" s="1">
        <v>357916.82699999999</v>
      </c>
    </row>
    <row r="51" spans="1:31">
      <c r="A51" s="1" t="s">
        <v>66</v>
      </c>
      <c r="F51" s="41">
        <v>1290224.1259999999</v>
      </c>
      <c r="I51" s="1">
        <v>1388662.6669999999</v>
      </c>
      <c r="K51" s="1">
        <v>1415690.6529999999</v>
      </c>
      <c r="L51" s="1">
        <v>1599762.9040000001</v>
      </c>
      <c r="M51" s="1">
        <v>1668443.737</v>
      </c>
      <c r="N51" s="1">
        <v>1740788.777</v>
      </c>
      <c r="O51" s="1">
        <v>1825735.2549999999</v>
      </c>
      <c r="P51" s="1">
        <v>1890200.0330000001</v>
      </c>
      <c r="Q51" s="1">
        <v>2002831.7660000001</v>
      </c>
      <c r="R51" s="1">
        <v>2096298.173</v>
      </c>
      <c r="S51" s="1">
        <v>2267976.7310000001</v>
      </c>
      <c r="T51" s="1">
        <v>2432968.7599999998</v>
      </c>
      <c r="U51" s="1">
        <v>2503832.503</v>
      </c>
      <c r="V51" s="1">
        <v>2768111.8029999998</v>
      </c>
      <c r="W51" s="1">
        <v>2822274.3110000002</v>
      </c>
      <c r="X51" s="1">
        <v>2852881.8930000002</v>
      </c>
      <c r="Y51" s="1">
        <v>2909950.753</v>
      </c>
      <c r="Z51" s="1">
        <v>2941365.5520000001</v>
      </c>
      <c r="AA51" s="1">
        <v>2988956.2990000001</v>
      </c>
      <c r="AB51" s="1">
        <v>3173523.818</v>
      </c>
      <c r="AC51" s="1">
        <v>3351368.2340000002</v>
      </c>
      <c r="AE51" s="1">
        <v>3229111.7480000001</v>
      </c>
    </row>
    <row r="52" spans="1:31">
      <c r="A52" s="1" t="s">
        <v>67</v>
      </c>
      <c r="F52" s="41">
        <v>79162.709000000003</v>
      </c>
      <c r="I52" s="1">
        <v>89893.077000000005</v>
      </c>
      <c r="K52" s="1">
        <v>94677.997749999995</v>
      </c>
      <c r="L52" s="1">
        <v>114761.15700000001</v>
      </c>
      <c r="M52" s="1">
        <v>119461.147</v>
      </c>
      <c r="N52" s="1">
        <v>125980.52099999999</v>
      </c>
      <c r="O52" s="1">
        <v>131315.64000000001</v>
      </c>
      <c r="P52" s="1">
        <v>134935.96900000001</v>
      </c>
      <c r="Q52" s="1">
        <v>143208.67600000001</v>
      </c>
      <c r="R52" s="1">
        <v>145492.261</v>
      </c>
      <c r="S52" s="1">
        <v>163363.50599999999</v>
      </c>
      <c r="T52" s="1">
        <v>167372.86900000001</v>
      </c>
      <c r="U52" s="1">
        <v>172843.81299999999</v>
      </c>
      <c r="V52" s="1">
        <v>191821.253</v>
      </c>
      <c r="W52" s="1">
        <v>195777.62</v>
      </c>
      <c r="X52" s="1">
        <v>213419.31299999999</v>
      </c>
      <c r="Y52" s="1">
        <v>218500.52100000001</v>
      </c>
      <c r="Z52" s="1">
        <v>235074.592</v>
      </c>
      <c r="AA52" s="1">
        <v>241687.63</v>
      </c>
      <c r="AB52" s="1">
        <v>241465.52600000001</v>
      </c>
      <c r="AC52" s="1">
        <v>250340.318</v>
      </c>
      <c r="AE52" s="1">
        <v>252227.003</v>
      </c>
    </row>
    <row r="53" spans="1:31">
      <c r="A53" s="23" t="s">
        <v>68</v>
      </c>
      <c r="B53" s="23"/>
      <c r="C53" s="23"/>
      <c r="D53" s="23"/>
      <c r="E53" s="23"/>
      <c r="F53" s="44">
        <v>551900.61399999994</v>
      </c>
      <c r="G53" s="23"/>
      <c r="H53" s="23"/>
      <c r="I53" s="23">
        <v>618989.83400000003</v>
      </c>
      <c r="J53" s="23"/>
      <c r="K53" s="23">
        <v>637461.30000000005</v>
      </c>
      <c r="L53" s="23">
        <v>739373.55799999996</v>
      </c>
      <c r="M53" s="23">
        <v>794275.73499999999</v>
      </c>
      <c r="N53" s="23">
        <v>799550.66399999999</v>
      </c>
      <c r="O53" s="23">
        <v>846391.80799999996</v>
      </c>
      <c r="P53" s="23">
        <v>864436.76899999997</v>
      </c>
      <c r="Q53" s="23">
        <v>892078.74899999995</v>
      </c>
      <c r="R53" s="23">
        <v>935584.95200000005</v>
      </c>
      <c r="S53" s="23">
        <v>1041709.6310000001</v>
      </c>
      <c r="T53" s="23">
        <v>1100713.6569999999</v>
      </c>
      <c r="U53" s="23">
        <v>1146290.1040000001</v>
      </c>
      <c r="V53" s="23">
        <v>1222873.7050000001</v>
      </c>
      <c r="W53" s="23">
        <v>1273742.4339999999</v>
      </c>
      <c r="X53" s="23">
        <v>1240203.841</v>
      </c>
      <c r="Y53" s="23">
        <v>1282241.939</v>
      </c>
      <c r="Z53" s="23">
        <v>1318232.68</v>
      </c>
      <c r="AA53" s="23">
        <v>1354618.142</v>
      </c>
      <c r="AB53" s="23">
        <v>1462359.5870000001</v>
      </c>
      <c r="AC53" s="23">
        <v>1357732.3189999999</v>
      </c>
      <c r="AD53" s="23"/>
      <c r="AE53" s="23">
        <v>1442241.274</v>
      </c>
    </row>
    <row r="54" spans="1:31">
      <c r="A54" s="7" t="s">
        <v>69</v>
      </c>
      <c r="B54" s="47">
        <f>SUM(B56:B64)</f>
        <v>0</v>
      </c>
      <c r="C54" s="47">
        <f t="shared" ref="C54:AC54" si="14">SUM(C56:C64)</f>
        <v>0</v>
      </c>
      <c r="D54" s="47">
        <f t="shared" si="14"/>
        <v>0</v>
      </c>
      <c r="E54" s="47">
        <f t="shared" si="14"/>
        <v>0</v>
      </c>
      <c r="F54" s="47">
        <f t="shared" si="14"/>
        <v>3745213.2179999999</v>
      </c>
      <c r="G54" s="47">
        <f t="shared" si="14"/>
        <v>0</v>
      </c>
      <c r="H54" s="47">
        <f t="shared" si="14"/>
        <v>0</v>
      </c>
      <c r="I54" s="47">
        <f t="shared" si="14"/>
        <v>4353659.4620000003</v>
      </c>
      <c r="J54" s="47">
        <f t="shared" si="14"/>
        <v>0</v>
      </c>
      <c r="K54" s="47">
        <f t="shared" si="14"/>
        <v>4803849.2779999999</v>
      </c>
      <c r="L54" s="47">
        <f t="shared" si="14"/>
        <v>4960235.7320000008</v>
      </c>
      <c r="M54" s="47">
        <f t="shared" si="14"/>
        <v>4925571.9460000005</v>
      </c>
      <c r="N54" s="47">
        <f t="shared" si="14"/>
        <v>4792703.7249999996</v>
      </c>
      <c r="O54" s="47">
        <f t="shared" si="14"/>
        <v>4546764.4130000006</v>
      </c>
      <c r="P54" s="47">
        <f t="shared" si="14"/>
        <v>4657558.6550000003</v>
      </c>
      <c r="Q54" s="47">
        <f t="shared" si="14"/>
        <v>5603161.2350000003</v>
      </c>
      <c r="R54" s="47">
        <f t="shared" si="14"/>
        <v>5812634.4289999995</v>
      </c>
      <c r="S54" s="47">
        <f t="shared" si="14"/>
        <v>6336016.875</v>
      </c>
      <c r="T54" s="47">
        <f t="shared" si="14"/>
        <v>6878896.2829999989</v>
      </c>
      <c r="U54" s="47">
        <f t="shared" si="14"/>
        <v>6660982.3089999994</v>
      </c>
      <c r="V54" s="47">
        <f t="shared" si="14"/>
        <v>8594948.4230000004</v>
      </c>
      <c r="W54" s="47">
        <f t="shared" si="14"/>
        <v>9116925.3519999981</v>
      </c>
      <c r="X54" s="47">
        <f t="shared" si="14"/>
        <v>9183131.7970000003</v>
      </c>
      <c r="Y54" s="47">
        <f t="shared" si="14"/>
        <v>9004353.3370000012</v>
      </c>
      <c r="Z54" s="47">
        <f t="shared" si="14"/>
        <v>9700276.0979999993</v>
      </c>
      <c r="AA54" s="47">
        <f t="shared" si="14"/>
        <v>10411627.664999999</v>
      </c>
      <c r="AB54" s="47">
        <f t="shared" si="14"/>
        <v>11260188.168000001</v>
      </c>
      <c r="AC54" s="47">
        <f t="shared" si="14"/>
        <v>11289276.107999999</v>
      </c>
      <c r="AD54" s="47">
        <f t="shared" ref="AD54:AE54" si="15">SUM(AD56:AD64)</f>
        <v>0</v>
      </c>
      <c r="AE54" s="47">
        <f t="shared" si="15"/>
        <v>11272486.470999999</v>
      </c>
    </row>
    <row r="55" spans="1:31">
      <c r="A55" s="7" t="s">
        <v>97</v>
      </c>
    </row>
    <row r="56" spans="1:31">
      <c r="A56" s="1" t="s">
        <v>70</v>
      </c>
      <c r="F56" s="41">
        <v>245810.15599999999</v>
      </c>
      <c r="I56" s="1">
        <v>298932.33500000002</v>
      </c>
      <c r="K56" s="1">
        <v>294164.49800000002</v>
      </c>
      <c r="L56" s="1">
        <v>376559.38799999998</v>
      </c>
      <c r="M56" s="1">
        <v>379076.973</v>
      </c>
      <c r="N56" s="1">
        <v>412029.136</v>
      </c>
      <c r="O56" s="1">
        <v>456462.68199999997</v>
      </c>
      <c r="P56" s="1">
        <v>436124.26</v>
      </c>
      <c r="Q56" s="1">
        <v>511097.386</v>
      </c>
      <c r="R56" s="1">
        <v>515692.76299999998</v>
      </c>
      <c r="S56" s="1">
        <v>530744.58299999998</v>
      </c>
      <c r="T56" s="1">
        <v>618342.46100000001</v>
      </c>
      <c r="U56" s="1">
        <v>646923.60100000002</v>
      </c>
      <c r="V56" s="1">
        <v>698223.96900000004</v>
      </c>
      <c r="W56" s="1">
        <v>743185.46200000006</v>
      </c>
      <c r="X56" s="1">
        <v>737437.21400000004</v>
      </c>
      <c r="Y56" s="1">
        <v>787497.69400000002</v>
      </c>
      <c r="Z56" s="1">
        <v>866943.00399999996</v>
      </c>
      <c r="AA56" s="1">
        <v>948177.81599999999</v>
      </c>
      <c r="AB56" s="1">
        <v>981779.63300000003</v>
      </c>
      <c r="AC56" s="1">
        <v>955315.49600000004</v>
      </c>
      <c r="AE56" s="1">
        <v>976279.08</v>
      </c>
    </row>
    <row r="57" spans="1:31">
      <c r="A57" s="1" t="s">
        <v>71</v>
      </c>
      <c r="F57" s="41">
        <v>96081.008000000002</v>
      </c>
      <c r="I57" s="1">
        <v>105020.883</v>
      </c>
      <c r="K57" s="1">
        <v>107976.48299999999</v>
      </c>
      <c r="L57" s="1">
        <v>124602.30899999999</v>
      </c>
      <c r="M57" s="1">
        <v>132584.71799999999</v>
      </c>
      <c r="N57" s="1">
        <v>139447.34</v>
      </c>
      <c r="O57" s="1">
        <v>147014.02600000001</v>
      </c>
      <c r="P57" s="1">
        <v>151544.95999999999</v>
      </c>
      <c r="Q57" s="1">
        <v>156652.55300000001</v>
      </c>
      <c r="R57" s="1">
        <v>163729.16</v>
      </c>
      <c r="S57" s="1">
        <v>173406.815</v>
      </c>
      <c r="T57" s="1">
        <v>181744.93900000001</v>
      </c>
      <c r="U57" s="1">
        <v>184814.91399999999</v>
      </c>
      <c r="V57" s="1">
        <v>216570.30600000001</v>
      </c>
      <c r="W57" s="1">
        <v>216311.95300000001</v>
      </c>
      <c r="X57" s="1">
        <v>217108.6</v>
      </c>
      <c r="Y57" s="1">
        <v>215365.13099999999</v>
      </c>
      <c r="Z57" s="1">
        <v>218372.59899999999</v>
      </c>
      <c r="AA57" s="1">
        <v>217187.552</v>
      </c>
      <c r="AB57" s="1">
        <v>212439.53200000001</v>
      </c>
      <c r="AC57" s="1">
        <v>216057.80100000001</v>
      </c>
      <c r="AE57" s="1">
        <v>227615.76800000001</v>
      </c>
    </row>
    <row r="58" spans="1:31" s="23" customFormat="1">
      <c r="A58" s="1" t="s">
        <v>72</v>
      </c>
      <c r="B58" s="1"/>
      <c r="C58" s="1"/>
      <c r="D58" s="1"/>
      <c r="E58" s="1"/>
      <c r="F58" s="41">
        <v>347930.11700000003</v>
      </c>
      <c r="G58" s="1"/>
      <c r="H58" s="1"/>
      <c r="I58" s="1">
        <v>399468.35499999998</v>
      </c>
      <c r="J58" s="1"/>
      <c r="K58" s="1">
        <v>441217.74200000003</v>
      </c>
      <c r="L58" s="1">
        <v>497455.02899999998</v>
      </c>
      <c r="M58" s="1">
        <v>531056.93700000003</v>
      </c>
      <c r="N58" s="1">
        <v>551315.55599999998</v>
      </c>
      <c r="O58" s="1">
        <v>527868.01399999997</v>
      </c>
      <c r="P58" s="1">
        <v>552069.34</v>
      </c>
      <c r="Q58" s="1">
        <v>612568.80000000005</v>
      </c>
      <c r="R58" s="1">
        <v>682483.52899999998</v>
      </c>
      <c r="S58" s="1">
        <v>730944.48800000001</v>
      </c>
      <c r="T58" s="1">
        <v>786212.54</v>
      </c>
      <c r="U58" s="1">
        <v>694912.90300000005</v>
      </c>
      <c r="V58" s="1">
        <v>936036.39800000004</v>
      </c>
      <c r="W58" s="1">
        <v>1008090.437</v>
      </c>
      <c r="X58" s="23">
        <v>1064316.247</v>
      </c>
      <c r="Y58" s="1">
        <v>1107357.1810000001</v>
      </c>
      <c r="Z58" s="1">
        <v>1172959.3359999999</v>
      </c>
      <c r="AA58" s="1">
        <v>1233476.818</v>
      </c>
      <c r="AB58" s="1">
        <v>1310387.0549999999</v>
      </c>
      <c r="AC58" s="1">
        <v>1372535.128</v>
      </c>
      <c r="AD58" s="1"/>
      <c r="AE58" s="1">
        <v>1487439.6159999999</v>
      </c>
    </row>
    <row r="59" spans="1:31">
      <c r="A59" s="1" t="s">
        <v>73</v>
      </c>
      <c r="F59" s="41">
        <v>75598.259999999995</v>
      </c>
      <c r="I59" s="1">
        <v>92710.070999999996</v>
      </c>
      <c r="K59" s="1">
        <v>99868.688999999998</v>
      </c>
      <c r="L59" s="1">
        <v>110205.795</v>
      </c>
      <c r="M59" s="1">
        <v>115755.173</v>
      </c>
      <c r="N59" s="1">
        <v>135097.76</v>
      </c>
      <c r="O59" s="1">
        <v>138994.76999999999</v>
      </c>
      <c r="P59" s="1">
        <v>156677.606</v>
      </c>
      <c r="Q59" s="1">
        <v>163413.845</v>
      </c>
      <c r="R59" s="1">
        <v>168114.82399999999</v>
      </c>
      <c r="S59" s="1">
        <v>177436.704</v>
      </c>
      <c r="T59" s="1">
        <v>217174.861</v>
      </c>
      <c r="U59" s="1">
        <v>230959.68299999999</v>
      </c>
      <c r="V59" s="1">
        <v>237951.399</v>
      </c>
      <c r="W59" s="1">
        <v>257731.405</v>
      </c>
      <c r="X59" s="1">
        <v>250030.79399999999</v>
      </c>
      <c r="Y59" s="1">
        <v>253531.826</v>
      </c>
      <c r="Z59" s="1">
        <v>260232.47</v>
      </c>
      <c r="AA59" s="1">
        <v>274237.43800000002</v>
      </c>
      <c r="AB59" s="1">
        <v>286365.85600000003</v>
      </c>
      <c r="AC59" s="1">
        <v>281653.41700000002</v>
      </c>
      <c r="AE59" s="1">
        <v>259800.10800000001</v>
      </c>
    </row>
    <row r="60" spans="1:31">
      <c r="A60" s="1" t="s">
        <v>74</v>
      </c>
      <c r="F60" s="41">
        <v>362630.09899999999</v>
      </c>
      <c r="I60" s="1">
        <v>419082.60600000003</v>
      </c>
      <c r="K60" s="1">
        <v>769396.06200000003</v>
      </c>
      <c r="L60" s="1">
        <v>488336.39500000002</v>
      </c>
      <c r="M60" s="1">
        <v>503124.42599999998</v>
      </c>
      <c r="N60" s="1">
        <v>544439.17700000003</v>
      </c>
      <c r="O60" s="1">
        <v>563039.26300000004</v>
      </c>
      <c r="P60" s="1">
        <v>588321.16</v>
      </c>
      <c r="Q60" s="1">
        <v>1112441.102</v>
      </c>
      <c r="R60" s="1">
        <v>1173899.6950000001</v>
      </c>
      <c r="S60" s="1">
        <v>1226718.96</v>
      </c>
      <c r="T60" s="1">
        <v>1408881.6669999999</v>
      </c>
      <c r="U60" s="1">
        <v>1298017.578</v>
      </c>
      <c r="V60" s="1">
        <v>1697592.409</v>
      </c>
      <c r="W60" s="1">
        <v>1809848.7</v>
      </c>
      <c r="X60" s="1">
        <v>1880861.1270000001</v>
      </c>
      <c r="Y60" s="1">
        <v>1725006.2490000001</v>
      </c>
      <c r="Z60" s="1">
        <v>2003703.7819999999</v>
      </c>
      <c r="AA60" s="1">
        <v>2086097.7109999999</v>
      </c>
      <c r="AB60" s="1">
        <v>2171554.5180000002</v>
      </c>
      <c r="AC60" s="1">
        <v>2123485.2829999998</v>
      </c>
      <c r="AE60" s="1">
        <v>2179331.872</v>
      </c>
    </row>
    <row r="61" spans="1:31">
      <c r="A61" s="1" t="s">
        <v>75</v>
      </c>
      <c r="F61" s="41">
        <v>1418134.013</v>
      </c>
      <c r="I61" s="1">
        <v>1662912.23</v>
      </c>
      <c r="K61" s="1">
        <v>1674188.067</v>
      </c>
      <c r="L61" s="1">
        <v>1725469.8119999999</v>
      </c>
      <c r="M61" s="1">
        <v>1801968.865</v>
      </c>
      <c r="N61" s="1">
        <v>1989494.098</v>
      </c>
      <c r="O61" s="1">
        <v>1950080.923</v>
      </c>
      <c r="P61" s="1">
        <v>1985903.3389999999</v>
      </c>
      <c r="Q61" s="1">
        <v>2251046.6910000001</v>
      </c>
      <c r="R61" s="1">
        <v>2287459.9679999999</v>
      </c>
      <c r="S61" s="1">
        <v>2611313.077</v>
      </c>
      <c r="T61" s="1">
        <v>2745917.0079999999</v>
      </c>
      <c r="U61" s="1">
        <v>2668357.486</v>
      </c>
      <c r="V61" s="1">
        <v>3630125.1669999999</v>
      </c>
      <c r="W61" s="1">
        <v>3851347.2050000001</v>
      </c>
      <c r="X61" s="1">
        <v>3802992.6189999999</v>
      </c>
      <c r="Y61" s="1">
        <v>3666044.8280000002</v>
      </c>
      <c r="Z61" s="1">
        <v>3887029.236</v>
      </c>
      <c r="AA61" s="1">
        <v>4346696.3250000002</v>
      </c>
      <c r="AB61" s="1">
        <v>4951723.1830000002</v>
      </c>
      <c r="AC61" s="1">
        <v>4929947.5690000001</v>
      </c>
      <c r="AE61" s="1">
        <v>4851787.1370000001</v>
      </c>
    </row>
    <row r="62" spans="1:31">
      <c r="A62" s="1" t="s">
        <v>76</v>
      </c>
      <c r="F62" s="41">
        <v>1042142.099</v>
      </c>
      <c r="I62" s="1">
        <v>1194308.3829999999</v>
      </c>
      <c r="K62" s="1">
        <v>1234793.946</v>
      </c>
      <c r="L62" s="1">
        <v>1433604.246</v>
      </c>
      <c r="M62" s="1">
        <v>1248227.9550000001</v>
      </c>
      <c r="N62" s="1">
        <v>797172.46900000004</v>
      </c>
      <c r="O62" s="1">
        <v>541621.03599999996</v>
      </c>
      <c r="P62" s="1">
        <v>540868.65399999998</v>
      </c>
      <c r="Q62" s="1">
        <v>539624.87300000002</v>
      </c>
      <c r="R62" s="1">
        <v>554445.23899999994</v>
      </c>
      <c r="S62" s="1">
        <v>590887.47199999995</v>
      </c>
      <c r="T62" s="1">
        <v>608870.22600000002</v>
      </c>
      <c r="U62" s="1">
        <v>631271.07900000003</v>
      </c>
      <c r="V62" s="1">
        <v>793875.45600000001</v>
      </c>
      <c r="W62" s="1">
        <v>832102.85199999996</v>
      </c>
      <c r="X62" s="1">
        <v>819943.60100000002</v>
      </c>
      <c r="Y62" s="1">
        <v>846424.90099999995</v>
      </c>
      <c r="Z62" s="1">
        <v>869433.58700000006</v>
      </c>
      <c r="AA62" s="1">
        <v>882415.69200000004</v>
      </c>
      <c r="AB62" s="1">
        <v>896728.01500000001</v>
      </c>
      <c r="AC62" s="1">
        <v>938743.63199999998</v>
      </c>
      <c r="AE62" s="1">
        <v>809691.79500000004</v>
      </c>
    </row>
    <row r="63" spans="1:31">
      <c r="A63" s="1" t="s">
        <v>77</v>
      </c>
      <c r="F63" s="41">
        <v>77119.629000000001</v>
      </c>
      <c r="I63" s="1">
        <v>91559.630999999994</v>
      </c>
      <c r="K63" s="1">
        <v>87055.58</v>
      </c>
      <c r="L63" s="1">
        <v>95624.906000000003</v>
      </c>
      <c r="M63" s="1">
        <v>101082.985</v>
      </c>
      <c r="N63" s="1">
        <v>105290.435</v>
      </c>
      <c r="O63" s="1">
        <v>111819.739</v>
      </c>
      <c r="P63" s="1">
        <v>115533.323</v>
      </c>
      <c r="Q63" s="1">
        <v>117600.303</v>
      </c>
      <c r="R63" s="1">
        <v>123021.87699999999</v>
      </c>
      <c r="S63" s="1">
        <v>124981.844</v>
      </c>
      <c r="T63" s="1">
        <v>132499.70800000001</v>
      </c>
      <c r="U63" s="1">
        <v>131292.35699999999</v>
      </c>
      <c r="V63" s="1">
        <v>159863.85</v>
      </c>
      <c r="W63" s="1">
        <v>164625.04800000001</v>
      </c>
      <c r="X63" s="1">
        <v>168159.709</v>
      </c>
      <c r="Y63" s="1">
        <v>171550.60500000001</v>
      </c>
      <c r="Z63" s="1">
        <v>182786.42600000001</v>
      </c>
      <c r="AA63" s="1">
        <v>182542.008</v>
      </c>
      <c r="AB63" s="1">
        <v>190202.853</v>
      </c>
      <c r="AC63" s="1">
        <v>204799.39499999999</v>
      </c>
      <c r="AE63" s="1">
        <v>213204.01800000001</v>
      </c>
    </row>
    <row r="64" spans="1:31">
      <c r="A64" s="23" t="s">
        <v>78</v>
      </c>
      <c r="B64" s="23"/>
      <c r="C64" s="23"/>
      <c r="D64" s="23"/>
      <c r="E64" s="23"/>
      <c r="F64" s="44">
        <v>79767.837</v>
      </c>
      <c r="G64" s="23"/>
      <c r="H64" s="23"/>
      <c r="I64" s="23">
        <v>89664.967999999993</v>
      </c>
      <c r="J64" s="23"/>
      <c r="K64" s="23">
        <v>95188.210999999996</v>
      </c>
      <c r="L64" s="23">
        <v>108377.852</v>
      </c>
      <c r="M64" s="23">
        <v>112693.914</v>
      </c>
      <c r="N64" s="23">
        <v>118417.754</v>
      </c>
      <c r="O64" s="23">
        <v>109863.96</v>
      </c>
      <c r="P64" s="23">
        <v>130516.01300000001</v>
      </c>
      <c r="Q64" s="23">
        <v>138715.682</v>
      </c>
      <c r="R64" s="23">
        <v>143787.37400000001</v>
      </c>
      <c r="S64" s="23">
        <v>169582.932</v>
      </c>
      <c r="T64" s="23">
        <v>179252.87299999999</v>
      </c>
      <c r="U64" s="23">
        <v>174432.70800000001</v>
      </c>
      <c r="V64" s="23">
        <v>224709.46900000001</v>
      </c>
      <c r="W64" s="23">
        <v>233682.29</v>
      </c>
      <c r="X64" s="23">
        <v>242281.886</v>
      </c>
      <c r="Y64" s="23">
        <v>231574.92199999999</v>
      </c>
      <c r="Z64" s="23">
        <v>238815.658</v>
      </c>
      <c r="AA64" s="23">
        <v>240796.30499999999</v>
      </c>
      <c r="AB64" s="23">
        <v>259007.52299999999</v>
      </c>
      <c r="AC64" s="23">
        <v>266738.38699999999</v>
      </c>
      <c r="AD64" s="23"/>
      <c r="AE64" s="23">
        <v>267337.07699999999</v>
      </c>
    </row>
    <row r="65" spans="1:31">
      <c r="A65" s="45" t="s">
        <v>79</v>
      </c>
      <c r="B65" s="45"/>
      <c r="C65" s="45"/>
      <c r="D65" s="45"/>
      <c r="E65" s="45"/>
      <c r="F65" s="46">
        <v>50504.614999999998</v>
      </c>
      <c r="G65" s="45"/>
      <c r="H65" s="45"/>
      <c r="I65" s="45">
        <v>40920.159</v>
      </c>
      <c r="J65" s="45"/>
      <c r="K65" s="45">
        <v>41358.930030000003</v>
      </c>
      <c r="L65" s="45">
        <v>33923.783000000003</v>
      </c>
      <c r="M65" s="45">
        <v>37082.226000000002</v>
      </c>
      <c r="N65" s="45">
        <v>28579.234</v>
      </c>
      <c r="O65" s="45">
        <v>32236.488000000001</v>
      </c>
      <c r="P65" s="45">
        <v>33852.826000000001</v>
      </c>
      <c r="Q65" s="45">
        <v>41477.572999999997</v>
      </c>
      <c r="R65" s="45">
        <v>42394.33</v>
      </c>
      <c r="S65" s="45">
        <v>47484.222000000002</v>
      </c>
      <c r="T65" s="45">
        <v>41681.623</v>
      </c>
      <c r="U65" s="45">
        <v>41506.419000000002</v>
      </c>
      <c r="V65" s="45">
        <v>39654</v>
      </c>
      <c r="W65" s="45">
        <v>60512.646000000001</v>
      </c>
      <c r="X65" s="23">
        <v>63064.275000000001</v>
      </c>
      <c r="Y65" s="23">
        <v>60120.593000000001</v>
      </c>
      <c r="Z65" s="23">
        <v>53316.891000000003</v>
      </c>
      <c r="AA65" s="23">
        <v>43810.288</v>
      </c>
      <c r="AB65" s="23">
        <v>44552.212</v>
      </c>
      <c r="AC65" s="23">
        <v>41290.394999999997</v>
      </c>
      <c r="AD65" s="23"/>
      <c r="AE65" s="23">
        <v>39488.665000000001</v>
      </c>
    </row>
    <row r="66" spans="1:31">
      <c r="F66" s="41"/>
    </row>
    <row r="67" spans="1:31">
      <c r="A67" s="1" t="s">
        <v>119</v>
      </c>
      <c r="F67" s="1" t="s">
        <v>120</v>
      </c>
      <c r="I67" s="1" t="s">
        <v>99</v>
      </c>
      <c r="J67" s="1" t="s">
        <v>100</v>
      </c>
      <c r="K67" s="1" t="s">
        <v>121</v>
      </c>
      <c r="L67" s="1" t="s">
        <v>101</v>
      </c>
      <c r="O67" s="1" t="s">
        <v>99</v>
      </c>
      <c r="P67" s="1" t="s">
        <v>99</v>
      </c>
      <c r="Q67" s="1" t="s">
        <v>99</v>
      </c>
      <c r="R67" s="1" t="s">
        <v>99</v>
      </c>
    </row>
    <row r="68" spans="1:31">
      <c r="F68" s="1" t="s">
        <v>122</v>
      </c>
      <c r="I68" s="1" t="s">
        <v>102</v>
      </c>
      <c r="J68" s="1" t="s">
        <v>103</v>
      </c>
      <c r="K68" s="1" t="s">
        <v>123</v>
      </c>
      <c r="L68" s="1" t="s">
        <v>124</v>
      </c>
      <c r="O68" s="1" t="s">
        <v>102</v>
      </c>
      <c r="P68" s="1" t="s">
        <v>102</v>
      </c>
      <c r="Q68" s="1" t="s">
        <v>102</v>
      </c>
      <c r="R68" s="1" t="s">
        <v>102</v>
      </c>
    </row>
    <row r="69" spans="1:31">
      <c r="F69" s="1" t="s">
        <v>125</v>
      </c>
      <c r="I69" s="1" t="s">
        <v>105</v>
      </c>
      <c r="J69" s="1" t="s">
        <v>106</v>
      </c>
      <c r="O69" s="1" t="s">
        <v>105</v>
      </c>
      <c r="P69" s="1" t="s">
        <v>105</v>
      </c>
      <c r="Q69" s="1" t="s">
        <v>105</v>
      </c>
      <c r="R69" s="1" t="s">
        <v>105</v>
      </c>
    </row>
    <row r="70" spans="1:31">
      <c r="J70" s="1" t="s">
        <v>107</v>
      </c>
    </row>
  </sheetData>
  <phoneticPr fontId="6" type="noConversion"/>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codeName="Sheet3">
    <tabColor indexed="62"/>
  </sheetPr>
  <dimension ref="A1:AE70"/>
  <sheetViews>
    <sheetView zoomScale="106" zoomScaleNormal="106" workbookViewId="0">
      <pane xSplit="1" ySplit="5" topLeftCell="V6" activePane="bottomRight" state="frozen"/>
      <selection pane="topRight" activeCell="B52" sqref="B52"/>
      <selection pane="bottomLeft" activeCell="B52" sqref="B52"/>
      <selection pane="bottomRight" activeCell="AA31" sqref="AA31"/>
    </sheetView>
  </sheetViews>
  <sheetFormatPr defaultColWidth="9.85546875" defaultRowHeight="12.75"/>
  <cols>
    <col min="1" max="1" width="23.42578125" style="43" customWidth="1"/>
    <col min="2" max="9" width="12.42578125" style="1" customWidth="1"/>
    <col min="10" max="10" width="11.140625" style="1" customWidth="1"/>
    <col min="11" max="23" width="12.42578125" style="1" customWidth="1"/>
    <col min="24" max="24" width="14.42578125" style="1" bestFit="1" customWidth="1"/>
    <col min="25" max="25" width="10.5703125" style="1" bestFit="1" customWidth="1"/>
    <col min="26" max="29" width="10.5703125" style="1" customWidth="1"/>
    <col min="30" max="31" width="12.42578125" style="1" customWidth="1"/>
    <col min="32" max="16384" width="9.85546875" style="1"/>
  </cols>
  <sheetData>
    <row r="1" spans="1:31">
      <c r="A1" s="7" t="s">
        <v>94</v>
      </c>
      <c r="AB1" s="1">
        <v>1000</v>
      </c>
    </row>
    <row r="2" spans="1:31">
      <c r="A2" s="1"/>
    </row>
    <row r="3" spans="1:31">
      <c r="A3" s="1" t="s">
        <v>126</v>
      </c>
      <c r="D3" s="9"/>
      <c r="E3" s="9"/>
    </row>
    <row r="4" spans="1:31" s="32" customFormat="1">
      <c r="B4" s="32">
        <v>1984</v>
      </c>
      <c r="C4" s="32">
        <v>1985</v>
      </c>
      <c r="D4" s="32">
        <v>1986</v>
      </c>
      <c r="E4" s="32">
        <v>1991</v>
      </c>
      <c r="F4" s="32">
        <v>1992</v>
      </c>
      <c r="G4" s="32">
        <v>1993</v>
      </c>
      <c r="H4" s="32">
        <v>1994</v>
      </c>
      <c r="I4" s="32">
        <v>1995</v>
      </c>
      <c r="J4" s="32">
        <v>1996</v>
      </c>
      <c r="K4" s="32">
        <v>1997</v>
      </c>
      <c r="L4" s="32">
        <v>2000</v>
      </c>
      <c r="M4" s="39">
        <v>2001</v>
      </c>
      <c r="N4" s="39">
        <v>2002</v>
      </c>
      <c r="O4" s="39">
        <v>2003</v>
      </c>
      <c r="P4" s="39">
        <v>2004</v>
      </c>
      <c r="Q4" s="40">
        <v>2005</v>
      </c>
      <c r="R4" s="40">
        <v>2006</v>
      </c>
      <c r="S4" s="40">
        <v>2007</v>
      </c>
      <c r="T4" s="40">
        <v>2008</v>
      </c>
      <c r="U4" s="40">
        <v>2009</v>
      </c>
      <c r="V4" s="39">
        <v>2010</v>
      </c>
      <c r="W4" s="39">
        <v>2011</v>
      </c>
      <c r="X4" s="32" t="s">
        <v>111</v>
      </c>
      <c r="Y4" s="32" t="s">
        <v>112</v>
      </c>
      <c r="Z4" s="32" t="s">
        <v>113</v>
      </c>
      <c r="AA4" s="32" t="s">
        <v>114</v>
      </c>
      <c r="AB4" s="95" t="s">
        <v>115</v>
      </c>
      <c r="AC4" s="95" t="s">
        <v>116</v>
      </c>
      <c r="AD4" s="96">
        <v>2018</v>
      </c>
      <c r="AE4" s="96">
        <v>2019</v>
      </c>
    </row>
    <row r="5" spans="1:31">
      <c r="B5" s="8" t="s">
        <v>109</v>
      </c>
      <c r="C5" s="8" t="s">
        <v>109</v>
      </c>
      <c r="D5" s="8" t="s">
        <v>109</v>
      </c>
      <c r="E5" s="8" t="s">
        <v>109</v>
      </c>
      <c r="F5" s="8" t="s">
        <v>109</v>
      </c>
      <c r="G5" s="8" t="s">
        <v>109</v>
      </c>
      <c r="H5" s="8" t="s">
        <v>109</v>
      </c>
      <c r="I5" s="8" t="s">
        <v>109</v>
      </c>
      <c r="J5" s="8" t="s">
        <v>109</v>
      </c>
      <c r="K5" s="8" t="s">
        <v>109</v>
      </c>
      <c r="L5" s="8" t="s">
        <v>109</v>
      </c>
      <c r="M5" s="8" t="s">
        <v>109</v>
      </c>
      <c r="N5" s="8" t="s">
        <v>109</v>
      </c>
      <c r="O5" s="8" t="s">
        <v>109</v>
      </c>
      <c r="P5" s="8" t="s">
        <v>109</v>
      </c>
      <c r="Q5" s="8" t="s">
        <v>109</v>
      </c>
      <c r="R5" s="8" t="s">
        <v>109</v>
      </c>
      <c r="S5" s="8" t="s">
        <v>109</v>
      </c>
      <c r="T5" s="8" t="s">
        <v>109</v>
      </c>
      <c r="U5" s="8" t="s">
        <v>109</v>
      </c>
      <c r="V5" s="8" t="s">
        <v>109</v>
      </c>
      <c r="W5" s="8" t="s">
        <v>109</v>
      </c>
      <c r="X5" s="8" t="s">
        <v>109</v>
      </c>
      <c r="Y5" s="8" t="s">
        <v>109</v>
      </c>
      <c r="Z5" s="8" t="s">
        <v>109</v>
      </c>
      <c r="AA5" s="8" t="s">
        <v>109</v>
      </c>
      <c r="AB5" s="8" t="s">
        <v>109</v>
      </c>
      <c r="AC5" s="8" t="s">
        <v>109</v>
      </c>
      <c r="AD5" s="8" t="s">
        <v>96</v>
      </c>
      <c r="AE5" s="8" t="s">
        <v>96</v>
      </c>
    </row>
    <row r="6" spans="1:31">
      <c r="A6" s="23" t="s">
        <v>24</v>
      </c>
      <c r="B6" s="23">
        <v>4481854</v>
      </c>
      <c r="C6" s="23">
        <v>4818621</v>
      </c>
      <c r="D6" s="23">
        <v>5120989</v>
      </c>
      <c r="E6" s="23">
        <v>7540344.4139999999</v>
      </c>
      <c r="F6" s="48">
        <f>+F7+F25+F40+F54+F65</f>
        <v>7842909.4129999997</v>
      </c>
      <c r="G6" s="23">
        <v>8645465.7559999991</v>
      </c>
      <c r="H6" s="23">
        <v>9053480.3709999993</v>
      </c>
      <c r="I6" s="48">
        <f>+I7+I25+I40+I54+I65</f>
        <v>8970821.0789999999</v>
      </c>
      <c r="J6" s="23">
        <v>9762155.2660000008</v>
      </c>
      <c r="K6" s="48">
        <f t="shared" ref="K6:U6" si="0">+K7+K25+K40+K54+K65</f>
        <v>10120685.521130001</v>
      </c>
      <c r="L6" s="48">
        <f t="shared" si="0"/>
        <v>11186707.625</v>
      </c>
      <c r="M6" s="48">
        <f t="shared" si="0"/>
        <v>12209856.35</v>
      </c>
      <c r="N6" s="48">
        <f t="shared" si="0"/>
        <v>12514271.915999999</v>
      </c>
      <c r="O6" s="48">
        <f t="shared" si="0"/>
        <v>12787607.030999999</v>
      </c>
      <c r="P6" s="48">
        <f t="shared" si="0"/>
        <v>13122721.689999999</v>
      </c>
      <c r="Q6" s="48">
        <f t="shared" si="0"/>
        <v>14528334.474999998</v>
      </c>
      <c r="R6" s="48">
        <f t="shared" si="0"/>
        <v>15405612.856999999</v>
      </c>
      <c r="S6" s="48">
        <f t="shared" si="0"/>
        <v>16335984.432</v>
      </c>
      <c r="T6" s="48">
        <f t="shared" si="0"/>
        <v>17840473.568</v>
      </c>
      <c r="U6" s="48">
        <f t="shared" si="0"/>
        <v>19436124.537</v>
      </c>
      <c r="V6" s="48">
        <f t="shared" ref="V6:W6" si="1">+V7+V25+V40+V54+V65</f>
        <v>23072745.412</v>
      </c>
      <c r="W6" s="48">
        <f t="shared" si="1"/>
        <v>24302001.506999999</v>
      </c>
      <c r="X6" s="48">
        <f t="shared" ref="X6:Y6" si="2">+X7+X25+X40+X54+X65</f>
        <v>24416587.718999997</v>
      </c>
      <c r="Y6" s="48">
        <f t="shared" si="2"/>
        <v>20953736.903000001</v>
      </c>
      <c r="Z6" s="48">
        <f t="shared" ref="Z6:AA6" si="3">+Z7+Z25+Z40+Z54+Z65</f>
        <v>21376741.784000002</v>
      </c>
      <c r="AA6" s="48">
        <f t="shared" si="3"/>
        <v>21772729.454000004</v>
      </c>
      <c r="AB6" s="48">
        <f t="shared" ref="AB6:AE6" si="4">+AB7+AB25+AB40+AB54+AB65</f>
        <v>25689645.541000001</v>
      </c>
      <c r="AC6" s="48">
        <f t="shared" si="4"/>
        <v>25585379.118999999</v>
      </c>
      <c r="AD6" s="48">
        <f t="shared" si="4"/>
        <v>0</v>
      </c>
      <c r="AE6" s="48">
        <f t="shared" si="4"/>
        <v>25932025.071000002</v>
      </c>
    </row>
    <row r="7" spans="1:31">
      <c r="A7" s="1" t="s">
        <v>25</v>
      </c>
      <c r="B7" s="47">
        <f>SUM(B8:B24)</f>
        <v>1288612</v>
      </c>
      <c r="C7" s="47">
        <f t="shared" ref="C7:U7" si="5">SUM(C8:C24)</f>
        <v>1416471</v>
      </c>
      <c r="D7" s="47">
        <f t="shared" si="5"/>
        <v>1523801</v>
      </c>
      <c r="E7" s="47">
        <f t="shared" si="5"/>
        <v>2306884.3879999998</v>
      </c>
      <c r="F7" s="47">
        <f t="shared" si="5"/>
        <v>2362171.6090000002</v>
      </c>
      <c r="G7" s="47">
        <f t="shared" si="5"/>
        <v>2626589.753</v>
      </c>
      <c r="H7" s="47">
        <f t="shared" si="5"/>
        <v>2831586.6809999999</v>
      </c>
      <c r="I7" s="47">
        <f t="shared" si="5"/>
        <v>2911501.4109999998</v>
      </c>
      <c r="J7" s="47">
        <f t="shared" si="5"/>
        <v>3078746.6880000001</v>
      </c>
      <c r="K7" s="47">
        <f t="shared" si="5"/>
        <v>3225846.4519900004</v>
      </c>
      <c r="L7" s="47">
        <f t="shared" si="5"/>
        <v>3963347.639</v>
      </c>
      <c r="M7" s="47">
        <f t="shared" si="5"/>
        <v>4345992.1719999993</v>
      </c>
      <c r="N7" s="47">
        <f t="shared" si="5"/>
        <v>4181250.3979999996</v>
      </c>
      <c r="O7" s="47">
        <f t="shared" si="5"/>
        <v>4236290.8540000003</v>
      </c>
      <c r="P7" s="47">
        <f t="shared" si="5"/>
        <v>4363199.7419999996</v>
      </c>
      <c r="Q7" s="47">
        <f t="shared" si="5"/>
        <v>4767955.2319999989</v>
      </c>
      <c r="R7" s="47">
        <f t="shared" si="5"/>
        <v>5054101.2769999998</v>
      </c>
      <c r="S7" s="47">
        <f t="shared" si="5"/>
        <v>5545132.317999999</v>
      </c>
      <c r="T7" s="47">
        <f t="shared" si="5"/>
        <v>6140256.352</v>
      </c>
      <c r="U7" s="47">
        <f t="shared" si="5"/>
        <v>6634558.0770000005</v>
      </c>
      <c r="V7" s="47">
        <f t="shared" ref="V7:W7" si="6">SUM(V8:V24)</f>
        <v>8071952.6869999999</v>
      </c>
      <c r="W7" s="47">
        <f t="shared" si="6"/>
        <v>8493046.9009999987</v>
      </c>
      <c r="X7" s="47">
        <f t="shared" ref="X7:Y7" si="7">SUM(X8:X24)</f>
        <v>8516083.1559999976</v>
      </c>
      <c r="Y7" s="47">
        <f t="shared" si="7"/>
        <v>8139406.7790000001</v>
      </c>
      <c r="Z7" s="47">
        <f t="shared" ref="Z7:AA7" si="8">SUM(Z8:Z24)</f>
        <v>8204830.0960000018</v>
      </c>
      <c r="AA7" s="47">
        <f t="shared" si="8"/>
        <v>8216142.2940000016</v>
      </c>
      <c r="AB7" s="47">
        <f t="shared" ref="AB7:AE7" si="9">SUM(AB8:AB24)</f>
        <v>8645712.2740000002</v>
      </c>
      <c r="AC7" s="47">
        <f t="shared" si="9"/>
        <v>8216106.9459999995</v>
      </c>
      <c r="AD7" s="47">
        <f t="shared" si="9"/>
        <v>0</v>
      </c>
      <c r="AE7" s="47">
        <f t="shared" si="9"/>
        <v>8154039.722000001</v>
      </c>
    </row>
    <row r="8" spans="1:31">
      <c r="A8" s="7" t="s">
        <v>97</v>
      </c>
    </row>
    <row r="9" spans="1:31">
      <c r="A9" s="1" t="s">
        <v>26</v>
      </c>
      <c r="B9" s="1">
        <v>51444</v>
      </c>
      <c r="C9" s="1">
        <v>79956</v>
      </c>
      <c r="D9" s="1">
        <v>92492</v>
      </c>
      <c r="E9" s="1">
        <v>116136.359</v>
      </c>
      <c r="F9" s="41">
        <v>119768.159</v>
      </c>
      <c r="G9" s="1">
        <v>129943.61500000001</v>
      </c>
      <c r="H9" s="1">
        <v>140592.49</v>
      </c>
      <c r="I9" s="1">
        <v>151966.21299999999</v>
      </c>
      <c r="J9" s="1">
        <v>159527.84299999999</v>
      </c>
      <c r="K9" s="1">
        <v>155412.66150999998</v>
      </c>
      <c r="L9" s="1">
        <v>169292.003</v>
      </c>
      <c r="M9" s="1">
        <v>173389.35699999999</v>
      </c>
      <c r="N9" s="1">
        <v>172396.25399999999</v>
      </c>
      <c r="O9" s="1">
        <v>184070.33199999999</v>
      </c>
      <c r="P9" s="1">
        <v>197118.334</v>
      </c>
      <c r="Q9" s="1">
        <v>204802.38800000001</v>
      </c>
      <c r="R9" s="1">
        <v>222150.09599999999</v>
      </c>
      <c r="S9" s="1">
        <v>239649.59099999999</v>
      </c>
      <c r="T9" s="1">
        <v>309287.13699999999</v>
      </c>
      <c r="U9" s="1">
        <v>299802.89299999998</v>
      </c>
      <c r="V9" s="1">
        <v>336372.06099999999</v>
      </c>
      <c r="W9" s="1">
        <v>335114.83399999997</v>
      </c>
      <c r="X9" s="1">
        <v>331813.31099999999</v>
      </c>
      <c r="Y9" s="1">
        <v>315946.739</v>
      </c>
      <c r="Z9" s="1">
        <v>318162.88199999998</v>
      </c>
      <c r="AA9" s="1">
        <v>310375.08799999999</v>
      </c>
      <c r="AB9" s="1">
        <v>300407.81800000003</v>
      </c>
      <c r="AC9" s="1">
        <v>295580.00599999999</v>
      </c>
      <c r="AE9" s="1">
        <v>284076.33100000001</v>
      </c>
    </row>
    <row r="10" spans="1:31">
      <c r="A10" s="1" t="s">
        <v>27</v>
      </c>
      <c r="B10" s="1">
        <v>12727</v>
      </c>
      <c r="C10" s="1">
        <v>15989</v>
      </c>
      <c r="D10" s="1">
        <v>16595</v>
      </c>
      <c r="E10" s="1">
        <v>25497.748</v>
      </c>
      <c r="F10" s="41">
        <v>28047.028999999999</v>
      </c>
      <c r="G10" s="1">
        <v>35428.294000000002</v>
      </c>
      <c r="H10" s="1">
        <v>37147.173000000003</v>
      </c>
      <c r="I10" s="1">
        <v>40483.927000000003</v>
      </c>
      <c r="J10" s="1">
        <v>59016.319000000003</v>
      </c>
      <c r="K10" s="1">
        <v>53732.05</v>
      </c>
      <c r="L10" s="1">
        <v>79651.883000000002</v>
      </c>
      <c r="M10" s="1">
        <v>85940.28</v>
      </c>
      <c r="N10" s="1">
        <v>85915.48</v>
      </c>
      <c r="O10" s="1">
        <v>89893.262000000002</v>
      </c>
      <c r="P10" s="1">
        <v>102564.984</v>
      </c>
      <c r="Q10" s="1">
        <v>110118.773</v>
      </c>
      <c r="R10" s="1">
        <v>119625.868</v>
      </c>
      <c r="S10" s="1">
        <v>149944.53700000001</v>
      </c>
      <c r="T10" s="1">
        <v>160547.049</v>
      </c>
      <c r="U10" s="1">
        <v>148614.649</v>
      </c>
      <c r="V10" s="1">
        <v>190576.071</v>
      </c>
      <c r="W10" s="1">
        <v>199396.93599999999</v>
      </c>
      <c r="X10" s="1">
        <v>205856.33799999999</v>
      </c>
      <c r="Y10" s="1">
        <v>199420.03200000001</v>
      </c>
      <c r="Z10" s="1">
        <v>203393.435</v>
      </c>
      <c r="AA10" s="1">
        <v>194049.36199999999</v>
      </c>
      <c r="AB10" s="1">
        <v>187695.171</v>
      </c>
      <c r="AC10" s="1">
        <v>181120.83499999999</v>
      </c>
      <c r="AE10" s="1">
        <v>191536.21799999999</v>
      </c>
    </row>
    <row r="11" spans="1:31">
      <c r="A11" s="1" t="s">
        <v>28</v>
      </c>
      <c r="D11" s="1">
        <v>12672</v>
      </c>
      <c r="E11" s="1">
        <v>25068.355</v>
      </c>
      <c r="F11" s="41">
        <v>32148.685000000001</v>
      </c>
      <c r="I11" s="1">
        <v>15141.124</v>
      </c>
      <c r="J11" s="1">
        <v>28848.151000000002</v>
      </c>
      <c r="K11" s="1">
        <v>31739.526000000002</v>
      </c>
      <c r="L11" s="1">
        <v>36157.555999999997</v>
      </c>
      <c r="M11" s="1">
        <v>37826.125</v>
      </c>
      <c r="N11" s="1">
        <v>38157.480000000003</v>
      </c>
      <c r="O11" s="1">
        <v>39696.425000000003</v>
      </c>
      <c r="P11" s="1">
        <v>42065.220999999998</v>
      </c>
      <c r="Q11" s="1">
        <v>45330.663</v>
      </c>
      <c r="R11" s="1">
        <v>49409.188000000002</v>
      </c>
      <c r="S11" s="1">
        <v>53489.733</v>
      </c>
      <c r="T11" s="1">
        <v>55909.159</v>
      </c>
      <c r="U11" s="1">
        <v>56716.728999999999</v>
      </c>
      <c r="V11" s="1">
        <v>65627.520000000004</v>
      </c>
      <c r="W11" s="1">
        <v>75956.070000000007</v>
      </c>
      <c r="X11" s="1">
        <v>81056.270999999993</v>
      </c>
      <c r="Y11" s="1">
        <v>81096.320999999996</v>
      </c>
      <c r="Z11" s="1">
        <v>84310.627999999997</v>
      </c>
      <c r="AA11" s="1">
        <v>81674.042000000001</v>
      </c>
      <c r="AB11" s="1">
        <v>84874.743000000002</v>
      </c>
      <c r="AC11" s="1">
        <v>84856.209000000003</v>
      </c>
      <c r="AE11" s="1">
        <v>83225.926000000007</v>
      </c>
    </row>
    <row r="12" spans="1:31">
      <c r="A12" s="1" t="s">
        <v>29</v>
      </c>
      <c r="B12" s="1">
        <v>223678</v>
      </c>
      <c r="C12" s="1">
        <v>238792</v>
      </c>
      <c r="D12" s="1">
        <v>245621</v>
      </c>
      <c r="E12" s="1">
        <v>420275.80900000001</v>
      </c>
      <c r="F12" s="41">
        <v>431264.99800000002</v>
      </c>
      <c r="G12" s="1">
        <v>458427.73200000002</v>
      </c>
      <c r="H12" s="1">
        <v>491802.79</v>
      </c>
      <c r="I12" s="1">
        <v>505131.60399999999</v>
      </c>
      <c r="J12" s="1">
        <v>499744.17</v>
      </c>
      <c r="K12" s="1">
        <v>522015.592</v>
      </c>
      <c r="L12" s="1">
        <v>606938.84499999997</v>
      </c>
      <c r="M12" s="1">
        <v>772091.87899999996</v>
      </c>
      <c r="N12" s="1">
        <v>610493.12699999998</v>
      </c>
      <c r="O12" s="1">
        <v>501567.46500000003</v>
      </c>
      <c r="P12" s="1">
        <v>513307.31099999999</v>
      </c>
      <c r="Q12" s="1">
        <v>545206.32200000004</v>
      </c>
      <c r="R12" s="1">
        <v>567385.45799999998</v>
      </c>
      <c r="S12" s="1">
        <v>716638.20200000005</v>
      </c>
      <c r="T12" s="1">
        <v>727380.34699999995</v>
      </c>
      <c r="U12" s="1">
        <v>1145286.122</v>
      </c>
      <c r="V12" s="1">
        <v>1204243.1629999999</v>
      </c>
      <c r="W12" s="1">
        <v>1253971.67</v>
      </c>
      <c r="X12" s="1">
        <v>1246436.2069999999</v>
      </c>
      <c r="Y12" s="1">
        <v>1250887.267</v>
      </c>
      <c r="Z12" s="1">
        <v>1274691.2180000001</v>
      </c>
      <c r="AA12" s="1">
        <v>1317769.709</v>
      </c>
      <c r="AB12" s="1">
        <v>1408293.142</v>
      </c>
      <c r="AC12" s="1">
        <v>1332453.2690000001</v>
      </c>
      <c r="AE12" s="1">
        <v>1311997.4180000001</v>
      </c>
    </row>
    <row r="13" spans="1:31">
      <c r="A13" s="1" t="s">
        <v>30</v>
      </c>
      <c r="B13" s="1">
        <v>39273</v>
      </c>
      <c r="C13" s="1">
        <v>40765</v>
      </c>
      <c r="D13" s="1">
        <v>48800</v>
      </c>
      <c r="E13" s="1">
        <v>154432.728</v>
      </c>
      <c r="F13" s="41">
        <v>162113.92000000001</v>
      </c>
      <c r="G13" s="1">
        <v>180410.53</v>
      </c>
      <c r="H13" s="1">
        <v>202412.39799999999</v>
      </c>
      <c r="I13" s="1">
        <v>219217.82500000001</v>
      </c>
      <c r="J13" s="1">
        <v>175971.94399999999</v>
      </c>
      <c r="K13" s="1">
        <v>183391.88570000004</v>
      </c>
      <c r="L13" s="1">
        <v>294879.77399999998</v>
      </c>
      <c r="M13" s="1">
        <v>308155.89399999997</v>
      </c>
      <c r="N13" s="1">
        <v>341997.59499999997</v>
      </c>
      <c r="O13" s="1">
        <v>336144.32500000001</v>
      </c>
      <c r="P13" s="1">
        <v>358111.19099999999</v>
      </c>
      <c r="Q13" s="1">
        <v>362710.75599999999</v>
      </c>
      <c r="R13" s="1">
        <v>378008.35200000001</v>
      </c>
      <c r="S13" s="1">
        <v>381692.23800000001</v>
      </c>
      <c r="T13" s="1">
        <v>397136.45600000001</v>
      </c>
      <c r="U13" s="1">
        <v>194925.84700000001</v>
      </c>
      <c r="V13" s="1">
        <v>550291.85499999998</v>
      </c>
      <c r="W13" s="1">
        <v>600029.53099999996</v>
      </c>
      <c r="X13" s="1">
        <v>600634.90300000005</v>
      </c>
      <c r="Y13" s="1">
        <v>190808.19099999999</v>
      </c>
      <c r="Z13" s="1">
        <v>196892.82199999999</v>
      </c>
      <c r="AA13" s="1">
        <v>199032.546</v>
      </c>
      <c r="AB13" s="1">
        <v>506959.06199999998</v>
      </c>
      <c r="AC13" s="1">
        <v>159578.37899999999</v>
      </c>
      <c r="AE13" s="1">
        <v>119731.44899999999</v>
      </c>
    </row>
    <row r="14" spans="1:31">
      <c r="A14" s="1" t="s">
        <v>31</v>
      </c>
      <c r="B14" s="1">
        <v>19079</v>
      </c>
      <c r="C14" s="1">
        <v>24094</v>
      </c>
      <c r="D14" s="1">
        <v>28667</v>
      </c>
      <c r="E14" s="1">
        <v>46750.586000000003</v>
      </c>
      <c r="F14" s="41">
        <v>57600.074999999997</v>
      </c>
      <c r="G14" s="1">
        <v>59111.864999999998</v>
      </c>
      <c r="H14" s="1">
        <v>60476.966999999997</v>
      </c>
      <c r="I14" s="1">
        <v>65221.902999999998</v>
      </c>
      <c r="J14" s="1">
        <v>65625.082999999999</v>
      </c>
      <c r="K14" s="1">
        <v>75014.955000000002</v>
      </c>
      <c r="L14" s="1">
        <v>145882.86199999999</v>
      </c>
      <c r="M14" s="1">
        <v>147813.106</v>
      </c>
      <c r="N14" s="1">
        <v>12949.546</v>
      </c>
      <c r="O14" s="1">
        <v>13548.236999999999</v>
      </c>
      <c r="P14" s="1">
        <v>14273.965</v>
      </c>
      <c r="Q14" s="1">
        <v>151553.32399999999</v>
      </c>
      <c r="R14" s="1">
        <v>164109.774</v>
      </c>
      <c r="S14" s="1">
        <v>175044.57500000001</v>
      </c>
      <c r="T14" s="1">
        <v>231731.54800000001</v>
      </c>
      <c r="U14" s="1">
        <v>224190.21799999999</v>
      </c>
      <c r="V14" s="1">
        <v>277627.81800000003</v>
      </c>
      <c r="W14" s="1">
        <v>266281.80499999999</v>
      </c>
      <c r="X14" s="1">
        <v>274765.45799999998</v>
      </c>
      <c r="Y14" s="1">
        <v>253945.05100000001</v>
      </c>
      <c r="Z14" s="1">
        <v>220286.57800000001</v>
      </c>
      <c r="AA14" s="1">
        <v>222616.21400000001</v>
      </c>
      <c r="AB14" s="1">
        <v>233112.26800000001</v>
      </c>
      <c r="AC14" s="1">
        <v>196728.76</v>
      </c>
      <c r="AE14" s="1">
        <v>168716.44699999999</v>
      </c>
    </row>
    <row r="15" spans="1:31">
      <c r="A15" s="1" t="s">
        <v>32</v>
      </c>
      <c r="B15" s="1">
        <v>13886</v>
      </c>
      <c r="C15" s="1">
        <v>15994</v>
      </c>
      <c r="D15" s="1">
        <v>16970</v>
      </c>
      <c r="E15" s="1">
        <v>32146.780999999999</v>
      </c>
      <c r="F15" s="41">
        <v>35144.114999999998</v>
      </c>
      <c r="G15" s="1">
        <v>38712.743999999999</v>
      </c>
      <c r="H15" s="1">
        <v>42107.919000000002</v>
      </c>
      <c r="I15" s="1">
        <v>42812.633000000002</v>
      </c>
      <c r="J15" s="1">
        <v>79573.168000000005</v>
      </c>
      <c r="K15" s="1">
        <v>85949.671480000019</v>
      </c>
      <c r="L15" s="1">
        <v>102932.361</v>
      </c>
      <c r="M15" s="1">
        <v>106136.609</v>
      </c>
      <c r="N15" s="1">
        <v>117731.622</v>
      </c>
      <c r="O15" s="1">
        <v>128447.182</v>
      </c>
      <c r="P15" s="1">
        <v>145018.57800000001</v>
      </c>
      <c r="Q15" s="1">
        <v>147737.54199999999</v>
      </c>
      <c r="R15" s="1">
        <v>140896.35699999999</v>
      </c>
      <c r="S15" s="1">
        <v>171743.81899999999</v>
      </c>
      <c r="T15" s="1">
        <v>214558.73300000001</v>
      </c>
      <c r="U15" s="1">
        <v>124167.158</v>
      </c>
      <c r="V15" s="1">
        <v>219364.66399999999</v>
      </c>
      <c r="W15" s="1">
        <v>235271.59299999999</v>
      </c>
      <c r="X15" s="1">
        <v>229153.59700000001</v>
      </c>
      <c r="Y15" s="1">
        <v>153855.902</v>
      </c>
      <c r="Z15" s="1">
        <v>163745.701</v>
      </c>
      <c r="AA15" s="1">
        <v>162277.13099999999</v>
      </c>
      <c r="AB15" s="1">
        <v>200824.095</v>
      </c>
      <c r="AC15" s="1">
        <v>150576.37299999999</v>
      </c>
      <c r="AE15" s="1">
        <v>145799.73699999999</v>
      </c>
    </row>
    <row r="16" spans="1:31">
      <c r="A16" s="1" t="s">
        <v>33</v>
      </c>
      <c r="B16" s="1">
        <v>104941</v>
      </c>
      <c r="C16" s="1">
        <v>109193</v>
      </c>
      <c r="D16" s="1">
        <v>119790</v>
      </c>
      <c r="E16" s="1">
        <v>169214.98</v>
      </c>
      <c r="F16" s="41">
        <v>138296.715</v>
      </c>
      <c r="G16" s="1">
        <v>181430.302</v>
      </c>
      <c r="H16" s="1">
        <v>196953.753</v>
      </c>
      <c r="I16" s="1">
        <v>162050.533</v>
      </c>
      <c r="J16" s="1">
        <v>208516.30600000001</v>
      </c>
      <c r="K16" s="1">
        <v>207354.266</v>
      </c>
      <c r="L16" s="1">
        <v>244895.97</v>
      </c>
      <c r="M16" s="1">
        <v>277553.00900000002</v>
      </c>
      <c r="N16" s="1">
        <v>284179.054</v>
      </c>
      <c r="O16" s="1">
        <v>311208.84000000003</v>
      </c>
      <c r="P16" s="1">
        <v>314024.32500000001</v>
      </c>
      <c r="Q16" s="1">
        <v>331635.19300000003</v>
      </c>
      <c r="R16" s="1">
        <v>359867.02500000002</v>
      </c>
      <c r="S16" s="1">
        <v>383018.74599999998</v>
      </c>
      <c r="T16" s="1">
        <v>425053.821</v>
      </c>
      <c r="U16" s="1">
        <v>488220.04499999998</v>
      </c>
      <c r="V16" s="1">
        <v>541145.03599999996</v>
      </c>
      <c r="W16" s="1">
        <v>569683.30599999998</v>
      </c>
      <c r="X16" s="1">
        <v>599436.59299999999</v>
      </c>
      <c r="Y16" s="1">
        <v>588451.93000000005</v>
      </c>
      <c r="Z16" s="1">
        <v>605553.04799999995</v>
      </c>
      <c r="AA16" s="1">
        <v>626287.66</v>
      </c>
      <c r="AB16" s="1">
        <v>634114.52800000005</v>
      </c>
      <c r="AC16" s="1">
        <v>603662.71299999999</v>
      </c>
      <c r="AE16" s="1">
        <v>598356.02599999995</v>
      </c>
    </row>
    <row r="17" spans="1:31">
      <c r="A17" s="1" t="s">
        <v>34</v>
      </c>
      <c r="B17" s="1">
        <v>64004</v>
      </c>
      <c r="C17" s="1">
        <v>66111</v>
      </c>
      <c r="D17" s="1">
        <v>74650</v>
      </c>
      <c r="E17" s="1">
        <v>105343.63800000001</v>
      </c>
      <c r="F17" s="41">
        <v>105609.853</v>
      </c>
      <c r="G17" s="1">
        <v>115427.625</v>
      </c>
      <c r="H17" s="1">
        <v>125125.584</v>
      </c>
      <c r="I17" s="1">
        <v>142784.571</v>
      </c>
      <c r="J17" s="1">
        <v>162645.747</v>
      </c>
      <c r="K17" s="1">
        <v>163409.75399999999</v>
      </c>
      <c r="L17" s="1">
        <v>196266.217</v>
      </c>
      <c r="M17" s="1">
        <v>198978.07</v>
      </c>
      <c r="N17" s="1">
        <v>198119.49400000001</v>
      </c>
      <c r="O17" s="1">
        <v>206198.73699999999</v>
      </c>
      <c r="P17" s="1">
        <v>216760.29</v>
      </c>
      <c r="Q17" s="1">
        <v>228062.65400000001</v>
      </c>
      <c r="R17" s="1">
        <v>235415.81899999999</v>
      </c>
      <c r="S17" s="1">
        <v>253073.78400000001</v>
      </c>
      <c r="T17" s="1">
        <v>282013.50300000003</v>
      </c>
      <c r="U17" s="1">
        <v>312487.67</v>
      </c>
      <c r="V17" s="1">
        <v>356965.48499999999</v>
      </c>
      <c r="W17" s="1">
        <v>356415.71100000001</v>
      </c>
      <c r="X17" s="1">
        <v>357302.32900000003</v>
      </c>
      <c r="Y17" s="1">
        <v>365542.55099999998</v>
      </c>
      <c r="Z17" s="1">
        <v>365919.05900000001</v>
      </c>
      <c r="AA17" s="1">
        <v>357380.93199999997</v>
      </c>
      <c r="AB17" s="1">
        <v>357024.22499999998</v>
      </c>
      <c r="AC17" s="1">
        <v>376851.80900000001</v>
      </c>
      <c r="AE17" s="1">
        <v>332700.47100000002</v>
      </c>
    </row>
    <row r="18" spans="1:31">
      <c r="A18" s="1" t="s">
        <v>35</v>
      </c>
      <c r="B18" s="1">
        <v>155963</v>
      </c>
      <c r="C18" s="1">
        <v>172129</v>
      </c>
      <c r="D18" s="1">
        <v>193426</v>
      </c>
      <c r="E18" s="1">
        <v>273492.37900000002</v>
      </c>
      <c r="F18" s="41">
        <v>281740.22899999999</v>
      </c>
      <c r="G18" s="1">
        <v>312743.30300000001</v>
      </c>
      <c r="H18" s="1">
        <v>334668.43199999997</v>
      </c>
      <c r="I18" s="1">
        <v>352050.658</v>
      </c>
      <c r="J18" s="1">
        <v>358212.83399999997</v>
      </c>
      <c r="K18" s="1">
        <v>381656.25063000014</v>
      </c>
      <c r="L18" s="1">
        <v>488916.41</v>
      </c>
      <c r="M18" s="1">
        <v>490780.685</v>
      </c>
      <c r="N18" s="1">
        <v>497644.174</v>
      </c>
      <c r="O18" s="1">
        <v>534940.29399999999</v>
      </c>
      <c r="P18" s="1">
        <v>568332.46600000001</v>
      </c>
      <c r="Q18" s="1">
        <v>637570.07400000002</v>
      </c>
      <c r="R18" s="1">
        <v>684674.84</v>
      </c>
      <c r="S18" s="1">
        <v>736593.71100000001</v>
      </c>
      <c r="T18" s="1">
        <v>788325.96600000001</v>
      </c>
      <c r="U18" s="1">
        <v>810888.76100000006</v>
      </c>
      <c r="V18" s="1">
        <v>941510.01199999999</v>
      </c>
      <c r="W18" s="1">
        <v>1015873.035</v>
      </c>
      <c r="X18" s="1">
        <v>993694.49699999997</v>
      </c>
      <c r="Y18" s="1">
        <v>1033378.061</v>
      </c>
      <c r="Z18" s="1">
        <v>1014976.749</v>
      </c>
      <c r="AA18" s="1">
        <v>1027808.763</v>
      </c>
      <c r="AB18" s="1">
        <v>968321.62</v>
      </c>
      <c r="AC18" s="1">
        <v>966497.61800000002</v>
      </c>
      <c r="AE18" s="1">
        <v>1004570.965</v>
      </c>
    </row>
    <row r="19" spans="1:31">
      <c r="A19" s="1" t="s">
        <v>36</v>
      </c>
      <c r="B19" s="1">
        <v>47817</v>
      </c>
      <c r="C19" s="1">
        <v>50354</v>
      </c>
      <c r="D19" s="1">
        <v>56396</v>
      </c>
      <c r="E19" s="1">
        <v>76371.894</v>
      </c>
      <c r="F19" s="41">
        <v>86031.054999999993</v>
      </c>
      <c r="G19" s="1">
        <v>86210.448000000004</v>
      </c>
      <c r="H19" s="1">
        <v>86971.361999999994</v>
      </c>
      <c r="I19" s="1">
        <v>89545.626999999993</v>
      </c>
      <c r="J19" s="1">
        <v>91697.369000000006</v>
      </c>
      <c r="K19" s="1">
        <v>104283.59018000001</v>
      </c>
      <c r="L19" s="1">
        <v>115307.31</v>
      </c>
      <c r="M19" s="1">
        <v>168696.78200000001</v>
      </c>
      <c r="N19" s="1">
        <v>143804.92199999999</v>
      </c>
      <c r="O19" s="1">
        <v>137022.14000000001</v>
      </c>
      <c r="P19" s="1">
        <v>131026.682</v>
      </c>
      <c r="Q19" s="1">
        <v>139764.19399999999</v>
      </c>
      <c r="R19" s="1">
        <v>146865.79800000001</v>
      </c>
      <c r="S19" s="1">
        <v>148319.12899999999</v>
      </c>
      <c r="T19" s="1">
        <v>179108.19399999999</v>
      </c>
      <c r="U19" s="1">
        <v>207296.98199999999</v>
      </c>
      <c r="V19" s="1">
        <v>226867.25899999999</v>
      </c>
      <c r="W19" s="1">
        <v>241183.40100000001</v>
      </c>
      <c r="X19" s="1">
        <v>260131.56099999999</v>
      </c>
      <c r="Y19" s="1">
        <v>269157.90100000001</v>
      </c>
      <c r="Z19" s="1">
        <v>266362.84000000003</v>
      </c>
      <c r="AA19" s="1">
        <v>257461.83799999999</v>
      </c>
      <c r="AB19" s="1">
        <v>255808.315</v>
      </c>
      <c r="AC19" s="1">
        <v>245689.89</v>
      </c>
      <c r="AE19" s="1">
        <v>229565.18700000001</v>
      </c>
    </row>
    <row r="20" spans="1:31">
      <c r="A20" s="1" t="s">
        <v>37</v>
      </c>
      <c r="B20" s="1">
        <v>51867</v>
      </c>
      <c r="C20" s="1">
        <v>53316</v>
      </c>
      <c r="D20" s="1">
        <v>59771</v>
      </c>
      <c r="E20" s="1">
        <v>92385.486999999994</v>
      </c>
      <c r="F20" s="41">
        <v>97991.304000000004</v>
      </c>
      <c r="G20" s="1">
        <v>104603.16</v>
      </c>
      <c r="H20" s="1">
        <v>114356.749</v>
      </c>
      <c r="I20" s="1">
        <v>121483.13400000001</v>
      </c>
      <c r="J20" s="1">
        <v>127686.673</v>
      </c>
      <c r="K20" s="1">
        <v>136928.18900000001</v>
      </c>
      <c r="L20" s="1">
        <v>169879.97500000001</v>
      </c>
      <c r="M20" s="1">
        <v>177002.791</v>
      </c>
      <c r="N20" s="1">
        <v>178366.236</v>
      </c>
      <c r="O20" s="1">
        <v>191098.97</v>
      </c>
      <c r="P20" s="1">
        <v>194354.77299999999</v>
      </c>
      <c r="Q20" s="1">
        <v>202335.383</v>
      </c>
      <c r="R20" s="1">
        <v>218728.103</v>
      </c>
      <c r="S20" s="1">
        <v>242363.728</v>
      </c>
      <c r="T20" s="1">
        <v>281938.837</v>
      </c>
      <c r="U20" s="1">
        <v>322246.56599999999</v>
      </c>
      <c r="V20" s="1">
        <v>328414.32400000002</v>
      </c>
      <c r="W20" s="1">
        <v>340171.136</v>
      </c>
      <c r="X20" s="1">
        <v>346187.10700000002</v>
      </c>
      <c r="Y20" s="1">
        <v>354621.81900000002</v>
      </c>
      <c r="Z20" s="1">
        <v>356119.076</v>
      </c>
      <c r="AA20" s="1">
        <v>361372.62800000003</v>
      </c>
      <c r="AB20" s="1">
        <v>353459.20799999998</v>
      </c>
      <c r="AC20" s="1">
        <v>375939.908</v>
      </c>
      <c r="AE20" s="1">
        <v>356657.78399999999</v>
      </c>
    </row>
    <row r="21" spans="1:31" s="11" customFormat="1">
      <c r="A21" s="1" t="s">
        <v>38</v>
      </c>
      <c r="B21" s="1">
        <v>63537</v>
      </c>
      <c r="C21" s="1">
        <v>71555</v>
      </c>
      <c r="D21" s="1">
        <v>75963</v>
      </c>
      <c r="E21" s="1">
        <v>101231.978</v>
      </c>
      <c r="F21" s="41">
        <v>102524.465</v>
      </c>
      <c r="G21" s="1">
        <v>117293.069</v>
      </c>
      <c r="H21" s="1">
        <v>128810.787</v>
      </c>
      <c r="I21" s="1">
        <v>135538.84400000001</v>
      </c>
      <c r="J21" s="1">
        <v>136961.57199999999</v>
      </c>
      <c r="K21" s="1">
        <v>142259.78400000001</v>
      </c>
      <c r="L21" s="1">
        <v>157632.71900000001</v>
      </c>
      <c r="M21" s="1">
        <v>176066.43599999999</v>
      </c>
      <c r="N21" s="1">
        <v>172544.4</v>
      </c>
      <c r="O21" s="1">
        <v>179446.973</v>
      </c>
      <c r="P21" s="1">
        <v>181713.019</v>
      </c>
      <c r="Q21" s="1">
        <v>188992.084</v>
      </c>
      <c r="R21" s="1">
        <v>193181.677</v>
      </c>
      <c r="S21" s="1">
        <v>205941.24600000001</v>
      </c>
      <c r="T21" s="1">
        <v>218135.62299999999</v>
      </c>
      <c r="U21" s="1">
        <v>231438.07500000001</v>
      </c>
      <c r="V21" s="1">
        <v>266280.03600000002</v>
      </c>
      <c r="W21" s="1">
        <v>286976.81099999999</v>
      </c>
      <c r="X21" s="1">
        <v>299665.99300000002</v>
      </c>
      <c r="Y21" s="1">
        <v>305739.272</v>
      </c>
      <c r="Z21" s="1">
        <v>302862.13099999999</v>
      </c>
      <c r="AA21" s="1">
        <v>290590.93099999998</v>
      </c>
      <c r="AB21" s="1">
        <v>284859.93599999999</v>
      </c>
      <c r="AC21" s="1">
        <v>297256.04100000003</v>
      </c>
      <c r="AD21" s="1"/>
      <c r="AE21" s="1">
        <v>301986.533</v>
      </c>
    </row>
    <row r="22" spans="1:31">
      <c r="A22" s="1" t="s">
        <v>39</v>
      </c>
      <c r="B22" s="1">
        <v>344238</v>
      </c>
      <c r="C22" s="1">
        <v>371450</v>
      </c>
      <c r="D22" s="1">
        <v>369679</v>
      </c>
      <c r="E22" s="1">
        <v>511214.74300000002</v>
      </c>
      <c r="F22" s="41">
        <v>523364.80800000002</v>
      </c>
      <c r="G22" s="1">
        <v>626009.20700000005</v>
      </c>
      <c r="H22" s="1">
        <v>689265.09100000001</v>
      </c>
      <c r="I22" s="1">
        <v>677795.13199999998</v>
      </c>
      <c r="J22" s="1">
        <v>729820.41899999999</v>
      </c>
      <c r="K22" s="1">
        <v>779662.772</v>
      </c>
      <c r="L22" s="1">
        <v>908999.01199999999</v>
      </c>
      <c r="M22" s="1">
        <v>962496.34499999997</v>
      </c>
      <c r="N22" s="1">
        <v>1054771.794</v>
      </c>
      <c r="O22" s="1">
        <v>1105907.774</v>
      </c>
      <c r="P22" s="1">
        <v>1101139.1440000001</v>
      </c>
      <c r="Q22" s="1">
        <v>1152571.156</v>
      </c>
      <c r="R22" s="1">
        <v>1221744.953</v>
      </c>
      <c r="S22" s="1">
        <v>1290485.5819999999</v>
      </c>
      <c r="T22" s="1">
        <v>1386277.662</v>
      </c>
      <c r="U22" s="1">
        <v>1568801.7749999999</v>
      </c>
      <c r="V22" s="1">
        <v>2014107.5859999999</v>
      </c>
      <c r="W22" s="1">
        <v>2133657.1</v>
      </c>
      <c r="X22" s="1">
        <v>2064192.0209999999</v>
      </c>
      <c r="Y22" s="1">
        <v>2131377.4980000001</v>
      </c>
      <c r="Z22" s="1">
        <v>2197111.9410000001</v>
      </c>
      <c r="AA22" s="1">
        <v>2166900.4470000002</v>
      </c>
      <c r="AB22" s="1">
        <v>2243007.8080000002</v>
      </c>
      <c r="AC22" s="1">
        <v>2335697.6030000001</v>
      </c>
      <c r="AE22" s="1">
        <v>2449409.1030000001</v>
      </c>
    </row>
    <row r="23" spans="1:31">
      <c r="A23" s="1" t="s">
        <v>40</v>
      </c>
      <c r="B23" s="1">
        <v>88722</v>
      </c>
      <c r="C23" s="1">
        <v>98720</v>
      </c>
      <c r="D23" s="1">
        <v>104046</v>
      </c>
      <c r="E23" s="1">
        <v>148850.408</v>
      </c>
      <c r="F23" s="41">
        <v>151909.429</v>
      </c>
      <c r="G23" s="1">
        <v>171657.859</v>
      </c>
      <c r="H23" s="1">
        <v>171171.36300000001</v>
      </c>
      <c r="I23" s="1">
        <v>179881.87400000001</v>
      </c>
      <c r="J23" s="1">
        <v>182713.17800000001</v>
      </c>
      <c r="K23" s="1">
        <v>191115.39300000001</v>
      </c>
      <c r="L23" s="1">
        <v>233769.212</v>
      </c>
      <c r="M23" s="1">
        <v>244656.408</v>
      </c>
      <c r="N23" s="1">
        <v>257857.85</v>
      </c>
      <c r="O23" s="1">
        <v>263725.80099999998</v>
      </c>
      <c r="P23" s="1">
        <v>273765.14299999998</v>
      </c>
      <c r="Q23" s="1">
        <v>295992.842</v>
      </c>
      <c r="R23" s="1">
        <v>326974.08899999998</v>
      </c>
      <c r="S23" s="1">
        <v>360441.10100000002</v>
      </c>
      <c r="T23" s="1">
        <v>442679.897</v>
      </c>
      <c r="U23" s="1">
        <v>452060.9</v>
      </c>
      <c r="V23" s="1">
        <v>484080.94500000001</v>
      </c>
      <c r="W23" s="1">
        <v>512016.89399999997</v>
      </c>
      <c r="X23" s="1">
        <v>554104.00600000005</v>
      </c>
      <c r="Y23" s="1">
        <v>572902.73499999999</v>
      </c>
      <c r="Z23" s="1">
        <v>565405.79799999995</v>
      </c>
      <c r="AA23" s="1">
        <v>566677.196</v>
      </c>
      <c r="AB23" s="1">
        <v>556035.74600000004</v>
      </c>
      <c r="AC23" s="1">
        <v>550013.32499999995</v>
      </c>
      <c r="AE23" s="1">
        <v>514992.69500000001</v>
      </c>
    </row>
    <row r="24" spans="1:31">
      <c r="A24" s="23" t="s">
        <v>41</v>
      </c>
      <c r="B24" s="23">
        <v>7436</v>
      </c>
      <c r="C24" s="23">
        <v>8053</v>
      </c>
      <c r="D24" s="23">
        <v>8263</v>
      </c>
      <c r="E24" s="23">
        <v>8470.5149999999994</v>
      </c>
      <c r="F24" s="44">
        <v>8616.77</v>
      </c>
      <c r="G24" s="23">
        <v>9180</v>
      </c>
      <c r="H24" s="23">
        <v>9723.8230000000003</v>
      </c>
      <c r="I24" s="23">
        <v>10395.808999999999</v>
      </c>
      <c r="J24" s="23">
        <v>12185.912</v>
      </c>
      <c r="K24" s="23">
        <v>11920.11149000001</v>
      </c>
      <c r="L24" s="23">
        <v>11945.53</v>
      </c>
      <c r="M24" s="23">
        <v>18408.396000000001</v>
      </c>
      <c r="N24" s="23">
        <v>14321.37</v>
      </c>
      <c r="O24" s="23">
        <v>13374.097</v>
      </c>
      <c r="P24" s="23">
        <v>9624.3160000000007</v>
      </c>
      <c r="Q24" s="23">
        <v>23571.883999999998</v>
      </c>
      <c r="R24" s="23">
        <v>25063.88</v>
      </c>
      <c r="S24" s="23">
        <v>36692.595999999998</v>
      </c>
      <c r="T24" s="23">
        <v>40172.42</v>
      </c>
      <c r="U24" s="23">
        <v>47413.686999999998</v>
      </c>
      <c r="V24" s="23">
        <v>68478.851999999999</v>
      </c>
      <c r="W24" s="23">
        <v>71047.067999999999</v>
      </c>
      <c r="X24" s="23">
        <v>71652.964000000007</v>
      </c>
      <c r="Y24" s="23">
        <v>72275.509000000005</v>
      </c>
      <c r="Z24" s="23">
        <v>69036.19</v>
      </c>
      <c r="AA24" s="23">
        <v>73867.807000000001</v>
      </c>
      <c r="AB24" s="23">
        <v>70914.589000000007</v>
      </c>
      <c r="AC24" s="23">
        <v>63604.207999999999</v>
      </c>
      <c r="AD24" s="23"/>
      <c r="AE24" s="23">
        <v>60717.432000000001</v>
      </c>
    </row>
    <row r="25" spans="1:31">
      <c r="A25" s="7" t="s">
        <v>42</v>
      </c>
      <c r="B25" s="47">
        <f>SUM(B27:B39)</f>
        <v>0</v>
      </c>
      <c r="C25" s="47">
        <f t="shared" ref="C25:AC25" si="10">SUM(C27:C39)</f>
        <v>0</v>
      </c>
      <c r="D25" s="47">
        <f t="shared" si="10"/>
        <v>0</v>
      </c>
      <c r="E25" s="47">
        <f t="shared" si="10"/>
        <v>0</v>
      </c>
      <c r="F25" s="47">
        <f t="shared" si="10"/>
        <v>2457175.625</v>
      </c>
      <c r="G25" s="47">
        <f t="shared" si="10"/>
        <v>0</v>
      </c>
      <c r="H25" s="47">
        <f t="shared" si="10"/>
        <v>0</v>
      </c>
      <c r="I25" s="47">
        <f t="shared" si="10"/>
        <v>2582428.764</v>
      </c>
      <c r="J25" s="47">
        <f t="shared" si="10"/>
        <v>0</v>
      </c>
      <c r="K25" s="47">
        <f t="shared" si="10"/>
        <v>3063225.0739700003</v>
      </c>
      <c r="L25" s="47">
        <f t="shared" si="10"/>
        <v>3077589.8699999996</v>
      </c>
      <c r="M25" s="47">
        <f t="shared" si="10"/>
        <v>3333843.8559999997</v>
      </c>
      <c r="N25" s="47">
        <f t="shared" si="10"/>
        <v>3658751.2390000005</v>
      </c>
      <c r="O25" s="47">
        <f t="shared" si="10"/>
        <v>3626278.8190000001</v>
      </c>
      <c r="P25" s="47">
        <f t="shared" si="10"/>
        <v>3593858.6400000006</v>
      </c>
      <c r="Q25" s="47">
        <f t="shared" si="10"/>
        <v>4440565.1350000007</v>
      </c>
      <c r="R25" s="47">
        <f t="shared" si="10"/>
        <v>4783858.3909999998</v>
      </c>
      <c r="S25" s="47">
        <f t="shared" si="10"/>
        <v>5039095.3110000007</v>
      </c>
      <c r="T25" s="47">
        <f t="shared" si="10"/>
        <v>5560839.4069999997</v>
      </c>
      <c r="U25" s="47">
        <f t="shared" si="10"/>
        <v>5981988.1030000011</v>
      </c>
      <c r="V25" s="47">
        <f t="shared" si="10"/>
        <v>6716506.6879999992</v>
      </c>
      <c r="W25" s="47">
        <f t="shared" si="10"/>
        <v>7066409.2570000002</v>
      </c>
      <c r="X25" s="1">
        <v>7003376.4349999996</v>
      </c>
      <c r="Y25" s="47">
        <f t="shared" si="10"/>
        <v>5115188.0089999996</v>
      </c>
      <c r="Z25" s="47">
        <f t="shared" si="10"/>
        <v>5272633.6010000007</v>
      </c>
      <c r="AA25" s="47">
        <f t="shared" si="10"/>
        <v>5507203.034</v>
      </c>
      <c r="AB25" s="47">
        <f t="shared" si="10"/>
        <v>7664509.9740000004</v>
      </c>
      <c r="AC25" s="47">
        <f t="shared" si="10"/>
        <v>7917708.652999999</v>
      </c>
      <c r="AD25" s="47">
        <f t="shared" ref="AD25:AE25" si="11">SUM(AD27:AD39)</f>
        <v>0</v>
      </c>
      <c r="AE25" s="47">
        <f t="shared" si="11"/>
        <v>8432619.4810000006</v>
      </c>
    </row>
    <row r="26" spans="1:31">
      <c r="A26" s="7" t="s">
        <v>97</v>
      </c>
      <c r="X26" s="1">
        <v>0</v>
      </c>
    </row>
    <row r="27" spans="1:31">
      <c r="A27" s="1" t="s">
        <v>43</v>
      </c>
      <c r="F27" s="41">
        <v>1320.6089999999999</v>
      </c>
      <c r="I27" s="1">
        <v>1634.383</v>
      </c>
      <c r="K27" s="1">
        <v>2067.7779999999998</v>
      </c>
      <c r="L27" s="1">
        <v>5716.598</v>
      </c>
      <c r="M27" s="1">
        <v>1814.8050000000001</v>
      </c>
      <c r="N27" s="1">
        <v>4969.4279999999999</v>
      </c>
      <c r="O27" s="1">
        <v>4705.2150000000001</v>
      </c>
      <c r="P27" s="1">
        <v>5581.6559999999999</v>
      </c>
      <c r="Q27" s="1">
        <v>2256.6280000000002</v>
      </c>
      <c r="R27" s="1">
        <v>4607.5169999999998</v>
      </c>
      <c r="S27" s="1">
        <v>5167.9269999999997</v>
      </c>
      <c r="T27" s="1">
        <v>6054.5320000000002</v>
      </c>
      <c r="U27" s="1">
        <v>6080.1509999999998</v>
      </c>
      <c r="V27" s="1">
        <v>7443.1670000000004</v>
      </c>
      <c r="W27" s="1">
        <v>3269.23</v>
      </c>
      <c r="X27" s="1">
        <v>8456.4060000000009</v>
      </c>
      <c r="Y27" s="1">
        <v>2491.663</v>
      </c>
      <c r="AB27" s="1">
        <v>6410.9</v>
      </c>
      <c r="AC27" s="1">
        <v>6741.2479999999996</v>
      </c>
      <c r="AE27" s="1">
        <v>5781.5619999999999</v>
      </c>
    </row>
    <row r="28" spans="1:31">
      <c r="A28" s="1" t="s">
        <v>44</v>
      </c>
      <c r="F28" s="41">
        <v>169254.77900000001</v>
      </c>
      <c r="I28" s="1">
        <v>188501.802</v>
      </c>
      <c r="K28" s="1">
        <v>217301.43461000003</v>
      </c>
      <c r="L28" s="1">
        <v>258364.24400000001</v>
      </c>
      <c r="M28" s="1">
        <v>286826.55200000003</v>
      </c>
      <c r="N28" s="1">
        <v>295752.98</v>
      </c>
      <c r="O28" s="1">
        <v>313257.51199999999</v>
      </c>
      <c r="P28" s="1">
        <v>344701.24300000002</v>
      </c>
      <c r="Q28" s="1">
        <v>358006.31599999999</v>
      </c>
      <c r="R28" s="1">
        <v>381179.777</v>
      </c>
      <c r="S28" s="1">
        <v>405610.16600000003</v>
      </c>
      <c r="T28" s="1">
        <v>462117.73100000003</v>
      </c>
      <c r="U28" s="1">
        <v>486937.52299999999</v>
      </c>
      <c r="V28" s="1">
        <v>528692.69799999997</v>
      </c>
      <c r="W28" s="1">
        <v>543828.64899999998</v>
      </c>
      <c r="X28" s="1">
        <v>554359.05799999996</v>
      </c>
      <c r="Y28" s="1">
        <v>140337.02499999999</v>
      </c>
      <c r="Z28" s="1">
        <v>143058.43100000001</v>
      </c>
      <c r="AA28" s="1">
        <v>143486.45300000001</v>
      </c>
      <c r="AB28" s="1">
        <v>564022.93599999999</v>
      </c>
      <c r="AC28" s="1">
        <v>537837.66899999999</v>
      </c>
      <c r="AE28" s="1">
        <v>535169.70700000005</v>
      </c>
    </row>
    <row r="29" spans="1:31">
      <c r="A29" s="1" t="s">
        <v>45</v>
      </c>
      <c r="F29" s="41">
        <v>1517445.6669999999</v>
      </c>
      <c r="I29" s="1">
        <v>1468959.648</v>
      </c>
      <c r="K29" s="1">
        <v>1783111.1463900004</v>
      </c>
      <c r="L29" s="1">
        <v>1545521.5330000001</v>
      </c>
      <c r="M29" s="1">
        <v>1681881.0490000001</v>
      </c>
      <c r="N29" s="1">
        <v>1928530.5220000001</v>
      </c>
      <c r="O29" s="1">
        <v>1829250.602</v>
      </c>
      <c r="P29" s="1">
        <v>1796993.6710000001</v>
      </c>
      <c r="Q29" s="1">
        <v>2576177.2850000001</v>
      </c>
      <c r="R29" s="1">
        <v>2835144.3339999998</v>
      </c>
      <c r="S29" s="1">
        <v>3078406.51</v>
      </c>
      <c r="T29" s="1">
        <v>3383189.6519999998</v>
      </c>
      <c r="U29" s="1">
        <v>3430196.7059999998</v>
      </c>
      <c r="V29" s="1">
        <v>3736899.0580000002</v>
      </c>
      <c r="W29" s="1">
        <v>4008019.8659999999</v>
      </c>
      <c r="X29" s="1">
        <v>3917614.4679999999</v>
      </c>
      <c r="Y29" s="1">
        <v>2862747.608</v>
      </c>
      <c r="Z29" s="1">
        <v>2996597.5449999999</v>
      </c>
      <c r="AA29" s="1">
        <v>3242335.0559999999</v>
      </c>
      <c r="AB29" s="1">
        <v>4492516.09</v>
      </c>
      <c r="AC29" s="1">
        <v>4770369.76</v>
      </c>
      <c r="AE29" s="1">
        <v>5192668.4519999996</v>
      </c>
    </row>
    <row r="30" spans="1:31">
      <c r="A30" s="1" t="s">
        <v>46</v>
      </c>
      <c r="F30" s="41">
        <v>91399.467999999993</v>
      </c>
      <c r="I30" s="1">
        <v>114345.867</v>
      </c>
      <c r="K30" s="1">
        <v>134232.011</v>
      </c>
      <c r="L30" s="1">
        <v>147850.95800000001</v>
      </c>
      <c r="M30" s="1">
        <v>153855.70199999999</v>
      </c>
      <c r="N30" s="1">
        <v>163998.283</v>
      </c>
      <c r="O30" s="1">
        <v>167004.28400000001</v>
      </c>
      <c r="P30" s="1">
        <v>158386.41200000001</v>
      </c>
      <c r="Q30" s="1">
        <v>160811.81200000001</v>
      </c>
      <c r="R30" s="1">
        <v>166823.231</v>
      </c>
      <c r="S30" s="1">
        <v>174640.14499999999</v>
      </c>
      <c r="T30" s="1">
        <v>198741.655</v>
      </c>
      <c r="U30" s="1">
        <v>212079.65599999999</v>
      </c>
      <c r="V30" s="1">
        <v>237697.82500000001</v>
      </c>
      <c r="W30" s="1">
        <v>261857.72399999999</v>
      </c>
      <c r="X30" s="1">
        <v>267493.29599999997</v>
      </c>
      <c r="Y30" s="1">
        <v>122763.518</v>
      </c>
      <c r="Z30" s="1">
        <v>126788.8</v>
      </c>
      <c r="AA30" s="1">
        <v>129154.89599999999</v>
      </c>
      <c r="AB30" s="1">
        <v>280271.44900000002</v>
      </c>
      <c r="AC30" s="1">
        <v>298288.58299999998</v>
      </c>
      <c r="AE30" s="1">
        <v>301897.701</v>
      </c>
    </row>
    <row r="31" spans="1:31">
      <c r="A31" s="1" t="s">
        <v>47</v>
      </c>
      <c r="F31" s="41">
        <v>54323.171000000002</v>
      </c>
      <c r="I31" s="1">
        <v>59302.275999999998</v>
      </c>
      <c r="K31" s="1">
        <v>57915.464999999997</v>
      </c>
      <c r="L31" s="1">
        <v>61775.800999999999</v>
      </c>
      <c r="M31" s="1">
        <v>62258.699000000001</v>
      </c>
      <c r="N31" s="1">
        <v>64114.997000000003</v>
      </c>
      <c r="O31" s="1">
        <v>75228.006999999998</v>
      </c>
      <c r="P31" s="1">
        <v>66071.737999999998</v>
      </c>
      <c r="Q31" s="1">
        <v>67804.040999999997</v>
      </c>
      <c r="R31" s="1">
        <v>67461.67</v>
      </c>
      <c r="S31" s="1">
        <v>75616.956000000006</v>
      </c>
      <c r="T31" s="1">
        <v>85060.508000000002</v>
      </c>
      <c r="U31" s="1">
        <v>115730.492</v>
      </c>
      <c r="V31" s="1">
        <v>131291.39799999999</v>
      </c>
      <c r="W31" s="1">
        <v>130955.86</v>
      </c>
      <c r="X31" s="1">
        <v>140687.67199999999</v>
      </c>
      <c r="Y31" s="1">
        <v>155373.87599999999</v>
      </c>
      <c r="Z31" s="1">
        <v>159165.89000000001</v>
      </c>
      <c r="AA31" s="1">
        <v>182215.86199999999</v>
      </c>
      <c r="AB31" s="1">
        <v>169062.375</v>
      </c>
      <c r="AC31" s="1">
        <v>170770.34400000001</v>
      </c>
      <c r="AE31" s="1">
        <v>186953.02799999999</v>
      </c>
    </row>
    <row r="32" spans="1:31">
      <c r="A32" s="1" t="s">
        <v>48</v>
      </c>
      <c r="F32" s="41">
        <v>14701.38</v>
      </c>
      <c r="I32" s="1">
        <v>17675.537</v>
      </c>
      <c r="K32" s="1">
        <v>23779.995999999999</v>
      </c>
      <c r="L32" s="1">
        <v>28084.648000000001</v>
      </c>
      <c r="M32" s="1">
        <v>30477.014999999999</v>
      </c>
      <c r="N32" s="1">
        <v>31842.972000000002</v>
      </c>
      <c r="O32" s="1">
        <v>31434.080000000002</v>
      </c>
      <c r="P32" s="1">
        <v>33049.841999999997</v>
      </c>
      <c r="Q32" s="1">
        <v>35321.108999999997</v>
      </c>
      <c r="R32" s="1">
        <v>36875.747000000003</v>
      </c>
      <c r="S32" s="1">
        <v>37989.569000000003</v>
      </c>
      <c r="T32" s="1">
        <v>38330.033000000003</v>
      </c>
      <c r="U32" s="1">
        <v>40535.038</v>
      </c>
      <c r="V32" s="1">
        <v>44852.624000000003</v>
      </c>
      <c r="W32" s="1">
        <v>44378.495000000003</v>
      </c>
      <c r="X32" s="1">
        <v>69125.451000000001</v>
      </c>
      <c r="Y32" s="1">
        <v>70717.611999999994</v>
      </c>
      <c r="Z32" s="1">
        <v>76005.789000000004</v>
      </c>
      <c r="AA32" s="1">
        <v>76810.207999999999</v>
      </c>
      <c r="AB32" s="1">
        <v>81143.37</v>
      </c>
      <c r="AC32" s="1">
        <v>85589.278999999995</v>
      </c>
      <c r="AE32" s="1">
        <v>88877.315000000002</v>
      </c>
    </row>
    <row r="33" spans="1:31">
      <c r="A33" s="1" t="s">
        <v>49</v>
      </c>
      <c r="F33" s="41">
        <v>7422.7330000000002</v>
      </c>
      <c r="I33" s="1">
        <v>17353.358</v>
      </c>
      <c r="K33" s="1">
        <v>14103.26525</v>
      </c>
      <c r="L33" s="1">
        <v>13969.312</v>
      </c>
      <c r="M33" s="1">
        <v>15757.370999999999</v>
      </c>
      <c r="N33" s="1">
        <v>18002.373</v>
      </c>
      <c r="O33" s="1">
        <v>17615.687999999998</v>
      </c>
      <c r="P33" s="1">
        <v>18076.932000000001</v>
      </c>
      <c r="Q33" s="1">
        <v>22489.036</v>
      </c>
      <c r="R33" s="1">
        <v>23638.458999999999</v>
      </c>
      <c r="S33" s="1">
        <v>26185.419000000002</v>
      </c>
      <c r="T33" s="1">
        <v>27369.933000000001</v>
      </c>
      <c r="U33" s="1">
        <v>30004.201000000001</v>
      </c>
      <c r="V33" s="1">
        <v>35120.93</v>
      </c>
      <c r="W33" s="1">
        <v>35342.944000000003</v>
      </c>
      <c r="X33" s="1">
        <v>36776.247000000003</v>
      </c>
      <c r="Y33" s="1">
        <v>35375.843000000001</v>
      </c>
      <c r="Z33" s="1">
        <v>36286.881999999998</v>
      </c>
      <c r="AA33" s="1">
        <v>38890.775000000001</v>
      </c>
      <c r="AB33" s="1">
        <v>42595.154999999999</v>
      </c>
      <c r="AC33" s="1">
        <v>42932.624000000003</v>
      </c>
      <c r="AE33" s="1">
        <v>41510.707000000002</v>
      </c>
    </row>
    <row r="34" spans="1:31">
      <c r="A34" s="1" t="s">
        <v>50</v>
      </c>
      <c r="F34" s="41">
        <v>33951.485000000001</v>
      </c>
      <c r="I34" s="1">
        <v>36211.531999999999</v>
      </c>
      <c r="K34" s="1">
        <v>55397</v>
      </c>
      <c r="L34" s="1">
        <v>78440</v>
      </c>
      <c r="M34" s="1">
        <v>76880</v>
      </c>
      <c r="N34" s="1">
        <v>87096</v>
      </c>
      <c r="O34" s="1">
        <v>91075</v>
      </c>
      <c r="P34" s="1">
        <v>30063</v>
      </c>
      <c r="Q34" s="1">
        <v>32672</v>
      </c>
      <c r="R34" s="1">
        <v>34114</v>
      </c>
      <c r="S34" s="1">
        <v>25567</v>
      </c>
      <c r="T34" s="1">
        <v>27282</v>
      </c>
      <c r="U34" s="1">
        <v>130993.10400000001</v>
      </c>
      <c r="V34" s="1">
        <v>162088.53200000001</v>
      </c>
      <c r="W34" s="1">
        <v>164835.87400000001</v>
      </c>
      <c r="X34" s="1">
        <v>159196.04399999999</v>
      </c>
      <c r="Y34" s="1">
        <v>155124.35800000001</v>
      </c>
      <c r="Z34" s="1">
        <v>160241.16099999999</v>
      </c>
      <c r="AA34" s="1">
        <v>171297.56700000001</v>
      </c>
      <c r="AB34" s="1">
        <v>166967.66699999999</v>
      </c>
      <c r="AC34" s="1">
        <v>170002.31200000001</v>
      </c>
      <c r="AE34" s="1">
        <v>188250.26800000001</v>
      </c>
    </row>
    <row r="35" spans="1:31">
      <c r="A35" s="1" t="s">
        <v>51</v>
      </c>
      <c r="F35" s="41">
        <v>56113.627</v>
      </c>
      <c r="I35" s="1">
        <v>74544.42</v>
      </c>
      <c r="K35" s="1">
        <v>85983.728160000028</v>
      </c>
      <c r="L35" s="1">
        <v>117337</v>
      </c>
      <c r="M35" s="1">
        <v>124536.568</v>
      </c>
      <c r="N35" s="1">
        <v>131836.53700000001</v>
      </c>
      <c r="O35" s="1">
        <v>137590.87299999999</v>
      </c>
      <c r="P35" s="1">
        <v>149162.02600000001</v>
      </c>
      <c r="Q35" s="1">
        <v>158114.67600000001</v>
      </c>
      <c r="R35" s="1">
        <v>164111.80799999999</v>
      </c>
      <c r="S35" s="1">
        <v>175682.416</v>
      </c>
      <c r="T35" s="1">
        <v>190830.51</v>
      </c>
      <c r="U35" s="1">
        <v>228179.91500000001</v>
      </c>
      <c r="V35" s="1">
        <v>239687.47500000001</v>
      </c>
      <c r="W35" s="1">
        <v>252274.53700000001</v>
      </c>
      <c r="X35" s="1">
        <v>252732.15</v>
      </c>
      <c r="Y35" s="1">
        <v>156599.573</v>
      </c>
      <c r="Z35" s="1">
        <v>170100.984</v>
      </c>
      <c r="AA35" s="1">
        <v>172552.527</v>
      </c>
      <c r="AB35" s="1">
        <v>264619.93099999998</v>
      </c>
      <c r="AC35" s="1">
        <v>266147.20500000002</v>
      </c>
      <c r="AE35" s="1">
        <v>261199.51800000001</v>
      </c>
    </row>
    <row r="36" spans="1:31">
      <c r="A36" s="1" t="s">
        <v>52</v>
      </c>
      <c r="F36" s="41">
        <v>167859.72899999999</v>
      </c>
      <c r="I36" s="1">
        <v>183833.43400000001</v>
      </c>
      <c r="K36" s="1">
        <v>209919.63580999995</v>
      </c>
      <c r="L36" s="1">
        <v>251245.42199999999</v>
      </c>
      <c r="M36" s="1">
        <v>253776.326</v>
      </c>
      <c r="N36" s="1">
        <v>269913.07199999999</v>
      </c>
      <c r="O36" s="1">
        <v>271077.598</v>
      </c>
      <c r="P36" s="1">
        <v>271505.94099999999</v>
      </c>
      <c r="Q36" s="1">
        <v>281364.40999999997</v>
      </c>
      <c r="R36" s="1">
        <v>291553.90299999999</v>
      </c>
      <c r="S36" s="1">
        <v>313391.55200000003</v>
      </c>
      <c r="T36" s="1">
        <v>342572.95600000001</v>
      </c>
      <c r="U36" s="1">
        <v>370223.58399999997</v>
      </c>
      <c r="V36" s="1">
        <v>449139.46899999998</v>
      </c>
      <c r="W36" s="1">
        <v>463563.96299999999</v>
      </c>
      <c r="X36" s="1">
        <v>484288.26500000001</v>
      </c>
      <c r="Y36" s="1">
        <v>481312.86700000003</v>
      </c>
      <c r="Z36" s="1">
        <v>481300.57199999999</v>
      </c>
      <c r="AA36" s="1">
        <v>421883.98499999999</v>
      </c>
      <c r="AB36" s="1">
        <v>521311.50900000002</v>
      </c>
      <c r="AC36" s="1">
        <v>490337.98</v>
      </c>
      <c r="AE36" s="1">
        <v>476088.74800000002</v>
      </c>
    </row>
    <row r="37" spans="1:31">
      <c r="A37" s="1" t="s">
        <v>53</v>
      </c>
      <c r="F37" s="41">
        <v>53316.648000000001</v>
      </c>
      <c r="I37" s="1">
        <v>50912.178999999996</v>
      </c>
      <c r="K37" s="1">
        <v>58754.587</v>
      </c>
      <c r="L37" s="1">
        <v>58602.889000000003</v>
      </c>
      <c r="M37" s="1">
        <v>69662.432000000001</v>
      </c>
      <c r="N37" s="1">
        <v>68928.191000000006</v>
      </c>
      <c r="O37" s="1">
        <v>67275.546000000002</v>
      </c>
      <c r="P37" s="1">
        <v>77898.536999999997</v>
      </c>
      <c r="Q37" s="1">
        <v>86446.244000000006</v>
      </c>
      <c r="R37" s="1">
        <v>88178.168000000005</v>
      </c>
      <c r="S37" s="1">
        <v>100324.087</v>
      </c>
      <c r="T37" s="1">
        <v>114041.177</v>
      </c>
      <c r="U37" s="1">
        <v>107817.054</v>
      </c>
      <c r="V37" s="1">
        <v>159497.62899999999</v>
      </c>
      <c r="W37" s="1">
        <v>133677.492</v>
      </c>
      <c r="X37" s="1">
        <v>113025.925</v>
      </c>
      <c r="Y37" s="1">
        <v>143980.611</v>
      </c>
      <c r="Z37" s="1">
        <v>145529.22399999999</v>
      </c>
      <c r="AA37" s="1">
        <v>145905.20199999999</v>
      </c>
      <c r="AB37" s="1">
        <v>116025.30100000001</v>
      </c>
      <c r="AC37" s="1">
        <v>122811.656</v>
      </c>
      <c r="AE37" s="1">
        <v>119613.497</v>
      </c>
    </row>
    <row r="38" spans="1:31">
      <c r="A38" s="1" t="s">
        <v>54</v>
      </c>
      <c r="F38" s="41">
        <v>254407.478</v>
      </c>
      <c r="I38" s="1">
        <v>333908.408</v>
      </c>
      <c r="K38" s="1">
        <v>383314.59175000002</v>
      </c>
      <c r="L38" s="1">
        <v>471718.83</v>
      </c>
      <c r="M38" s="1">
        <v>534888.36100000003</v>
      </c>
      <c r="N38" s="1">
        <v>546711.49699999997</v>
      </c>
      <c r="O38" s="1">
        <v>569208.70299999998</v>
      </c>
      <c r="P38" s="1">
        <v>588068.91099999996</v>
      </c>
      <c r="Q38" s="1">
        <v>602936.02800000005</v>
      </c>
      <c r="R38" s="1">
        <v>628220.60400000005</v>
      </c>
      <c r="S38" s="1">
        <v>554336.17000000004</v>
      </c>
      <c r="T38" s="1">
        <v>605325.44700000004</v>
      </c>
      <c r="U38" s="1">
        <v>740104.48499999999</v>
      </c>
      <c r="V38" s="1">
        <v>883935.40399999998</v>
      </c>
      <c r="W38" s="1">
        <v>925238.81299999997</v>
      </c>
      <c r="X38" s="1">
        <v>891989</v>
      </c>
      <c r="Y38" s="1">
        <v>677433.01399999997</v>
      </c>
      <c r="Z38" s="1">
        <v>666789.929</v>
      </c>
      <c r="AA38" s="1">
        <v>669299.74899999995</v>
      </c>
      <c r="AB38" s="1">
        <v>850839.14399999997</v>
      </c>
      <c r="AC38" s="1">
        <v>855820.37300000002</v>
      </c>
      <c r="AE38" s="1">
        <v>932043.55700000003</v>
      </c>
    </row>
    <row r="39" spans="1:31">
      <c r="A39" s="23" t="s">
        <v>55</v>
      </c>
      <c r="B39" s="23"/>
      <c r="C39" s="23"/>
      <c r="D39" s="23"/>
      <c r="E39" s="23"/>
      <c r="F39" s="44">
        <v>35658.851000000002</v>
      </c>
      <c r="G39" s="23"/>
      <c r="H39" s="23"/>
      <c r="I39" s="23">
        <v>35245.919999999998</v>
      </c>
      <c r="J39" s="23"/>
      <c r="K39" s="23">
        <v>37344.434999999998</v>
      </c>
      <c r="L39" s="23">
        <v>38962.635000000002</v>
      </c>
      <c r="M39" s="23">
        <v>41228.976000000002</v>
      </c>
      <c r="N39" s="23">
        <v>47054.387000000002</v>
      </c>
      <c r="O39" s="23">
        <v>51555.711000000003</v>
      </c>
      <c r="P39" s="23">
        <v>54298.731</v>
      </c>
      <c r="Q39" s="23">
        <v>56165.55</v>
      </c>
      <c r="R39" s="23">
        <v>61949.173000000003</v>
      </c>
      <c r="S39" s="23">
        <v>66177.394</v>
      </c>
      <c r="T39" s="23">
        <v>79923.273000000001</v>
      </c>
      <c r="U39" s="23">
        <v>83106.194000000003</v>
      </c>
      <c r="V39" s="23">
        <v>100160.47900000001</v>
      </c>
      <c r="W39" s="23">
        <v>99165.81</v>
      </c>
      <c r="X39" s="23">
        <v>107632.45299999999</v>
      </c>
      <c r="Y39" s="23">
        <v>110930.44100000001</v>
      </c>
      <c r="Z39" s="23">
        <v>110768.394</v>
      </c>
      <c r="AA39" s="23">
        <v>113370.754</v>
      </c>
      <c r="AB39" s="23">
        <v>108724.147</v>
      </c>
      <c r="AC39" s="23">
        <v>100059.62</v>
      </c>
      <c r="AD39" s="23"/>
      <c r="AE39" s="23">
        <v>102565.421</v>
      </c>
    </row>
    <row r="40" spans="1:31">
      <c r="A40" s="7" t="s">
        <v>56</v>
      </c>
      <c r="B40" s="47">
        <f>SUM(B42:B53)</f>
        <v>0</v>
      </c>
      <c r="C40" s="47">
        <f t="shared" ref="C40:AC40" si="12">SUM(C42:C53)</f>
        <v>0</v>
      </c>
      <c r="D40" s="47">
        <f t="shared" si="12"/>
        <v>0</v>
      </c>
      <c r="E40" s="47">
        <f t="shared" si="12"/>
        <v>0</v>
      </c>
      <c r="F40" s="47">
        <f t="shared" si="12"/>
        <v>1932931.0789999999</v>
      </c>
      <c r="G40" s="47">
        <f t="shared" si="12"/>
        <v>0</v>
      </c>
      <c r="H40" s="47">
        <f t="shared" si="12"/>
        <v>0</v>
      </c>
      <c r="I40" s="47">
        <f t="shared" si="12"/>
        <v>2187348.2519999999</v>
      </c>
      <c r="J40" s="47">
        <f t="shared" si="12"/>
        <v>0</v>
      </c>
      <c r="K40" s="47">
        <f t="shared" si="12"/>
        <v>2430964.6015100004</v>
      </c>
      <c r="L40" s="47">
        <f t="shared" si="12"/>
        <v>2692265.8860000004</v>
      </c>
      <c r="M40" s="47">
        <f t="shared" si="12"/>
        <v>2898479.4850000003</v>
      </c>
      <c r="N40" s="47">
        <f t="shared" si="12"/>
        <v>2953858.4619999998</v>
      </c>
      <c r="O40" s="47">
        <f t="shared" si="12"/>
        <v>3093674.0759999999</v>
      </c>
      <c r="P40" s="47">
        <f t="shared" si="12"/>
        <v>3250264.5469999998</v>
      </c>
      <c r="Q40" s="47">
        <f t="shared" si="12"/>
        <v>3309970.2390000001</v>
      </c>
      <c r="R40" s="47">
        <f t="shared" si="12"/>
        <v>3464684.1310000001</v>
      </c>
      <c r="S40" s="47">
        <f t="shared" si="12"/>
        <v>3522080.3309999998</v>
      </c>
      <c r="T40" s="47">
        <f t="shared" si="12"/>
        <v>3756692.0370000005</v>
      </c>
      <c r="U40" s="47">
        <f t="shared" si="12"/>
        <v>4230569.504999999</v>
      </c>
      <c r="V40" s="47">
        <f t="shared" si="12"/>
        <v>5180712.7979999995</v>
      </c>
      <c r="W40" s="47">
        <f t="shared" si="12"/>
        <v>5516248.0009999992</v>
      </c>
      <c r="X40" s="47">
        <v>5605489.1629999997</v>
      </c>
      <c r="Y40" s="47">
        <f t="shared" si="12"/>
        <v>4258155.3500000006</v>
      </c>
      <c r="Z40" s="47">
        <f t="shared" si="12"/>
        <v>4379613.6380000003</v>
      </c>
      <c r="AA40" s="47">
        <f t="shared" si="12"/>
        <v>4385112.3810000001</v>
      </c>
      <c r="AB40" s="47">
        <f t="shared" si="12"/>
        <v>5823642.8830000004</v>
      </c>
      <c r="AC40" s="47">
        <f t="shared" si="12"/>
        <v>5925756.1430000011</v>
      </c>
      <c r="AD40" s="47">
        <f t="shared" ref="AD40:AE40" si="13">SUM(AD42:AD53)</f>
        <v>0</v>
      </c>
      <c r="AE40" s="47">
        <f t="shared" si="13"/>
        <v>5925178.6140000001</v>
      </c>
    </row>
    <row r="41" spans="1:31">
      <c r="A41" s="7" t="s">
        <v>97</v>
      </c>
      <c r="X41" s="1">
        <v>0</v>
      </c>
    </row>
    <row r="42" spans="1:31">
      <c r="A42" s="1" t="s">
        <v>57</v>
      </c>
      <c r="F42" s="41">
        <v>414701.26699999999</v>
      </c>
      <c r="I42" s="1">
        <v>489703.36099999998</v>
      </c>
      <c r="K42" s="1">
        <v>496137.57365000009</v>
      </c>
      <c r="L42" s="1">
        <v>551819.20400000003</v>
      </c>
      <c r="M42" s="1">
        <v>563787.09499999997</v>
      </c>
      <c r="N42" s="1">
        <v>592423.11399999994</v>
      </c>
      <c r="O42" s="1">
        <v>616858.049</v>
      </c>
      <c r="P42" s="1">
        <v>725524.98</v>
      </c>
      <c r="Q42" s="1">
        <v>671055.28500000003</v>
      </c>
      <c r="R42" s="1">
        <v>689340.37600000005</v>
      </c>
      <c r="S42" s="1">
        <v>705930.96699999995</v>
      </c>
      <c r="T42" s="1">
        <v>760979.28700000001</v>
      </c>
      <c r="U42" s="1">
        <v>843735.03399999999</v>
      </c>
      <c r="V42" s="1">
        <v>1020101.177</v>
      </c>
      <c r="W42" s="1">
        <v>1079829.4110000001</v>
      </c>
      <c r="X42" s="1">
        <v>1130899.44</v>
      </c>
      <c r="Y42" s="1">
        <v>685629.603</v>
      </c>
      <c r="Z42" s="1">
        <v>713232.38899999997</v>
      </c>
      <c r="AA42" s="1">
        <v>741240.62</v>
      </c>
      <c r="AB42" s="1">
        <v>1250171.442</v>
      </c>
      <c r="AC42" s="1">
        <v>1308867.111</v>
      </c>
      <c r="AE42" s="1">
        <v>1382586.9350000001</v>
      </c>
    </row>
    <row r="43" spans="1:31">
      <c r="A43" s="1" t="s">
        <v>58</v>
      </c>
      <c r="F43" s="41">
        <v>59058.574999999997</v>
      </c>
      <c r="I43" s="1">
        <v>71382.745999999999</v>
      </c>
      <c r="K43" s="1">
        <v>80465.623999999996</v>
      </c>
      <c r="L43" s="1">
        <v>106479.125</v>
      </c>
      <c r="M43" s="1">
        <v>115454.995</v>
      </c>
      <c r="N43" s="1">
        <v>130088.92</v>
      </c>
      <c r="O43" s="1">
        <v>138795.15</v>
      </c>
      <c r="P43" s="1">
        <v>114306.10400000001</v>
      </c>
      <c r="Q43" s="1">
        <v>127405.118</v>
      </c>
      <c r="R43" s="1">
        <v>132087.41399999999</v>
      </c>
      <c r="S43" s="1">
        <v>137576.641</v>
      </c>
      <c r="T43" s="1">
        <v>137008.28599999999</v>
      </c>
      <c r="U43" s="1">
        <v>177155.59899999999</v>
      </c>
      <c r="V43" s="1">
        <v>232183.30600000001</v>
      </c>
      <c r="W43" s="1">
        <v>248657.84700000001</v>
      </c>
      <c r="X43" s="1">
        <v>265100.60100000002</v>
      </c>
      <c r="Y43" s="1">
        <v>306810.685</v>
      </c>
      <c r="Z43" s="1">
        <v>305228.777</v>
      </c>
      <c r="AA43" s="1">
        <v>292306.48100000003</v>
      </c>
      <c r="AB43" s="1">
        <v>195406.94899999999</v>
      </c>
      <c r="AC43" s="1">
        <v>239343.20800000001</v>
      </c>
      <c r="AE43" s="1">
        <v>300274.58399999997</v>
      </c>
    </row>
    <row r="44" spans="1:31">
      <c r="A44" s="1" t="s">
        <v>59</v>
      </c>
      <c r="F44" s="41">
        <v>158418.274</v>
      </c>
      <c r="I44" s="1">
        <v>165039.03</v>
      </c>
      <c r="K44" s="1">
        <v>180273.77499999999</v>
      </c>
      <c r="L44" s="1">
        <v>214755.83900000001</v>
      </c>
      <c r="M44" s="1">
        <v>233691.27900000001</v>
      </c>
      <c r="N44" s="1">
        <v>227438.38699999999</v>
      </c>
      <c r="O44" s="1">
        <v>222512.49600000001</v>
      </c>
      <c r="P44" s="1">
        <v>239427.43</v>
      </c>
      <c r="Q44" s="1">
        <v>244381.31899999999</v>
      </c>
      <c r="R44" s="1">
        <v>260966.01300000001</v>
      </c>
      <c r="S44" s="1">
        <v>281192.33500000002</v>
      </c>
      <c r="T44" s="1">
        <v>302530.42099999997</v>
      </c>
      <c r="U44" s="1">
        <v>333552.76500000001</v>
      </c>
      <c r="V44" s="1">
        <v>371530.804</v>
      </c>
      <c r="W44" s="1">
        <v>383283.87599999999</v>
      </c>
      <c r="X44" s="1">
        <v>397612.53200000001</v>
      </c>
      <c r="Y44" s="1">
        <v>383307.315</v>
      </c>
      <c r="Z44" s="1">
        <v>382047.261</v>
      </c>
      <c r="AA44" s="1">
        <v>410703.60100000002</v>
      </c>
      <c r="AB44" s="1">
        <v>410992.30699999997</v>
      </c>
      <c r="AC44" s="1">
        <v>414617.53499999997</v>
      </c>
      <c r="AE44" s="1">
        <v>417266.37300000002</v>
      </c>
    </row>
    <row r="45" spans="1:31">
      <c r="A45" s="1" t="s">
        <v>60</v>
      </c>
      <c r="F45" s="41">
        <v>88691.846000000005</v>
      </c>
      <c r="I45" s="1">
        <v>114675.63400000001</v>
      </c>
      <c r="K45" s="1">
        <v>127772.29416999995</v>
      </c>
      <c r="L45" s="1">
        <v>139679.337</v>
      </c>
      <c r="M45" s="1">
        <v>152122.80300000001</v>
      </c>
      <c r="N45" s="1">
        <v>160419.535</v>
      </c>
      <c r="O45" s="1">
        <v>161354.64199999999</v>
      </c>
      <c r="P45" s="1">
        <v>164511.777</v>
      </c>
      <c r="Q45" s="1">
        <v>174400.62400000001</v>
      </c>
      <c r="R45" s="1">
        <v>187068.413</v>
      </c>
      <c r="S45" s="1">
        <v>197523.353</v>
      </c>
      <c r="T45" s="1">
        <v>213037.019</v>
      </c>
      <c r="U45" s="1">
        <v>230808.60500000001</v>
      </c>
      <c r="V45" s="1">
        <v>269233.90000000002</v>
      </c>
      <c r="W45" s="1">
        <v>274775.68300000002</v>
      </c>
      <c r="X45" s="1">
        <v>273922.61900000001</v>
      </c>
      <c r="Y45" s="1">
        <v>225856.75599999999</v>
      </c>
      <c r="Z45" s="1">
        <v>227730.72899999999</v>
      </c>
      <c r="AA45" s="1">
        <v>228648.79500000001</v>
      </c>
      <c r="AB45" s="1">
        <v>285117.826</v>
      </c>
      <c r="AC45" s="1">
        <v>285960.42599999998</v>
      </c>
      <c r="AE45" s="1">
        <v>301657.60100000002</v>
      </c>
    </row>
    <row r="46" spans="1:31">
      <c r="A46" s="1" t="s">
        <v>61</v>
      </c>
      <c r="F46" s="41">
        <v>321903.60100000002</v>
      </c>
      <c r="I46" s="1">
        <v>353969.217</v>
      </c>
      <c r="K46" s="1">
        <v>375114.61591000011</v>
      </c>
      <c r="L46" s="1">
        <v>408026.29499999998</v>
      </c>
      <c r="M46" s="1">
        <v>425386.54200000002</v>
      </c>
      <c r="N46" s="1">
        <v>442697.34399999998</v>
      </c>
      <c r="O46" s="1">
        <v>470450.592</v>
      </c>
      <c r="P46" s="1">
        <v>460231.88900000002</v>
      </c>
      <c r="Q46" s="1">
        <v>480774.19799999997</v>
      </c>
      <c r="R46" s="1">
        <v>499738.19300000003</v>
      </c>
      <c r="S46" s="1">
        <v>513597.34399999998</v>
      </c>
      <c r="T46" s="1">
        <v>546168.95400000003</v>
      </c>
      <c r="U46" s="1">
        <v>577135.21499999997</v>
      </c>
      <c r="V46" s="1">
        <v>779284.25199999998</v>
      </c>
      <c r="W46" s="1">
        <v>807274.96799999999</v>
      </c>
      <c r="X46" s="1">
        <v>821941.41599999997</v>
      </c>
      <c r="Y46" s="1">
        <v>759136.65800000005</v>
      </c>
      <c r="Z46" s="1">
        <v>769415.63</v>
      </c>
      <c r="AA46" s="1">
        <v>777336.37</v>
      </c>
      <c r="AB46" s="1">
        <v>841965.25800000003</v>
      </c>
      <c r="AC46" s="1">
        <v>830679.39199999999</v>
      </c>
      <c r="AE46" s="1">
        <v>762342.571</v>
      </c>
    </row>
    <row r="47" spans="1:31">
      <c r="A47" s="1" t="s">
        <v>62</v>
      </c>
      <c r="F47" s="41">
        <v>183773.329</v>
      </c>
      <c r="I47" s="1">
        <v>246830.584</v>
      </c>
      <c r="K47" s="1">
        <v>225503.36919000006</v>
      </c>
      <c r="L47" s="1">
        <v>266510.77500000002</v>
      </c>
      <c r="M47" s="1">
        <v>301249.402</v>
      </c>
      <c r="N47" s="1">
        <v>304392.95500000002</v>
      </c>
      <c r="O47" s="1">
        <v>307852.70899999997</v>
      </c>
      <c r="P47" s="1">
        <v>329457.35200000001</v>
      </c>
      <c r="Q47" s="1">
        <v>333888.17300000001</v>
      </c>
      <c r="R47" s="1">
        <v>357914.32500000001</v>
      </c>
      <c r="S47" s="1">
        <v>369265.50699999998</v>
      </c>
      <c r="T47" s="1">
        <v>395872</v>
      </c>
      <c r="U47" s="1">
        <v>403164.24599999998</v>
      </c>
      <c r="V47" s="1">
        <v>495856.489</v>
      </c>
      <c r="W47" s="1">
        <v>503196</v>
      </c>
      <c r="X47" s="1">
        <v>491451.5</v>
      </c>
      <c r="Y47" s="1">
        <v>385522.94400000002</v>
      </c>
      <c r="Z47" s="1">
        <v>388561.00400000002</v>
      </c>
      <c r="AA47" s="1">
        <v>377402</v>
      </c>
      <c r="AB47" s="1">
        <v>495793.08600000001</v>
      </c>
      <c r="AC47" s="1">
        <v>512017.13699999999</v>
      </c>
      <c r="AE47" s="1">
        <v>524624.56299999997</v>
      </c>
    </row>
    <row r="48" spans="1:31">
      <c r="A48" s="1" t="s">
        <v>63</v>
      </c>
      <c r="F48" s="41">
        <v>101784.731</v>
      </c>
      <c r="I48" s="1">
        <v>46236.953999999998</v>
      </c>
      <c r="K48" s="1">
        <v>153979.80900000001</v>
      </c>
      <c r="L48" s="1">
        <v>80230.45</v>
      </c>
      <c r="M48" s="1">
        <v>110207.39</v>
      </c>
      <c r="N48" s="1">
        <v>83187.914000000004</v>
      </c>
      <c r="O48" s="1">
        <v>84837.614000000001</v>
      </c>
      <c r="P48" s="1">
        <v>90961.864000000001</v>
      </c>
      <c r="Q48" s="1">
        <v>97254.962</v>
      </c>
      <c r="R48" s="1">
        <v>103585.56200000001</v>
      </c>
      <c r="S48" s="1">
        <v>108642.86</v>
      </c>
      <c r="T48" s="1">
        <v>122668.242</v>
      </c>
      <c r="U48" s="1">
        <v>143209.747</v>
      </c>
      <c r="V48" s="1">
        <v>165002.36499999999</v>
      </c>
      <c r="W48" s="1">
        <v>277461.33799999999</v>
      </c>
      <c r="X48" s="1">
        <v>270963.13199999998</v>
      </c>
      <c r="Y48" s="1">
        <v>283325.46299999999</v>
      </c>
      <c r="Z48" s="1">
        <v>345042.96299999999</v>
      </c>
      <c r="AA48" s="1">
        <v>331683.80900000001</v>
      </c>
      <c r="AB48" s="1">
        <v>319810.88099999999</v>
      </c>
      <c r="AC48" s="1">
        <v>332578.26899999997</v>
      </c>
      <c r="AE48" s="1">
        <v>323589.09999999998</v>
      </c>
    </row>
    <row r="49" spans="1:31">
      <c r="A49" s="1" t="s">
        <v>64</v>
      </c>
      <c r="F49" s="41">
        <v>34481.987999999998</v>
      </c>
      <c r="I49" s="1">
        <v>37730.470999999998</v>
      </c>
      <c r="K49" s="1">
        <v>64568.985999999997</v>
      </c>
      <c r="L49" s="1">
        <v>74765.971999999994</v>
      </c>
      <c r="M49" s="1">
        <v>78566.195999999996</v>
      </c>
      <c r="N49" s="1">
        <v>82830.638999999996</v>
      </c>
      <c r="O49" s="1">
        <v>88375.061000000002</v>
      </c>
      <c r="P49" s="1">
        <v>93490.627999999997</v>
      </c>
      <c r="Q49" s="1">
        <v>97207.805999999997</v>
      </c>
      <c r="R49" s="1">
        <v>104131.564</v>
      </c>
      <c r="S49" s="1">
        <v>107786.912</v>
      </c>
      <c r="T49" s="1">
        <v>112587.946</v>
      </c>
      <c r="U49" s="1">
        <v>120371.962</v>
      </c>
      <c r="V49" s="1">
        <v>154214.149</v>
      </c>
      <c r="W49" s="1">
        <v>157193.196</v>
      </c>
      <c r="X49" s="1">
        <v>171976.92</v>
      </c>
      <c r="Y49" s="1">
        <v>147749.67800000001</v>
      </c>
      <c r="Z49" s="1">
        <v>152101.742</v>
      </c>
      <c r="AA49" s="1">
        <v>154417.27499999999</v>
      </c>
      <c r="AB49" s="1">
        <v>191654.50399999999</v>
      </c>
      <c r="AC49" s="1">
        <v>190664.17600000001</v>
      </c>
      <c r="AE49" s="1">
        <v>205682.39</v>
      </c>
    </row>
    <row r="50" spans="1:31">
      <c r="A50" s="1" t="s">
        <v>65</v>
      </c>
      <c r="F50" s="41">
        <v>21089.936000000002</v>
      </c>
      <c r="I50" s="1">
        <v>24551.841</v>
      </c>
      <c r="K50" s="1">
        <v>28228.95827000001</v>
      </c>
      <c r="L50" s="1">
        <v>30777.440999999999</v>
      </c>
      <c r="M50" s="1">
        <v>27746.148000000001</v>
      </c>
      <c r="N50" s="1">
        <v>31554.424999999999</v>
      </c>
      <c r="O50" s="1">
        <v>32805.851999999999</v>
      </c>
      <c r="P50" s="1">
        <v>31529.074000000001</v>
      </c>
      <c r="Q50" s="1">
        <v>33876.928999999996</v>
      </c>
      <c r="R50" s="1">
        <v>36087.972000000002</v>
      </c>
      <c r="S50" s="1">
        <v>37640.783000000003</v>
      </c>
      <c r="T50" s="1">
        <v>28291.246999999999</v>
      </c>
      <c r="U50" s="1">
        <v>47690.635000000002</v>
      </c>
      <c r="V50" s="1">
        <v>54843.442999999999</v>
      </c>
      <c r="W50" s="1">
        <v>60741.17</v>
      </c>
      <c r="X50" s="1">
        <v>64310.322</v>
      </c>
      <c r="Y50" s="1">
        <v>66169.956000000006</v>
      </c>
      <c r="Z50" s="1">
        <v>73593.491999999998</v>
      </c>
      <c r="AA50" s="1">
        <v>78956.510999999999</v>
      </c>
      <c r="AB50" s="1">
        <v>78653.313999999998</v>
      </c>
      <c r="AC50" s="1">
        <v>73249.770999999993</v>
      </c>
      <c r="AE50" s="1">
        <v>64895.892999999996</v>
      </c>
    </row>
    <row r="51" spans="1:31">
      <c r="A51" s="1" t="s">
        <v>66</v>
      </c>
      <c r="F51" s="41">
        <v>233728.465</v>
      </c>
      <c r="I51" s="1">
        <v>272607.99200000003</v>
      </c>
      <c r="K51" s="1">
        <v>286594.93699999998</v>
      </c>
      <c r="L51" s="1">
        <v>355040.04700000002</v>
      </c>
      <c r="M51" s="1">
        <v>386628.03200000001</v>
      </c>
      <c r="N51" s="1">
        <v>361128.00599999999</v>
      </c>
      <c r="O51" s="1">
        <v>397663.21</v>
      </c>
      <c r="P51" s="1">
        <v>404244.72200000001</v>
      </c>
      <c r="Q51" s="1">
        <v>426609.63199999998</v>
      </c>
      <c r="R51" s="1">
        <v>447332.17099999997</v>
      </c>
      <c r="S51" s="1">
        <v>462645.67300000001</v>
      </c>
      <c r="T51" s="1">
        <v>496698.76899999997</v>
      </c>
      <c r="U51" s="1">
        <v>660413.902</v>
      </c>
      <c r="V51" s="1">
        <v>753205.55700000003</v>
      </c>
      <c r="W51" s="1">
        <v>817283.00399999996</v>
      </c>
      <c r="X51" s="1">
        <v>821774.04099999997</v>
      </c>
      <c r="Y51" s="1">
        <v>773320.58100000001</v>
      </c>
      <c r="Z51" s="1">
        <v>767444.11399999994</v>
      </c>
      <c r="AA51" s="1">
        <v>748479.45700000005</v>
      </c>
      <c r="AB51" s="1">
        <v>787650.45799999998</v>
      </c>
      <c r="AC51" s="1">
        <v>811049.95499999996</v>
      </c>
      <c r="AE51" s="1">
        <v>752618.80299999996</v>
      </c>
    </row>
    <row r="52" spans="1:31">
      <c r="A52" s="1" t="s">
        <v>67</v>
      </c>
      <c r="F52" s="41">
        <v>405.07100000000003</v>
      </c>
      <c r="I52" s="1">
        <v>419.58600000000001</v>
      </c>
      <c r="K52" s="1">
        <v>15859.379319999993</v>
      </c>
      <c r="L52" s="1">
        <v>16740.52</v>
      </c>
      <c r="M52" s="1">
        <v>17475.307000000001</v>
      </c>
      <c r="N52" s="1">
        <v>20447.999</v>
      </c>
      <c r="O52" s="1">
        <v>18403.73</v>
      </c>
      <c r="P52" s="1">
        <v>19675.476999999999</v>
      </c>
      <c r="Q52" s="1">
        <v>19768.716</v>
      </c>
      <c r="R52" s="1">
        <v>21014.758999999998</v>
      </c>
      <c r="S52" s="1">
        <v>22279.794000000002</v>
      </c>
      <c r="T52" s="1">
        <v>23444.453000000001</v>
      </c>
      <c r="U52" s="1">
        <v>31549.53</v>
      </c>
      <c r="V52" s="1">
        <v>28664.623</v>
      </c>
      <c r="W52" s="1">
        <v>30193.202000000001</v>
      </c>
      <c r="X52" s="1">
        <v>29035.062000000002</v>
      </c>
      <c r="Y52" s="1">
        <v>40540.542999999998</v>
      </c>
      <c r="Z52" s="1">
        <v>45784.341</v>
      </c>
      <c r="AA52" s="1">
        <v>52318.879000000001</v>
      </c>
      <c r="AB52" s="1">
        <v>47305.065000000002</v>
      </c>
      <c r="AC52" s="1">
        <v>48657.735000000001</v>
      </c>
      <c r="AE52" s="1">
        <v>49385.383000000002</v>
      </c>
    </row>
    <row r="53" spans="1:31">
      <c r="A53" s="23" t="s">
        <v>68</v>
      </c>
      <c r="B53" s="23"/>
      <c r="C53" s="23"/>
      <c r="D53" s="23"/>
      <c r="E53" s="23"/>
      <c r="F53" s="44">
        <v>314893.99599999998</v>
      </c>
      <c r="G53" s="23"/>
      <c r="H53" s="23"/>
      <c r="I53" s="23">
        <v>364200.83600000001</v>
      </c>
      <c r="J53" s="23"/>
      <c r="K53" s="23">
        <v>396465.28</v>
      </c>
      <c r="L53" s="23">
        <v>447440.88099999999</v>
      </c>
      <c r="M53" s="23">
        <v>486164.29599999997</v>
      </c>
      <c r="N53" s="23">
        <v>517249.22399999999</v>
      </c>
      <c r="O53" s="23">
        <v>553764.97100000002</v>
      </c>
      <c r="P53" s="23">
        <v>576903.25</v>
      </c>
      <c r="Q53" s="23">
        <v>603347.47699999996</v>
      </c>
      <c r="R53" s="23">
        <v>625417.36899999995</v>
      </c>
      <c r="S53" s="23">
        <v>577998.16200000001</v>
      </c>
      <c r="T53" s="23">
        <v>617405.41299999994</v>
      </c>
      <c r="U53" s="23">
        <v>661782.26500000001</v>
      </c>
      <c r="V53" s="23">
        <v>856592.73300000001</v>
      </c>
      <c r="W53" s="23">
        <v>876358.30599999998</v>
      </c>
      <c r="X53" s="23">
        <v>866501.57799999998</v>
      </c>
      <c r="Y53" s="23">
        <v>200785.16800000001</v>
      </c>
      <c r="Z53" s="23">
        <v>209431.196</v>
      </c>
      <c r="AA53" s="23">
        <v>191618.58300000001</v>
      </c>
      <c r="AB53" s="23">
        <v>919121.79299999995</v>
      </c>
      <c r="AC53" s="23">
        <v>878071.42799999996</v>
      </c>
      <c r="AD53" s="23"/>
      <c r="AE53" s="23">
        <v>840254.41799999995</v>
      </c>
    </row>
    <row r="54" spans="1:31">
      <c r="A54" s="7" t="s">
        <v>69</v>
      </c>
      <c r="B54" s="47">
        <f>SUM(B56:B64)</f>
        <v>0</v>
      </c>
      <c r="C54" s="47">
        <f t="shared" ref="C54:AC54" si="14">SUM(C56:C64)</f>
        <v>0</v>
      </c>
      <c r="D54" s="47">
        <f t="shared" si="14"/>
        <v>0</v>
      </c>
      <c r="E54" s="47">
        <f t="shared" si="14"/>
        <v>0</v>
      </c>
      <c r="F54" s="47">
        <f t="shared" si="14"/>
        <v>1090631.0999999999</v>
      </c>
      <c r="G54" s="47">
        <f t="shared" si="14"/>
        <v>0</v>
      </c>
      <c r="H54" s="47">
        <f t="shared" si="14"/>
        <v>0</v>
      </c>
      <c r="I54" s="47">
        <f t="shared" si="14"/>
        <v>1289542.652</v>
      </c>
      <c r="J54" s="47">
        <f t="shared" si="14"/>
        <v>0</v>
      </c>
      <c r="K54" s="47">
        <f t="shared" si="14"/>
        <v>1400649.3936600003</v>
      </c>
      <c r="L54" s="47">
        <f t="shared" si="14"/>
        <v>1453504.23</v>
      </c>
      <c r="M54" s="47">
        <f t="shared" si="14"/>
        <v>1631540.8370000001</v>
      </c>
      <c r="N54" s="47">
        <f t="shared" si="14"/>
        <v>1720411.817</v>
      </c>
      <c r="O54" s="47">
        <f t="shared" si="14"/>
        <v>1831363.2820000001</v>
      </c>
      <c r="P54" s="47">
        <f t="shared" si="14"/>
        <v>1915398.7609999999</v>
      </c>
      <c r="Q54" s="47">
        <f t="shared" si="14"/>
        <v>2009843.8689999999</v>
      </c>
      <c r="R54" s="47">
        <f t="shared" si="14"/>
        <v>2102969.0579999997</v>
      </c>
      <c r="S54" s="47">
        <f t="shared" si="14"/>
        <v>2229676.4720000001</v>
      </c>
      <c r="T54" s="47">
        <f t="shared" si="14"/>
        <v>2382685.7719999999</v>
      </c>
      <c r="U54" s="47">
        <f t="shared" si="14"/>
        <v>2589008.852</v>
      </c>
      <c r="V54" s="47">
        <f t="shared" si="14"/>
        <v>3103573.2390000005</v>
      </c>
      <c r="W54" s="47">
        <f t="shared" si="14"/>
        <v>3226297.3480000002</v>
      </c>
      <c r="X54" s="47">
        <v>3291638.9649999999</v>
      </c>
      <c r="Y54" s="47">
        <f t="shared" si="14"/>
        <v>3440986.7650000001</v>
      </c>
      <c r="Z54" s="47">
        <f t="shared" si="14"/>
        <v>3519664.449</v>
      </c>
      <c r="AA54" s="47">
        <f t="shared" si="14"/>
        <v>3664271.7450000006</v>
      </c>
      <c r="AB54" s="47">
        <f t="shared" si="14"/>
        <v>3555780.41</v>
      </c>
      <c r="AC54" s="47">
        <f t="shared" si="14"/>
        <v>3525807.3769999994</v>
      </c>
      <c r="AD54" s="47">
        <f t="shared" ref="AD54:AE54" si="15">SUM(AD56:AD64)</f>
        <v>0</v>
      </c>
      <c r="AE54" s="47">
        <f t="shared" si="15"/>
        <v>3420187.2539999997</v>
      </c>
    </row>
    <row r="55" spans="1:31">
      <c r="A55" s="7" t="s">
        <v>97</v>
      </c>
      <c r="X55" s="1">
        <v>0</v>
      </c>
    </row>
    <row r="56" spans="1:31">
      <c r="A56" s="1" t="s">
        <v>70</v>
      </c>
      <c r="F56" s="41">
        <v>49412.841999999997</v>
      </c>
      <c r="I56" s="1">
        <v>58962.112999999998</v>
      </c>
      <c r="K56" s="1">
        <v>83335.948329999985</v>
      </c>
      <c r="L56" s="1">
        <v>87765.286999999997</v>
      </c>
      <c r="M56" s="1">
        <v>94660.827999999994</v>
      </c>
      <c r="N56" s="1">
        <v>100712.27</v>
      </c>
      <c r="O56" s="1">
        <v>103097.17600000001</v>
      </c>
      <c r="P56" s="1">
        <v>101407.276</v>
      </c>
      <c r="Q56" s="1">
        <v>118367.399</v>
      </c>
      <c r="R56" s="1">
        <v>124507.632</v>
      </c>
      <c r="S56" s="1">
        <v>133068.823</v>
      </c>
      <c r="T56" s="1">
        <v>144852.386</v>
      </c>
      <c r="U56" s="1">
        <v>161525.11499999999</v>
      </c>
      <c r="V56" s="1">
        <v>194663.03400000001</v>
      </c>
      <c r="W56" s="1">
        <v>211564.69200000001</v>
      </c>
      <c r="X56" s="1">
        <v>211069.83600000001</v>
      </c>
      <c r="Y56" s="1">
        <v>219369.27100000001</v>
      </c>
      <c r="Z56" s="1">
        <v>234846.25200000001</v>
      </c>
      <c r="AA56" s="1">
        <v>243049.70300000001</v>
      </c>
      <c r="AB56" s="1">
        <v>212289.51</v>
      </c>
      <c r="AC56" s="1">
        <v>209839.745</v>
      </c>
      <c r="AE56" s="1">
        <v>218519.01300000001</v>
      </c>
    </row>
    <row r="57" spans="1:31">
      <c r="A57" s="1" t="s">
        <v>71</v>
      </c>
      <c r="F57" s="41">
        <v>17683.107</v>
      </c>
      <c r="I57" s="1">
        <v>20781.531999999999</v>
      </c>
      <c r="K57" s="1">
        <v>23521.345000000001</v>
      </c>
      <c r="L57" s="1">
        <v>27983.918000000001</v>
      </c>
      <c r="M57" s="1">
        <v>30472.985000000001</v>
      </c>
      <c r="N57" s="1">
        <v>31366.920999999998</v>
      </c>
      <c r="O57" s="1">
        <v>34005.048000000003</v>
      </c>
      <c r="P57" s="1">
        <v>36971.523000000001</v>
      </c>
      <c r="Q57" s="1">
        <v>39774.830999999998</v>
      </c>
      <c r="R57" s="1">
        <v>40630.296999999999</v>
      </c>
      <c r="S57" s="1">
        <v>42880.79</v>
      </c>
      <c r="T57" s="1">
        <v>43178.892999999996</v>
      </c>
      <c r="U57" s="1">
        <v>57479.932000000001</v>
      </c>
      <c r="V57" s="1">
        <v>57763.93</v>
      </c>
      <c r="W57" s="1">
        <v>62070.847000000002</v>
      </c>
      <c r="X57" s="1">
        <v>61254.724999999999</v>
      </c>
      <c r="Y57" s="1">
        <v>62389.608</v>
      </c>
      <c r="Z57" s="1">
        <v>67581.281000000003</v>
      </c>
      <c r="AA57" s="1">
        <v>70026.384000000005</v>
      </c>
      <c r="AB57" s="1">
        <v>66476.956999999995</v>
      </c>
      <c r="AC57" s="1">
        <v>63420.936999999998</v>
      </c>
      <c r="AE57" s="1">
        <v>65153.894999999997</v>
      </c>
    </row>
    <row r="58" spans="1:31" s="23" customFormat="1">
      <c r="A58" s="1" t="s">
        <v>72</v>
      </c>
      <c r="B58" s="1"/>
      <c r="C58" s="1"/>
      <c r="D58" s="1"/>
      <c r="E58" s="1"/>
      <c r="F58" s="41">
        <v>104722.3</v>
      </c>
      <c r="G58" s="1"/>
      <c r="H58" s="1"/>
      <c r="I58" s="1">
        <v>134477.58499999999</v>
      </c>
      <c r="J58" s="1"/>
      <c r="K58" s="1">
        <v>157097.56099999999</v>
      </c>
      <c r="L58" s="1">
        <v>185030.31099999999</v>
      </c>
      <c r="M58" s="1">
        <v>219459.834</v>
      </c>
      <c r="N58" s="1">
        <v>213596.864</v>
      </c>
      <c r="O58" s="1">
        <v>199580.842</v>
      </c>
      <c r="P58" s="1">
        <v>205493.54800000001</v>
      </c>
      <c r="Q58" s="1">
        <v>208554.981</v>
      </c>
      <c r="R58" s="1">
        <v>225019.61300000001</v>
      </c>
      <c r="S58" s="1">
        <v>238655.43599999999</v>
      </c>
      <c r="T58" s="1">
        <v>261050.45</v>
      </c>
      <c r="U58" s="1">
        <v>259079.27799999999</v>
      </c>
      <c r="V58" s="1">
        <v>319785.44500000001</v>
      </c>
      <c r="W58" s="1">
        <v>341617.86200000002</v>
      </c>
      <c r="X58" s="1">
        <v>352423.00099999999</v>
      </c>
      <c r="Y58" s="1">
        <v>368391.08899999998</v>
      </c>
      <c r="Z58" s="1">
        <v>389799.64799999999</v>
      </c>
      <c r="AA58" s="1">
        <v>388504.06199999998</v>
      </c>
      <c r="AB58" s="1">
        <v>383525.18300000002</v>
      </c>
      <c r="AC58" s="1">
        <v>378726.94400000002</v>
      </c>
      <c r="AD58" s="1"/>
      <c r="AE58" s="1">
        <v>382859.41499999998</v>
      </c>
    </row>
    <row r="59" spans="1:31">
      <c r="A59" s="1" t="s">
        <v>73</v>
      </c>
      <c r="F59" s="41">
        <v>17233.212</v>
      </c>
      <c r="I59" s="1">
        <v>16997.055</v>
      </c>
      <c r="K59" s="1">
        <v>23273.657640000001</v>
      </c>
      <c r="L59" s="1">
        <v>19792.912</v>
      </c>
      <c r="M59" s="1">
        <v>20523.641</v>
      </c>
      <c r="N59" s="1">
        <v>21391.457999999999</v>
      </c>
      <c r="O59" s="1">
        <v>23881.579000000002</v>
      </c>
      <c r="P59" s="1">
        <v>23745.313999999998</v>
      </c>
      <c r="Q59" s="1">
        <v>24962.393</v>
      </c>
      <c r="R59" s="1">
        <v>21005.517</v>
      </c>
      <c r="S59" s="1">
        <v>28021.42</v>
      </c>
      <c r="T59" s="1">
        <v>28668.252</v>
      </c>
      <c r="U59" s="1">
        <v>31271.59</v>
      </c>
      <c r="V59" s="1">
        <v>35685.302000000003</v>
      </c>
      <c r="W59" s="1">
        <v>39436.303</v>
      </c>
      <c r="X59" s="1">
        <v>49567.972000000002</v>
      </c>
      <c r="Y59" s="1">
        <v>43030.370999999999</v>
      </c>
      <c r="Z59" s="1">
        <v>45477.023000000001</v>
      </c>
      <c r="AA59" s="1">
        <v>57154.534</v>
      </c>
      <c r="AB59" s="1">
        <v>43315.218999999997</v>
      </c>
      <c r="AC59" s="1">
        <v>50009.052000000003</v>
      </c>
      <c r="AE59" s="1">
        <v>49465.413</v>
      </c>
    </row>
    <row r="60" spans="1:31">
      <c r="A60" s="1" t="s">
        <v>74</v>
      </c>
      <c r="F60" s="41">
        <v>194304.054</v>
      </c>
      <c r="I60" s="1">
        <v>227469.52</v>
      </c>
      <c r="K60" s="1">
        <v>238524.878</v>
      </c>
      <c r="L60" s="1">
        <v>250782.84599999999</v>
      </c>
      <c r="M60" s="1">
        <v>267420.87300000002</v>
      </c>
      <c r="N60" s="1">
        <v>281658.522</v>
      </c>
      <c r="O60" s="1">
        <v>301447.15399999998</v>
      </c>
      <c r="P60" s="1">
        <v>317390.85499999998</v>
      </c>
      <c r="Q60" s="1">
        <v>330312.14199999999</v>
      </c>
      <c r="R60" s="1">
        <v>347434.348</v>
      </c>
      <c r="S60" s="1">
        <v>356481.65299999999</v>
      </c>
      <c r="T60" s="1">
        <v>387798.91399999999</v>
      </c>
      <c r="U60" s="1">
        <v>415681.68300000002</v>
      </c>
      <c r="V60" s="1">
        <v>515040.913</v>
      </c>
      <c r="W60" s="1">
        <v>531878.42500000005</v>
      </c>
      <c r="X60" s="1">
        <v>543125.41099999996</v>
      </c>
      <c r="Y60" s="1">
        <v>554374.97600000002</v>
      </c>
      <c r="Z60" s="1">
        <v>554507.95799999998</v>
      </c>
      <c r="AA60" s="1">
        <v>547084.11100000003</v>
      </c>
      <c r="AB60" s="1">
        <v>501671.24900000001</v>
      </c>
      <c r="AC60" s="1">
        <v>518289.43099999998</v>
      </c>
      <c r="AE60" s="1">
        <v>511772.10800000001</v>
      </c>
    </row>
    <row r="61" spans="1:31">
      <c r="A61" s="1" t="s">
        <v>75</v>
      </c>
      <c r="F61" s="41">
        <v>487227.57299999997</v>
      </c>
      <c r="I61" s="1">
        <v>581568.28700000001</v>
      </c>
      <c r="K61" s="1">
        <v>623030.728</v>
      </c>
      <c r="L61" s="1">
        <v>603569.03799999994</v>
      </c>
      <c r="M61" s="1">
        <v>704968.978</v>
      </c>
      <c r="N61" s="1">
        <v>748150.59900000005</v>
      </c>
      <c r="O61" s="1">
        <v>820491.54200000002</v>
      </c>
      <c r="P61" s="1">
        <v>864616.31700000004</v>
      </c>
      <c r="Q61" s="1">
        <v>909667.745</v>
      </c>
      <c r="R61" s="1">
        <v>952299.38399999996</v>
      </c>
      <c r="S61" s="1">
        <v>1021127.238</v>
      </c>
      <c r="T61" s="1">
        <v>1069664.7949999999</v>
      </c>
      <c r="U61" s="1">
        <v>1167399.0830000001</v>
      </c>
      <c r="V61" s="1">
        <v>1423684.942</v>
      </c>
      <c r="W61" s="1">
        <v>1462048.6270000001</v>
      </c>
      <c r="X61" s="1">
        <v>1490753.692</v>
      </c>
      <c r="Y61" s="1">
        <v>1582422.578</v>
      </c>
      <c r="Z61" s="1">
        <v>1609709.622</v>
      </c>
      <c r="AA61" s="1">
        <v>1743374.321</v>
      </c>
      <c r="AB61" s="1">
        <v>1761352.865</v>
      </c>
      <c r="AC61" s="1">
        <v>1720539.656</v>
      </c>
      <c r="AE61" s="1">
        <v>1604791.7749999999</v>
      </c>
    </row>
    <row r="62" spans="1:31">
      <c r="A62" s="1" t="s">
        <v>76</v>
      </c>
      <c r="F62" s="41">
        <v>189795.18299999999</v>
      </c>
      <c r="I62" s="1">
        <v>218494.06</v>
      </c>
      <c r="K62" s="1">
        <v>220743.32769000006</v>
      </c>
      <c r="L62" s="1">
        <v>243797.09</v>
      </c>
      <c r="M62" s="1">
        <v>256872.54300000001</v>
      </c>
      <c r="N62" s="1">
        <v>284118.67499999999</v>
      </c>
      <c r="O62" s="1">
        <v>306399.44099999999</v>
      </c>
      <c r="P62" s="1">
        <v>321177.38</v>
      </c>
      <c r="Q62" s="1">
        <v>332087.47600000002</v>
      </c>
      <c r="R62" s="1">
        <v>344111.57500000001</v>
      </c>
      <c r="S62" s="1">
        <v>358044.76400000002</v>
      </c>
      <c r="T62" s="1">
        <v>394840.62400000001</v>
      </c>
      <c r="U62" s="1">
        <v>422247.72899999999</v>
      </c>
      <c r="V62" s="1">
        <v>492319.22600000002</v>
      </c>
      <c r="W62" s="1">
        <v>510767.86499999999</v>
      </c>
      <c r="X62" s="1">
        <v>513705.09299999999</v>
      </c>
      <c r="Y62" s="1">
        <v>519769.31099999999</v>
      </c>
      <c r="Z62" s="1">
        <v>524431.42000000004</v>
      </c>
      <c r="AA62" s="1">
        <v>523263.20199999999</v>
      </c>
      <c r="AB62" s="1">
        <v>515536.94300000003</v>
      </c>
      <c r="AC62" s="1">
        <v>511261.79300000001</v>
      </c>
      <c r="AE62" s="1">
        <v>513522.23700000002</v>
      </c>
    </row>
    <row r="63" spans="1:31">
      <c r="A63" s="1" t="s">
        <v>77</v>
      </c>
      <c r="F63" s="41">
        <v>24314.412</v>
      </c>
      <c r="I63" s="1">
        <v>28587.844000000001</v>
      </c>
      <c r="K63" s="1">
        <v>28488.353999999999</v>
      </c>
      <c r="L63" s="1">
        <v>31541.017</v>
      </c>
      <c r="M63" s="1">
        <v>33397.446000000004</v>
      </c>
      <c r="N63" s="1">
        <v>35445.68</v>
      </c>
      <c r="O63" s="1">
        <v>37125.086000000003</v>
      </c>
      <c r="P63" s="1">
        <v>38536.175999999999</v>
      </c>
      <c r="Q63" s="1">
        <v>39748.023999999998</v>
      </c>
      <c r="R63" s="1">
        <v>41232.447</v>
      </c>
      <c r="S63" s="1">
        <v>42852.129000000001</v>
      </c>
      <c r="T63" s="1">
        <v>44799.339</v>
      </c>
      <c r="U63" s="1">
        <v>52659.567999999999</v>
      </c>
      <c r="V63" s="1">
        <v>53944.85</v>
      </c>
      <c r="W63" s="1">
        <v>55386.31</v>
      </c>
      <c r="X63" s="1">
        <v>58185.84</v>
      </c>
      <c r="Y63" s="1">
        <v>58935.978000000003</v>
      </c>
      <c r="Z63" s="1">
        <v>60537.938000000002</v>
      </c>
      <c r="AA63" s="1">
        <v>59583.356</v>
      </c>
      <c r="AB63" s="1">
        <v>60940.868999999999</v>
      </c>
      <c r="AC63" s="1">
        <v>63075.826000000001</v>
      </c>
      <c r="AE63" s="1">
        <v>64706.78</v>
      </c>
    </row>
    <row r="64" spans="1:31">
      <c r="A64" s="23" t="s">
        <v>78</v>
      </c>
      <c r="B64" s="23"/>
      <c r="C64" s="23"/>
      <c r="D64" s="23"/>
      <c r="E64" s="23"/>
      <c r="F64" s="44">
        <v>5938.4170000000004</v>
      </c>
      <c r="G64" s="23"/>
      <c r="H64" s="23"/>
      <c r="I64" s="23">
        <v>2204.6559999999999</v>
      </c>
      <c r="J64" s="23"/>
      <c r="K64" s="23">
        <v>2633.5940000000001</v>
      </c>
      <c r="L64" s="23">
        <v>3241.8110000000001</v>
      </c>
      <c r="M64" s="23">
        <v>3763.7089999999998</v>
      </c>
      <c r="N64" s="23">
        <v>3970.828</v>
      </c>
      <c r="O64" s="23">
        <v>5335.4139999999998</v>
      </c>
      <c r="P64" s="23">
        <v>6060.3720000000003</v>
      </c>
      <c r="Q64" s="23">
        <v>6368.8779999999997</v>
      </c>
      <c r="R64" s="23">
        <v>6728.2449999999999</v>
      </c>
      <c r="S64" s="23">
        <v>8544.2189999999991</v>
      </c>
      <c r="T64" s="23">
        <v>7832.1189999999997</v>
      </c>
      <c r="U64" s="23">
        <v>21664.874</v>
      </c>
      <c r="V64" s="23">
        <v>10685.597</v>
      </c>
      <c r="W64" s="23">
        <v>11526.416999999999</v>
      </c>
      <c r="X64" s="1">
        <v>11553.395</v>
      </c>
      <c r="Y64" s="23">
        <v>32303.582999999999</v>
      </c>
      <c r="Z64" s="23">
        <v>32773.307000000001</v>
      </c>
      <c r="AA64" s="23">
        <v>32232.072</v>
      </c>
      <c r="AB64" s="23">
        <v>10671.615</v>
      </c>
      <c r="AC64" s="23">
        <v>10643.993</v>
      </c>
      <c r="AD64" s="23"/>
      <c r="AE64" s="23">
        <v>9396.6180000000004</v>
      </c>
    </row>
    <row r="65" spans="1:31">
      <c r="A65" s="45" t="s">
        <v>79</v>
      </c>
      <c r="B65" s="45"/>
      <c r="C65" s="45"/>
      <c r="D65" s="45"/>
      <c r="E65" s="45"/>
      <c r="F65" s="46">
        <v>0</v>
      </c>
      <c r="G65" s="45"/>
      <c r="H65" s="45"/>
      <c r="I65" s="45">
        <v>0</v>
      </c>
      <c r="J65" s="45"/>
      <c r="K65" s="45">
        <v>0</v>
      </c>
      <c r="L65" s="45">
        <v>0</v>
      </c>
      <c r="M65" s="45">
        <v>0</v>
      </c>
      <c r="N65" s="45">
        <v>0</v>
      </c>
      <c r="O65" s="45">
        <v>0</v>
      </c>
      <c r="P65" s="45">
        <v>0</v>
      </c>
      <c r="Q65" s="45">
        <v>0</v>
      </c>
      <c r="R65" s="45">
        <v>0</v>
      </c>
      <c r="S65" s="45">
        <v>0</v>
      </c>
      <c r="T65" s="45">
        <v>0</v>
      </c>
      <c r="U65" s="45">
        <v>0</v>
      </c>
      <c r="V65" s="45">
        <v>0</v>
      </c>
      <c r="W65" s="45">
        <v>0</v>
      </c>
      <c r="X65" s="45">
        <v>0</v>
      </c>
      <c r="Y65" s="23"/>
      <c r="Z65" s="23"/>
      <c r="AA65" s="23"/>
      <c r="AB65" s="23"/>
      <c r="AC65" s="23"/>
      <c r="AD65" s="23"/>
      <c r="AE65" s="23"/>
    </row>
    <row r="66" spans="1:31">
      <c r="F66" s="41"/>
    </row>
    <row r="67" spans="1:31">
      <c r="A67" s="1" t="s">
        <v>119</v>
      </c>
      <c r="F67" s="1" t="s">
        <v>120</v>
      </c>
      <c r="I67" s="1" t="s">
        <v>99</v>
      </c>
      <c r="J67" s="1" t="s">
        <v>100</v>
      </c>
      <c r="K67" s="1" t="s">
        <v>121</v>
      </c>
      <c r="L67" s="1" t="s">
        <v>101</v>
      </c>
      <c r="O67" s="1" t="s">
        <v>99</v>
      </c>
      <c r="P67" s="1" t="s">
        <v>99</v>
      </c>
      <c r="Q67" s="1" t="s">
        <v>99</v>
      </c>
      <c r="R67" s="1" t="s">
        <v>99</v>
      </c>
    </row>
    <row r="68" spans="1:31">
      <c r="F68" s="1" t="s">
        <v>127</v>
      </c>
      <c r="I68" s="1" t="s">
        <v>102</v>
      </c>
      <c r="J68" s="1" t="s">
        <v>103</v>
      </c>
      <c r="K68" s="1" t="s">
        <v>128</v>
      </c>
      <c r="L68" s="1" t="s">
        <v>104</v>
      </c>
      <c r="O68" s="1" t="s">
        <v>102</v>
      </c>
      <c r="P68" s="1" t="s">
        <v>102</v>
      </c>
      <c r="Q68" s="1" t="s">
        <v>102</v>
      </c>
      <c r="R68" s="1" t="s">
        <v>102</v>
      </c>
    </row>
    <row r="69" spans="1:31">
      <c r="F69" s="1" t="s">
        <v>125</v>
      </c>
      <c r="I69" s="1" t="s">
        <v>105</v>
      </c>
      <c r="J69" s="1" t="s">
        <v>106</v>
      </c>
      <c r="O69" s="1" t="s">
        <v>105</v>
      </c>
      <c r="P69" s="1" t="s">
        <v>105</v>
      </c>
      <c r="Q69" s="1" t="s">
        <v>105</v>
      </c>
      <c r="R69" s="1" t="s">
        <v>105</v>
      </c>
    </row>
    <row r="70" spans="1:31">
      <c r="J70" s="1" t="s">
        <v>107</v>
      </c>
    </row>
  </sheetData>
  <phoneticPr fontId="6" type="noConversion"/>
  <pageMargins left="0.5" right="0.5" top="0.5" bottom="0.55000000000000004" header="0.5" footer="0.5"/>
  <pageSetup scale="76" orientation="landscape" verticalDpi="300" r:id="rId1"/>
  <headerFooter alignWithMargins="0">
    <oddFooter>&amp;LSREB Fact Book 1996/1997&amp;CUpdate&amp;R&amp;D</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tabColor indexed="62"/>
  </sheetPr>
  <dimension ref="A1:AE70"/>
  <sheetViews>
    <sheetView showZeros="0" zoomScaleNormal="100" workbookViewId="0">
      <pane xSplit="1" ySplit="5" topLeftCell="S30" activePane="bottomRight" state="frozen"/>
      <selection pane="topRight" activeCell="B52" sqref="B52"/>
      <selection pane="bottomLeft" activeCell="B52" sqref="B52"/>
      <selection pane="bottomRight" activeCell="AE9" sqref="AE9:AE24"/>
    </sheetView>
  </sheetViews>
  <sheetFormatPr defaultColWidth="9.85546875" defaultRowHeight="12.75"/>
  <cols>
    <col min="1" max="1" width="23.42578125" style="43" customWidth="1"/>
    <col min="2" max="23" width="12.42578125" style="1" customWidth="1"/>
    <col min="24" max="29" width="11.85546875" style="1" customWidth="1"/>
    <col min="30" max="31" width="12.42578125" style="1" customWidth="1"/>
    <col min="32" max="36" width="11.85546875" style="1" customWidth="1"/>
    <col min="37" max="16384" width="9.85546875" style="1"/>
  </cols>
  <sheetData>
    <row r="1" spans="1:31">
      <c r="A1" s="7" t="s">
        <v>94</v>
      </c>
      <c r="B1"/>
      <c r="C1"/>
      <c r="D1"/>
      <c r="E1"/>
      <c r="F1"/>
      <c r="G1"/>
      <c r="H1"/>
      <c r="I1"/>
      <c r="AB1" s="1">
        <v>1000</v>
      </c>
    </row>
    <row r="2" spans="1:31">
      <c r="A2" s="7"/>
      <c r="B2" s="9"/>
      <c r="C2" s="9"/>
      <c r="D2" s="9"/>
      <c r="E2" s="9"/>
      <c r="F2" s="9"/>
    </row>
    <row r="3" spans="1:31">
      <c r="A3" s="7" t="s">
        <v>129</v>
      </c>
      <c r="B3" s="9"/>
      <c r="C3" s="9"/>
      <c r="D3" s="9"/>
      <c r="E3" s="9"/>
      <c r="F3" s="9"/>
    </row>
    <row r="4" spans="1:31" s="32" customFormat="1">
      <c r="B4" s="32">
        <v>1984</v>
      </c>
      <c r="C4" s="32">
        <v>1985</v>
      </c>
      <c r="D4" s="32">
        <v>1986</v>
      </c>
      <c r="E4" s="32">
        <v>1991</v>
      </c>
      <c r="F4" s="32">
        <v>1992</v>
      </c>
      <c r="G4" s="32">
        <v>1993</v>
      </c>
      <c r="H4" s="32">
        <v>1994</v>
      </c>
      <c r="I4" s="32">
        <v>1995</v>
      </c>
      <c r="J4" s="32">
        <v>1996</v>
      </c>
      <c r="K4" s="32">
        <v>1997</v>
      </c>
      <c r="L4" s="32">
        <v>2000</v>
      </c>
      <c r="M4" s="39">
        <v>2001</v>
      </c>
      <c r="N4" s="39">
        <v>2002</v>
      </c>
      <c r="O4" s="39">
        <v>2003</v>
      </c>
      <c r="P4" s="39">
        <v>2004</v>
      </c>
      <c r="Q4" s="39">
        <v>2005</v>
      </c>
      <c r="R4" s="39">
        <v>2006</v>
      </c>
      <c r="S4" s="39">
        <v>2007</v>
      </c>
      <c r="T4" s="39">
        <v>2008</v>
      </c>
      <c r="U4" s="39">
        <v>2009</v>
      </c>
      <c r="V4" s="39">
        <v>2010</v>
      </c>
      <c r="W4" s="39">
        <v>2011</v>
      </c>
      <c r="X4" s="32" t="s">
        <v>111</v>
      </c>
      <c r="Y4" s="32" t="s">
        <v>112</v>
      </c>
      <c r="Z4" s="32" t="s">
        <v>113</v>
      </c>
      <c r="AA4" s="32" t="s">
        <v>114</v>
      </c>
      <c r="AB4" s="95" t="s">
        <v>115</v>
      </c>
      <c r="AC4" s="95" t="s">
        <v>116</v>
      </c>
      <c r="AD4" s="96">
        <v>2018</v>
      </c>
      <c r="AE4" s="96">
        <v>2019</v>
      </c>
    </row>
    <row r="5" spans="1:31">
      <c r="B5" s="8" t="s">
        <v>96</v>
      </c>
      <c r="C5" s="8" t="s">
        <v>96</v>
      </c>
      <c r="D5" s="8" t="s">
        <v>96</v>
      </c>
      <c r="E5" s="8" t="s">
        <v>96</v>
      </c>
      <c r="F5" s="8" t="s">
        <v>96</v>
      </c>
      <c r="G5" s="8" t="s">
        <v>96</v>
      </c>
      <c r="H5" s="8" t="s">
        <v>96</v>
      </c>
      <c r="I5" s="8" t="s">
        <v>96</v>
      </c>
      <c r="J5" s="8" t="s">
        <v>96</v>
      </c>
      <c r="K5" s="8" t="s">
        <v>96</v>
      </c>
      <c r="L5" s="8" t="s">
        <v>96</v>
      </c>
      <c r="M5" s="8" t="s">
        <v>96</v>
      </c>
      <c r="N5" s="8" t="s">
        <v>96</v>
      </c>
      <c r="O5" s="8" t="s">
        <v>96</v>
      </c>
      <c r="P5" s="8" t="s">
        <v>96</v>
      </c>
      <c r="Q5" s="8" t="s">
        <v>96</v>
      </c>
      <c r="R5" s="8" t="s">
        <v>96</v>
      </c>
      <c r="S5" s="8" t="s">
        <v>96</v>
      </c>
      <c r="T5" s="8" t="s">
        <v>96</v>
      </c>
      <c r="U5" s="8" t="s">
        <v>96</v>
      </c>
      <c r="V5" s="8" t="s">
        <v>96</v>
      </c>
      <c r="W5" s="8" t="s">
        <v>96</v>
      </c>
      <c r="X5" s="8" t="s">
        <v>96</v>
      </c>
      <c r="Y5" s="8" t="s">
        <v>96</v>
      </c>
      <c r="Z5" s="8" t="s">
        <v>96</v>
      </c>
      <c r="AA5" s="8" t="s">
        <v>96</v>
      </c>
      <c r="AB5" s="8" t="s">
        <v>96</v>
      </c>
      <c r="AC5" s="8" t="s">
        <v>96</v>
      </c>
      <c r="AD5" s="8" t="s">
        <v>96</v>
      </c>
      <c r="AE5" s="8" t="s">
        <v>96</v>
      </c>
    </row>
    <row r="6" spans="1:31">
      <c r="A6" s="23" t="s">
        <v>24</v>
      </c>
      <c r="B6" s="23">
        <f>2749380+1791963</f>
        <v>4541343</v>
      </c>
      <c r="C6" s="23">
        <f>3101874+2001726</f>
        <v>5103600</v>
      </c>
      <c r="D6" s="23">
        <f>3437662+2257346</f>
        <v>5695008</v>
      </c>
      <c r="E6" s="23">
        <v>9283751.2449999992</v>
      </c>
      <c r="F6" s="48">
        <f>+F7+F25+F40+F54+F65</f>
        <v>9637943.1569999978</v>
      </c>
      <c r="G6" s="23">
        <v>10485243.239</v>
      </c>
      <c r="H6" s="23">
        <v>11063974.324999999</v>
      </c>
      <c r="I6" s="48">
        <f>+I7+I25+I40+I54+I65</f>
        <v>11460773.595000001</v>
      </c>
      <c r="J6" s="23">
        <v>11942646.738</v>
      </c>
      <c r="K6" s="48">
        <f t="shared" ref="K6:U6" si="0">+K7+K25+K40+K54+K65</f>
        <v>12626144.356939999</v>
      </c>
      <c r="L6" s="48">
        <f t="shared" si="0"/>
        <v>15634564.102000002</v>
      </c>
      <c r="M6" s="48">
        <f t="shared" si="0"/>
        <v>17308248.903999999</v>
      </c>
      <c r="N6" s="48">
        <f t="shared" si="0"/>
        <v>17673075.224999998</v>
      </c>
      <c r="O6" s="48">
        <f t="shared" si="0"/>
        <v>18675471.768999998</v>
      </c>
      <c r="P6" s="48">
        <f t="shared" si="0"/>
        <v>19795203.394000001</v>
      </c>
      <c r="Q6" s="48">
        <f t="shared" si="0"/>
        <v>21229458.116</v>
      </c>
      <c r="R6" s="48">
        <f t="shared" si="0"/>
        <v>21650201.184</v>
      </c>
      <c r="S6" s="48">
        <f t="shared" si="0"/>
        <v>22434301.75</v>
      </c>
      <c r="T6" s="48">
        <f t="shared" si="0"/>
        <v>24370966.057</v>
      </c>
      <c r="U6" s="48">
        <f t="shared" si="0"/>
        <v>22874644.149999999</v>
      </c>
      <c r="V6" s="48">
        <f t="shared" ref="V6:W6" si="1">+V7+V25+V40+V54+V65</f>
        <v>30018967.910999998</v>
      </c>
      <c r="W6" s="48">
        <f t="shared" si="1"/>
        <v>31578626.638</v>
      </c>
      <c r="X6" s="48">
        <f t="shared" ref="X6:Y6" si="2">+X7+X25+X40+X54+X65</f>
        <v>32043001.243000001</v>
      </c>
      <c r="Y6" s="48">
        <f t="shared" si="2"/>
        <v>31225314.852999996</v>
      </c>
      <c r="Z6" s="48">
        <f t="shared" ref="Z6:AA6" si="3">+Z7+Z25+Z40+Z54+Z65</f>
        <v>31373305.208999999</v>
      </c>
      <c r="AA6" s="48">
        <f t="shared" si="3"/>
        <v>32161312.611000001</v>
      </c>
      <c r="AB6" s="48">
        <f t="shared" ref="AB6:AE6" si="4">+AB7+AB25+AB40+AB54+AB65</f>
        <v>33793719.932000004</v>
      </c>
      <c r="AC6" s="48">
        <f t="shared" si="4"/>
        <v>34899457.701000005</v>
      </c>
      <c r="AD6" s="48">
        <f t="shared" si="4"/>
        <v>0</v>
      </c>
      <c r="AE6" s="48">
        <f t="shared" si="4"/>
        <v>37845649.584999993</v>
      </c>
    </row>
    <row r="7" spans="1:31">
      <c r="A7" s="1" t="s">
        <v>25</v>
      </c>
      <c r="B7" s="47">
        <f>SUM(B8:B24)</f>
        <v>1413288</v>
      </c>
      <c r="C7" s="47">
        <f t="shared" ref="C7:U7" si="5">SUM(C8:C24)</f>
        <v>1595395</v>
      </c>
      <c r="D7" s="47">
        <f t="shared" si="5"/>
        <v>1848737</v>
      </c>
      <c r="E7" s="47">
        <f t="shared" si="5"/>
        <v>3137071.4910000004</v>
      </c>
      <c r="F7" s="47">
        <f t="shared" si="5"/>
        <v>3236137.1540000001</v>
      </c>
      <c r="G7" s="47">
        <f t="shared" si="5"/>
        <v>3480283.6359999999</v>
      </c>
      <c r="H7" s="47">
        <f t="shared" si="5"/>
        <v>3701515.7280000001</v>
      </c>
      <c r="I7" s="47">
        <f t="shared" si="5"/>
        <v>3968187.0759999994</v>
      </c>
      <c r="J7" s="47">
        <f t="shared" si="5"/>
        <v>4136179.0819999999</v>
      </c>
      <c r="K7" s="47">
        <f t="shared" si="5"/>
        <v>4398070.9647400007</v>
      </c>
      <c r="L7" s="47">
        <f t="shared" si="5"/>
        <v>5539274.9970000014</v>
      </c>
      <c r="M7" s="47">
        <f t="shared" si="5"/>
        <v>6080345.8509999998</v>
      </c>
      <c r="N7" s="47">
        <f t="shared" si="5"/>
        <v>6522877.0189999994</v>
      </c>
      <c r="O7" s="47">
        <f t="shared" si="5"/>
        <v>7131521.2239999985</v>
      </c>
      <c r="P7" s="47">
        <f t="shared" si="5"/>
        <v>7563551.2029999997</v>
      </c>
      <c r="Q7" s="47">
        <f t="shared" si="5"/>
        <v>8054763.694000002</v>
      </c>
      <c r="R7" s="47">
        <f t="shared" si="5"/>
        <v>8045998.5349999992</v>
      </c>
      <c r="S7" s="47">
        <f t="shared" si="5"/>
        <v>8456172.3890000004</v>
      </c>
      <c r="T7" s="47">
        <f t="shared" si="5"/>
        <v>9425475.7510000002</v>
      </c>
      <c r="U7" s="47">
        <f t="shared" si="5"/>
        <v>8149839.6109999996</v>
      </c>
      <c r="V7" s="47">
        <f t="shared" ref="V7:W7" si="6">SUM(V8:V24)</f>
        <v>11362958.989999998</v>
      </c>
      <c r="W7" s="47">
        <f t="shared" si="6"/>
        <v>11859037.968999999</v>
      </c>
      <c r="X7" s="47">
        <f t="shared" ref="X7:Y7" si="7">SUM(X8:X24)</f>
        <v>11999352.439999999</v>
      </c>
      <c r="Y7" s="47">
        <f t="shared" si="7"/>
        <v>11179582.465</v>
      </c>
      <c r="Z7" s="47">
        <f t="shared" ref="Z7:AA7" si="8">SUM(Z8:Z24)</f>
        <v>11444945.659</v>
      </c>
      <c r="AA7" s="47">
        <f t="shared" si="8"/>
        <v>11851460.266000004</v>
      </c>
      <c r="AB7" s="47">
        <f t="shared" ref="AB7:AE7" si="9">SUM(AB8:AB24)</f>
        <v>12988595.720999999</v>
      </c>
      <c r="AC7" s="47">
        <f t="shared" si="9"/>
        <v>13561436.638999999</v>
      </c>
      <c r="AD7" s="47">
        <f t="shared" si="9"/>
        <v>0</v>
      </c>
      <c r="AE7" s="47">
        <f t="shared" si="9"/>
        <v>15138045.007000001</v>
      </c>
    </row>
    <row r="8" spans="1:31">
      <c r="A8" s="7" t="s">
        <v>97</v>
      </c>
    </row>
    <row r="9" spans="1:31">
      <c r="A9" s="1" t="s">
        <v>26</v>
      </c>
      <c r="B9" s="1">
        <f>30777+46461</f>
        <v>77238</v>
      </c>
      <c r="C9" s="1">
        <f>45218+55055</f>
        <v>100273</v>
      </c>
      <c r="D9" s="1">
        <f>56124+64533</f>
        <v>120657</v>
      </c>
      <c r="E9" s="1">
        <v>210748.49600000001</v>
      </c>
      <c r="F9" s="41">
        <v>215139.20300000001</v>
      </c>
      <c r="G9" s="1">
        <v>236454.33499999999</v>
      </c>
      <c r="H9" s="1">
        <v>239082.65100000001</v>
      </c>
      <c r="I9" s="1">
        <v>262417.89299999998</v>
      </c>
      <c r="J9" s="1">
        <v>271652.00199999998</v>
      </c>
      <c r="K9" s="1">
        <v>287680.663</v>
      </c>
      <c r="L9" s="1">
        <v>330622.54399999999</v>
      </c>
      <c r="M9" s="1">
        <v>367822.54300000001</v>
      </c>
      <c r="N9" s="1">
        <v>356868.70600000001</v>
      </c>
      <c r="O9" s="1">
        <v>391308.28899999999</v>
      </c>
      <c r="P9" s="1">
        <v>425018.23100000003</v>
      </c>
      <c r="Q9" s="1">
        <v>435761.49300000002</v>
      </c>
      <c r="R9" s="1">
        <v>461661.935</v>
      </c>
      <c r="S9" s="1">
        <v>461362.652</v>
      </c>
      <c r="T9" s="1">
        <v>586199.44299999997</v>
      </c>
      <c r="U9" s="1">
        <v>580100.59499999997</v>
      </c>
      <c r="V9" s="1">
        <v>646415.34</v>
      </c>
      <c r="W9" s="1">
        <v>680173.64199999999</v>
      </c>
      <c r="X9" s="1">
        <v>579176.24399999995</v>
      </c>
      <c r="Y9" s="1">
        <v>580285.31599999999</v>
      </c>
      <c r="Z9" s="1">
        <v>572633.67099999997</v>
      </c>
      <c r="AA9" s="1">
        <v>572636.55900000001</v>
      </c>
      <c r="AB9" s="1">
        <v>577938.61899999995</v>
      </c>
      <c r="AC9" s="1">
        <v>652800.73199999996</v>
      </c>
      <c r="AE9" s="1">
        <v>743253.60100000002</v>
      </c>
    </row>
    <row r="10" spans="1:31">
      <c r="A10" s="1" t="s">
        <v>27</v>
      </c>
      <c r="B10" s="1">
        <f>27891+4640</f>
        <v>32531</v>
      </c>
      <c r="C10" s="1">
        <f>33144+5869</f>
        <v>39013</v>
      </c>
      <c r="D10" s="1">
        <f>36336+7301</f>
        <v>43637</v>
      </c>
      <c r="E10" s="1">
        <v>68900.631999999998</v>
      </c>
      <c r="F10" s="41">
        <v>73756.876000000004</v>
      </c>
      <c r="G10" s="1">
        <v>83472.122000000003</v>
      </c>
      <c r="H10" s="1">
        <v>88418.567999999999</v>
      </c>
      <c r="I10" s="1">
        <v>97190.07</v>
      </c>
      <c r="J10" s="1">
        <v>105613.663</v>
      </c>
      <c r="K10" s="1">
        <v>112061.821</v>
      </c>
      <c r="L10" s="1">
        <v>121735.493</v>
      </c>
      <c r="M10" s="1">
        <v>133525.71299999999</v>
      </c>
      <c r="N10" s="1">
        <v>139109.16800000001</v>
      </c>
      <c r="O10" s="1">
        <v>157344.98699999999</v>
      </c>
      <c r="P10" s="1">
        <v>179718.908</v>
      </c>
      <c r="Q10" s="1">
        <v>194268.96900000001</v>
      </c>
      <c r="R10" s="1">
        <v>200085.12100000001</v>
      </c>
      <c r="S10" s="1">
        <v>202525.46299999999</v>
      </c>
      <c r="T10" s="1">
        <v>228731.965</v>
      </c>
      <c r="U10" s="1">
        <v>136072.93100000001</v>
      </c>
      <c r="V10" s="1">
        <v>275177.26899999997</v>
      </c>
      <c r="W10" s="1">
        <v>290313.32699999999</v>
      </c>
      <c r="X10" s="1">
        <v>282668.16800000001</v>
      </c>
      <c r="Y10" s="1">
        <v>304427.09999999998</v>
      </c>
      <c r="Z10" s="1">
        <v>296723.94</v>
      </c>
      <c r="AA10" s="1">
        <v>295665.38900000002</v>
      </c>
      <c r="AB10" s="1">
        <v>300603.03600000002</v>
      </c>
      <c r="AC10" s="1">
        <v>311030.75400000002</v>
      </c>
      <c r="AE10" s="1">
        <v>357012.75400000002</v>
      </c>
    </row>
    <row r="11" spans="1:31">
      <c r="A11" s="1" t="s">
        <v>28</v>
      </c>
      <c r="D11" s="1">
        <f>18860+863</f>
        <v>19723</v>
      </c>
      <c r="E11" s="1">
        <v>33426.968000000001</v>
      </c>
      <c r="F11" s="41">
        <v>35795.970999999998</v>
      </c>
      <c r="I11" s="1">
        <v>42458.78</v>
      </c>
      <c r="J11" s="1">
        <v>44381.016000000003</v>
      </c>
      <c r="K11" s="1">
        <v>48350.985000000001</v>
      </c>
      <c r="L11" s="1">
        <v>56265.944000000003</v>
      </c>
      <c r="M11" s="1">
        <v>67155.542000000001</v>
      </c>
      <c r="N11" s="1">
        <v>70199.728000000003</v>
      </c>
      <c r="O11" s="1">
        <v>81453.349000000002</v>
      </c>
      <c r="P11" s="1">
        <v>88749.577000000005</v>
      </c>
      <c r="Q11" s="1">
        <f>5451.584+86798.055</f>
        <v>92249.638999999996</v>
      </c>
      <c r="R11" s="1">
        <v>106429.06299999999</v>
      </c>
      <c r="S11" s="1">
        <v>111288.93799999999</v>
      </c>
      <c r="T11" s="1">
        <v>114883.961</v>
      </c>
      <c r="U11" s="1">
        <v>119674.12300000001</v>
      </c>
      <c r="V11" s="1">
        <v>134726.18700000001</v>
      </c>
      <c r="W11" s="1">
        <v>142710.329</v>
      </c>
      <c r="X11" s="1">
        <v>148288.97399999999</v>
      </c>
      <c r="Y11" s="1">
        <v>14480.472</v>
      </c>
      <c r="Z11" s="1">
        <v>150000.73000000001</v>
      </c>
      <c r="AA11" s="1">
        <v>149921.66099999999</v>
      </c>
      <c r="AB11" s="1">
        <v>151044.932</v>
      </c>
      <c r="AC11" s="1">
        <v>12667.804</v>
      </c>
      <c r="AE11" s="1">
        <v>172881.93700000001</v>
      </c>
    </row>
    <row r="12" spans="1:31">
      <c r="A12" s="1" t="s">
        <v>29</v>
      </c>
      <c r="B12" s="1">
        <f>126895+27835</f>
        <v>154730</v>
      </c>
      <c r="C12" s="1">
        <f>146628+35299</f>
        <v>181927</v>
      </c>
      <c r="D12" s="1">
        <f>171822+43196</f>
        <v>215018</v>
      </c>
      <c r="E12" s="1">
        <v>378672.66399999999</v>
      </c>
      <c r="F12" s="41">
        <v>373593.21</v>
      </c>
      <c r="G12" s="1">
        <v>400904.71100000001</v>
      </c>
      <c r="H12" s="1">
        <v>421924.12900000002</v>
      </c>
      <c r="I12" s="1">
        <v>474978.92599999998</v>
      </c>
      <c r="J12" s="1">
        <v>480280.95600000001</v>
      </c>
      <c r="K12" s="1">
        <v>499967.11800000002</v>
      </c>
      <c r="L12" s="1">
        <v>608149.60600000003</v>
      </c>
      <c r="M12" s="1">
        <v>696083.12600000005</v>
      </c>
      <c r="N12" s="1">
        <v>721189.598</v>
      </c>
      <c r="O12" s="1">
        <v>797724.745</v>
      </c>
      <c r="P12" s="1">
        <v>871514.745</v>
      </c>
      <c r="Q12" s="1">
        <v>925451.15</v>
      </c>
      <c r="R12" s="1">
        <v>959605.82400000002</v>
      </c>
      <c r="S12" s="1">
        <v>1035188.559</v>
      </c>
      <c r="T12" s="1">
        <v>1045264.85</v>
      </c>
      <c r="U12" s="1">
        <v>1090070.7150000001</v>
      </c>
      <c r="V12" s="1">
        <v>1247174.6680000001</v>
      </c>
      <c r="W12" s="1">
        <v>1317391.1000000001</v>
      </c>
      <c r="X12" s="1">
        <v>1339739.7660000001</v>
      </c>
      <c r="Y12" s="1">
        <v>1357351.496</v>
      </c>
      <c r="Z12" s="1">
        <v>1394863.166</v>
      </c>
      <c r="AA12" s="1">
        <v>1442348.2690000001</v>
      </c>
      <c r="AB12" s="1">
        <v>1516676.0079999999</v>
      </c>
      <c r="AC12" s="1">
        <v>1588131.344</v>
      </c>
      <c r="AE12" s="1">
        <v>1787614.8019999999</v>
      </c>
    </row>
    <row r="13" spans="1:31">
      <c r="A13" s="1" t="s">
        <v>30</v>
      </c>
      <c r="B13" s="1">
        <f>59883+84145</f>
        <v>144028</v>
      </c>
      <c r="C13" s="1">
        <f>65998+91488</f>
        <v>157486</v>
      </c>
      <c r="D13" s="1">
        <f>74999+108605</f>
        <v>183604</v>
      </c>
      <c r="E13" s="1">
        <v>302875.788</v>
      </c>
      <c r="F13" s="41">
        <v>306532.75900000002</v>
      </c>
      <c r="G13" s="1">
        <v>312471.239</v>
      </c>
      <c r="H13" s="1">
        <v>346923.67800000001</v>
      </c>
      <c r="I13" s="1">
        <v>371477.05200000003</v>
      </c>
      <c r="J13" s="1">
        <v>396656.43800000002</v>
      </c>
      <c r="K13" s="1">
        <v>435471.09499999997</v>
      </c>
      <c r="L13" s="1">
        <v>543326.37100000004</v>
      </c>
      <c r="M13" s="1">
        <v>560120.13500000001</v>
      </c>
      <c r="N13" s="1">
        <v>584467.47100000002</v>
      </c>
      <c r="O13" s="1">
        <v>670072.99899999995</v>
      </c>
      <c r="P13" s="1">
        <v>704225.73100000003</v>
      </c>
      <c r="Q13" s="1">
        <v>708358.31299999997</v>
      </c>
      <c r="R13" s="1">
        <v>733326.46699999995</v>
      </c>
      <c r="S13" s="1">
        <v>748271.64599999995</v>
      </c>
      <c r="T13" s="1">
        <v>843582.48499999999</v>
      </c>
      <c r="U13" s="1">
        <v>856822.61199999996</v>
      </c>
      <c r="V13" s="1">
        <v>1025741.2389999999</v>
      </c>
      <c r="W13" s="1">
        <v>1097394.7560000001</v>
      </c>
      <c r="X13" s="1">
        <v>1193768.8929999999</v>
      </c>
      <c r="Y13" s="1">
        <v>1251911.388</v>
      </c>
      <c r="Z13" s="1">
        <v>1297199.5460000001</v>
      </c>
      <c r="AA13" s="1">
        <v>1353817.567</v>
      </c>
      <c r="AB13" s="1">
        <v>1413124.9739999999</v>
      </c>
      <c r="AC13" s="1">
        <v>1521984.007</v>
      </c>
      <c r="AE13" s="1">
        <v>1704728.4509999999</v>
      </c>
    </row>
    <row r="14" spans="1:31">
      <c r="A14" s="1" t="s">
        <v>31</v>
      </c>
      <c r="B14" s="1">
        <f>53455+2154</f>
        <v>55609</v>
      </c>
      <c r="C14" s="1">
        <f>54010+2502</f>
        <v>56512</v>
      </c>
      <c r="D14" s="1">
        <f>60196+3422</f>
        <v>63618</v>
      </c>
      <c r="E14" s="1">
        <v>99920.353000000003</v>
      </c>
      <c r="F14" s="41">
        <v>111065.795</v>
      </c>
      <c r="G14" s="1">
        <v>115155.54700000001</v>
      </c>
      <c r="H14" s="1">
        <v>123210.58900000001</v>
      </c>
      <c r="I14" s="1">
        <v>131966.88699999999</v>
      </c>
      <c r="J14" s="1">
        <v>145254.47200000001</v>
      </c>
      <c r="K14" s="1">
        <v>154760.986</v>
      </c>
      <c r="L14" s="1">
        <v>212108.93900000001</v>
      </c>
      <c r="M14" s="1">
        <v>237564.492</v>
      </c>
      <c r="N14" s="1">
        <v>250342.04699999999</v>
      </c>
      <c r="O14" s="1">
        <v>285045.83199999999</v>
      </c>
      <c r="P14" s="1">
        <v>331341.66200000001</v>
      </c>
      <c r="Q14" s="1">
        <v>359203.14299999998</v>
      </c>
      <c r="R14" s="1">
        <v>378990.09600000002</v>
      </c>
      <c r="S14" s="1">
        <v>404393.10800000001</v>
      </c>
      <c r="T14" s="1">
        <v>414657.125</v>
      </c>
      <c r="U14" s="1">
        <v>387037.78399999999</v>
      </c>
      <c r="V14" s="1">
        <v>470316.56300000002</v>
      </c>
      <c r="W14" s="1">
        <v>487394.63400000002</v>
      </c>
      <c r="X14" s="1">
        <v>484731.83</v>
      </c>
      <c r="Y14" s="1">
        <v>448109.01</v>
      </c>
      <c r="Z14" s="1">
        <v>435857.10200000001</v>
      </c>
      <c r="AA14" s="1">
        <v>456262.35399999999</v>
      </c>
      <c r="AB14" s="1">
        <v>472508.20699999999</v>
      </c>
      <c r="AC14" s="1">
        <v>490036.99099999998</v>
      </c>
      <c r="AE14" s="1">
        <v>512460.81099999999</v>
      </c>
    </row>
    <row r="15" spans="1:31">
      <c r="A15" s="1" t="s">
        <v>32</v>
      </c>
      <c r="B15" s="1">
        <f>54985+24000</f>
        <v>78985</v>
      </c>
      <c r="C15" s="1">
        <f>65781+26752</f>
        <v>92533</v>
      </c>
      <c r="D15" s="1">
        <f>65570+32336</f>
        <v>97906</v>
      </c>
      <c r="E15" s="1">
        <v>177226.30499999999</v>
      </c>
      <c r="F15" s="41">
        <v>182727.22</v>
      </c>
      <c r="G15" s="1">
        <v>190880.505</v>
      </c>
      <c r="H15" s="1">
        <v>195868.524</v>
      </c>
      <c r="I15" s="1">
        <v>207373.01</v>
      </c>
      <c r="J15" s="1">
        <v>223014.391</v>
      </c>
      <c r="K15" s="1">
        <v>235441.478</v>
      </c>
      <c r="L15" s="1">
        <v>277449.69500000001</v>
      </c>
      <c r="M15" s="1">
        <v>302960.484</v>
      </c>
      <c r="N15" s="1">
        <v>302751.23200000002</v>
      </c>
      <c r="O15" s="1">
        <v>340292.85499999998</v>
      </c>
      <c r="P15" s="1">
        <v>380307.63</v>
      </c>
      <c r="Q15" s="1">
        <v>403310.24</v>
      </c>
      <c r="R15" s="1">
        <v>376014.02</v>
      </c>
      <c r="S15" s="1">
        <v>400847.22399999999</v>
      </c>
      <c r="T15" s="1">
        <v>482036.77399999998</v>
      </c>
      <c r="U15" s="1">
        <v>404149.84</v>
      </c>
      <c r="V15" s="1">
        <v>512986.64600000001</v>
      </c>
      <c r="W15" s="1">
        <v>513521.65299999999</v>
      </c>
      <c r="X15" s="1">
        <v>506831.32900000003</v>
      </c>
      <c r="Y15" s="1">
        <v>502435.60399999999</v>
      </c>
      <c r="Z15" s="1">
        <v>469965.44300000003</v>
      </c>
      <c r="AA15" s="1">
        <v>460909.27799999999</v>
      </c>
      <c r="AB15" s="1">
        <v>452896.821</v>
      </c>
      <c r="AC15" s="1">
        <v>472533.11900000001</v>
      </c>
      <c r="AE15" s="1">
        <v>433630.98100000003</v>
      </c>
    </row>
    <row r="16" spans="1:31">
      <c r="A16" s="1" t="s">
        <v>33</v>
      </c>
      <c r="B16" s="1">
        <v>90829</v>
      </c>
      <c r="C16" s="1">
        <f>0+88330</f>
        <v>88330</v>
      </c>
      <c r="D16" s="1">
        <f>0+98440</f>
        <v>98440</v>
      </c>
      <c r="E16" s="1">
        <v>208148.61300000001</v>
      </c>
      <c r="F16" s="41">
        <v>180916.44099999999</v>
      </c>
      <c r="G16" s="1">
        <v>235062.06</v>
      </c>
      <c r="H16" s="1">
        <v>255213.01199999999</v>
      </c>
      <c r="I16" s="1">
        <v>245494.49400000001</v>
      </c>
      <c r="J16" s="1">
        <v>287457.25199999998</v>
      </c>
      <c r="K16" s="1">
        <v>346129.64883999998</v>
      </c>
      <c r="L16" s="1">
        <v>497341.86499999999</v>
      </c>
      <c r="M16" s="1">
        <v>435633.74300000002</v>
      </c>
      <c r="N16" s="1">
        <v>507334.03</v>
      </c>
      <c r="O16" s="1">
        <v>517792.52799999999</v>
      </c>
      <c r="P16" s="1">
        <v>526688.82299999997</v>
      </c>
      <c r="Q16" s="1">
        <v>591976.46699999995</v>
      </c>
      <c r="R16" s="1">
        <v>661696.48899999994</v>
      </c>
      <c r="S16" s="1">
        <v>694610.10400000005</v>
      </c>
      <c r="T16" s="1">
        <v>806281.95499999996</v>
      </c>
      <c r="U16" s="1">
        <v>471127.00900000002</v>
      </c>
      <c r="V16" s="1">
        <v>953641.321</v>
      </c>
      <c r="W16" s="1">
        <v>1027941.8639999999</v>
      </c>
      <c r="X16" s="1">
        <v>1000431.6409999999</v>
      </c>
      <c r="Y16" s="1">
        <v>1000797.226</v>
      </c>
      <c r="Z16" s="1">
        <v>999557.50199999998</v>
      </c>
      <c r="AA16" s="1">
        <v>1005959.769</v>
      </c>
      <c r="AB16" s="1">
        <v>998951.87399999995</v>
      </c>
      <c r="AC16" s="1">
        <v>1046108.601</v>
      </c>
      <c r="AE16" s="1">
        <v>1160758.2050000001</v>
      </c>
    </row>
    <row r="17" spans="1:31">
      <c r="A17" s="1" t="s">
        <v>34</v>
      </c>
      <c r="B17" s="1">
        <f>4764+47320</f>
        <v>52084</v>
      </c>
      <c r="C17" s="1">
        <f>5938+52393</f>
        <v>58331</v>
      </c>
      <c r="D17" s="1">
        <f>6343+56687</f>
        <v>63030</v>
      </c>
      <c r="E17" s="1">
        <v>100670.77499999999</v>
      </c>
      <c r="F17" s="41">
        <v>98942.528000000006</v>
      </c>
      <c r="G17" s="1">
        <v>107474.383</v>
      </c>
      <c r="H17" s="1">
        <v>120161.86599999999</v>
      </c>
      <c r="I17" s="1">
        <v>133625.079</v>
      </c>
      <c r="J17" s="1">
        <v>131391.91099999999</v>
      </c>
      <c r="K17" s="1">
        <v>134280.82199999999</v>
      </c>
      <c r="L17" s="1">
        <v>202364.693</v>
      </c>
      <c r="M17" s="1">
        <v>240663.516</v>
      </c>
      <c r="N17" s="1">
        <v>253881.83499999999</v>
      </c>
      <c r="O17" s="1">
        <v>267101.23300000001</v>
      </c>
      <c r="P17" s="1">
        <v>269527.48200000002</v>
      </c>
      <c r="Q17" s="1">
        <v>275100.70600000001</v>
      </c>
      <c r="R17" s="1">
        <v>282965.81199999998</v>
      </c>
      <c r="S17" s="1">
        <v>310974.571</v>
      </c>
      <c r="T17" s="1">
        <v>339844.27899999998</v>
      </c>
      <c r="U17" s="1">
        <v>318022.951</v>
      </c>
      <c r="V17" s="1">
        <v>371972.34</v>
      </c>
      <c r="W17" s="1">
        <v>361805.62300000002</v>
      </c>
      <c r="X17" s="1">
        <v>354702.12300000002</v>
      </c>
      <c r="Y17" s="1">
        <v>320266.84899999999</v>
      </c>
      <c r="Z17" s="1">
        <v>313834.88400000002</v>
      </c>
      <c r="AA17" s="1">
        <v>321244.36900000001</v>
      </c>
      <c r="AB17" s="1">
        <v>366294.51699999999</v>
      </c>
      <c r="AC17" s="1">
        <v>407111.95199999999</v>
      </c>
      <c r="AE17" s="1">
        <v>422871.98</v>
      </c>
    </row>
    <row r="18" spans="1:31">
      <c r="A18" s="1" t="s">
        <v>35</v>
      </c>
      <c r="B18" s="1">
        <f>59021+71430</f>
        <v>130451</v>
      </c>
      <c r="C18" s="1">
        <f>72164+81438</f>
        <v>153602</v>
      </c>
      <c r="D18" s="1">
        <f>63494+89239</f>
        <v>152733</v>
      </c>
      <c r="E18" s="1">
        <v>243411.07500000001</v>
      </c>
      <c r="F18" s="41">
        <v>258634.228</v>
      </c>
      <c r="G18" s="1">
        <v>287173.804</v>
      </c>
      <c r="H18" s="1">
        <v>308859.13099999999</v>
      </c>
      <c r="I18" s="1">
        <v>341099.33600000001</v>
      </c>
      <c r="J18" s="1">
        <v>344859.516</v>
      </c>
      <c r="K18" s="1">
        <v>344619.91399999999</v>
      </c>
      <c r="L18" s="1">
        <v>408405.80900000001</v>
      </c>
      <c r="M18" s="1">
        <v>453780.37599999999</v>
      </c>
      <c r="N18" s="1">
        <v>465652.924</v>
      </c>
      <c r="O18" s="1">
        <v>487465.21600000001</v>
      </c>
      <c r="P18" s="1">
        <v>514936.038</v>
      </c>
      <c r="Q18" s="1">
        <v>545436.19400000002</v>
      </c>
      <c r="R18" s="1">
        <v>574276.98499999999</v>
      </c>
      <c r="S18" s="1">
        <v>618489.13899999997</v>
      </c>
      <c r="T18" s="1">
        <v>679720.32700000005</v>
      </c>
      <c r="U18" s="1">
        <v>730612.88899999997</v>
      </c>
      <c r="V18" s="1">
        <v>845546.46699999995</v>
      </c>
      <c r="W18" s="1">
        <v>894667.76399999997</v>
      </c>
      <c r="X18" s="1">
        <v>909582.12</v>
      </c>
      <c r="Y18" s="1">
        <v>999587.65099999995</v>
      </c>
      <c r="Z18" s="1">
        <v>1022642.255</v>
      </c>
      <c r="AA18" s="1">
        <v>1213514.1310000001</v>
      </c>
      <c r="AB18" s="1">
        <v>1058173.912</v>
      </c>
      <c r="AC18" s="1">
        <v>1132702.371</v>
      </c>
      <c r="AE18" s="1">
        <v>1170981.7849999999</v>
      </c>
    </row>
    <row r="19" spans="1:31">
      <c r="A19" s="1" t="s">
        <v>36</v>
      </c>
      <c r="B19" s="1">
        <v>58318</v>
      </c>
      <c r="C19" s="1">
        <f>0+62323</f>
        <v>62323</v>
      </c>
      <c r="D19" s="1">
        <f>0+71775</f>
        <v>71775</v>
      </c>
      <c r="E19" s="1">
        <v>104597.73299999999</v>
      </c>
      <c r="F19" s="41">
        <v>109097.337</v>
      </c>
      <c r="G19" s="1">
        <v>114768.103</v>
      </c>
      <c r="H19" s="1">
        <v>118660.109</v>
      </c>
      <c r="I19" s="1">
        <v>112877.266</v>
      </c>
      <c r="J19" s="1">
        <v>119640.962</v>
      </c>
      <c r="K19" s="1">
        <v>130771.85400000001</v>
      </c>
      <c r="L19" s="1">
        <v>171198.38699999999</v>
      </c>
      <c r="M19" s="1">
        <v>163138.291</v>
      </c>
      <c r="N19" s="1">
        <v>173994.20300000001</v>
      </c>
      <c r="O19" s="1">
        <v>178501.008</v>
      </c>
      <c r="P19" s="1">
        <v>187077.595</v>
      </c>
      <c r="Q19" s="1">
        <v>196817.41399999999</v>
      </c>
      <c r="R19" s="1">
        <v>206315.242</v>
      </c>
      <c r="S19" s="1">
        <v>212033.46599999999</v>
      </c>
      <c r="T19" s="1">
        <v>237215.37700000001</v>
      </c>
      <c r="U19" s="1">
        <v>202598.99100000001</v>
      </c>
      <c r="V19" s="1">
        <v>310341.86700000003</v>
      </c>
      <c r="W19" s="1">
        <v>327267.43699999998</v>
      </c>
      <c r="X19" s="1">
        <v>333787.78600000002</v>
      </c>
      <c r="Y19" s="1">
        <v>348061.38500000001</v>
      </c>
      <c r="Z19" s="1">
        <v>347825.217</v>
      </c>
      <c r="AA19" s="1">
        <v>348399.23499999999</v>
      </c>
      <c r="AB19" s="1">
        <v>367273.79599999997</v>
      </c>
      <c r="AC19" s="1">
        <v>372372.69699999999</v>
      </c>
      <c r="AE19" s="1">
        <v>411034.07799999998</v>
      </c>
    </row>
    <row r="20" spans="1:31">
      <c r="A20" s="1" t="s">
        <v>37</v>
      </c>
      <c r="B20" s="1">
        <f>37156+11574</f>
        <v>48730</v>
      </c>
      <c r="C20" s="1">
        <f>43803+14508</f>
        <v>58311</v>
      </c>
      <c r="D20" s="1">
        <f>50778+17045</f>
        <v>67823</v>
      </c>
      <c r="E20" s="1">
        <v>111329.122</v>
      </c>
      <c r="F20" s="41">
        <v>120215.63099999999</v>
      </c>
      <c r="G20" s="1">
        <v>134051.69500000001</v>
      </c>
      <c r="H20" s="1">
        <v>149670.46</v>
      </c>
      <c r="I20" s="1">
        <v>169541.40900000001</v>
      </c>
      <c r="J20" s="1">
        <v>170896.27</v>
      </c>
      <c r="K20" s="1">
        <v>173064.06099999999</v>
      </c>
      <c r="L20" s="1">
        <v>251027.18</v>
      </c>
      <c r="M20" s="1">
        <v>264850.24099999998</v>
      </c>
      <c r="N20" s="1">
        <v>272156.31099999999</v>
      </c>
      <c r="O20" s="1">
        <v>292154.495</v>
      </c>
      <c r="P20" s="1">
        <v>309077.58199999999</v>
      </c>
      <c r="Q20" s="1">
        <v>320277.04599999997</v>
      </c>
      <c r="R20" s="1">
        <v>337222.59299999999</v>
      </c>
      <c r="S20" s="1">
        <v>357175.76500000001</v>
      </c>
      <c r="T20" s="1">
        <v>400656.63500000001</v>
      </c>
      <c r="U20" s="1">
        <v>267191.20699999999</v>
      </c>
      <c r="V20" s="1">
        <v>474599.80599999998</v>
      </c>
      <c r="W20" s="1">
        <v>510497.70199999999</v>
      </c>
      <c r="X20" s="1">
        <v>516893.272</v>
      </c>
      <c r="Y20" s="1">
        <v>536889.44099999999</v>
      </c>
      <c r="Z20" s="1">
        <v>536000.24899999995</v>
      </c>
      <c r="AA20" s="1">
        <v>545853.95200000005</v>
      </c>
      <c r="AB20" s="1">
        <v>563899.00600000005</v>
      </c>
      <c r="AC20" s="1">
        <v>591210.88199999998</v>
      </c>
      <c r="AE20" s="1">
        <v>646966.30900000001</v>
      </c>
    </row>
    <row r="21" spans="1:31" s="11" customFormat="1">
      <c r="A21" s="1" t="s">
        <v>38</v>
      </c>
      <c r="B21" s="1">
        <f>20537+17961</f>
        <v>38498</v>
      </c>
      <c r="C21" s="1">
        <f>28302+23957</f>
        <v>52259</v>
      </c>
      <c r="D21" s="1">
        <f>49081+30130</f>
        <v>79211</v>
      </c>
      <c r="E21" s="1">
        <v>129650.12699999999</v>
      </c>
      <c r="F21" s="41">
        <v>135714.41800000001</v>
      </c>
      <c r="G21" s="1">
        <v>149642.141</v>
      </c>
      <c r="H21" s="1">
        <v>161337.50700000001</v>
      </c>
      <c r="I21" s="1">
        <v>163383.84299999999</v>
      </c>
      <c r="J21" s="1">
        <v>162269.02299999999</v>
      </c>
      <c r="K21" s="1">
        <v>169801.234</v>
      </c>
      <c r="L21" s="1">
        <v>197796.21100000001</v>
      </c>
      <c r="M21" s="1">
        <v>215701.76199999999</v>
      </c>
      <c r="N21" s="1">
        <v>233028.69</v>
      </c>
      <c r="O21" s="1">
        <v>268766.33899999998</v>
      </c>
      <c r="P21" s="1">
        <v>264641.65399999998</v>
      </c>
      <c r="Q21" s="1">
        <v>285877.55599999998</v>
      </c>
      <c r="R21" s="1">
        <v>269651.04700000002</v>
      </c>
      <c r="S21" s="1">
        <v>272785.97200000001</v>
      </c>
      <c r="T21" s="1">
        <v>283313.71899999998</v>
      </c>
      <c r="U21" s="1">
        <v>282317.24300000002</v>
      </c>
      <c r="V21" s="1">
        <v>364623.74699999997</v>
      </c>
      <c r="W21" s="1">
        <v>380004.32</v>
      </c>
      <c r="X21" s="1">
        <v>392122.45199999999</v>
      </c>
      <c r="Y21" s="1">
        <v>392819.288</v>
      </c>
      <c r="Z21" s="1">
        <v>394476.217</v>
      </c>
      <c r="AA21" s="1">
        <v>374906.02799999999</v>
      </c>
      <c r="AB21" s="1">
        <v>385724.40700000001</v>
      </c>
      <c r="AC21" s="1">
        <v>398317.70500000002</v>
      </c>
      <c r="AD21" s="1"/>
      <c r="AE21" s="1">
        <v>501250.83299999998</v>
      </c>
    </row>
    <row r="22" spans="1:31">
      <c r="A22" s="1" t="s">
        <v>39</v>
      </c>
      <c r="B22" s="1">
        <f>191144+132149</f>
        <v>323293</v>
      </c>
      <c r="C22" s="1">
        <f>203470+144384</f>
        <v>347854</v>
      </c>
      <c r="D22" s="1">
        <f>230794+169814</f>
        <v>400608</v>
      </c>
      <c r="E22" s="1">
        <v>666803.71600000001</v>
      </c>
      <c r="F22" s="41">
        <v>729613.98100000003</v>
      </c>
      <c r="G22" s="1">
        <v>787973.93500000006</v>
      </c>
      <c r="H22" s="1">
        <v>815808.60699999996</v>
      </c>
      <c r="I22" s="1">
        <v>852842.255</v>
      </c>
      <c r="J22" s="1">
        <v>889268.75600000005</v>
      </c>
      <c r="K22" s="1">
        <v>933884.86499999999</v>
      </c>
      <c r="L22" s="1">
        <v>1189122.74</v>
      </c>
      <c r="M22" s="1">
        <v>1414257.6240000001</v>
      </c>
      <c r="N22" s="1">
        <v>1598941.1669999999</v>
      </c>
      <c r="O22" s="1">
        <v>1704534.0260000001</v>
      </c>
      <c r="P22" s="1">
        <v>1771423.075</v>
      </c>
      <c r="Q22" s="1">
        <v>1920631.5649999999</v>
      </c>
      <c r="R22" s="1">
        <v>1720860.1340000001</v>
      </c>
      <c r="S22" s="1">
        <v>1811283.523</v>
      </c>
      <c r="T22" s="1">
        <v>2045858.72</v>
      </c>
      <c r="U22" s="1">
        <v>1356026.294</v>
      </c>
      <c r="V22" s="1">
        <v>2638381.59</v>
      </c>
      <c r="W22" s="1">
        <v>2667850.9380000001</v>
      </c>
      <c r="X22" s="1">
        <v>2760457.5010000002</v>
      </c>
      <c r="Y22" s="1">
        <v>1890536.179</v>
      </c>
      <c r="Z22" s="1">
        <v>1977800.2590000001</v>
      </c>
      <c r="AA22" s="1">
        <v>2069652.926</v>
      </c>
      <c r="AB22" s="1">
        <v>3096876.1809999999</v>
      </c>
      <c r="AC22" s="1">
        <v>3235480.9249999998</v>
      </c>
      <c r="AE22" s="1">
        <v>3613114.605</v>
      </c>
    </row>
    <row r="23" spans="1:31">
      <c r="A23" s="1" t="s">
        <v>40</v>
      </c>
      <c r="B23" s="1">
        <f>57553+49596</f>
        <v>107149</v>
      </c>
      <c r="C23" s="1">
        <f>63274+60106</f>
        <v>123380</v>
      </c>
      <c r="D23" s="1">
        <f>74395+72231</f>
        <v>146626</v>
      </c>
      <c r="E23" s="1">
        <v>247383.95499999999</v>
      </c>
      <c r="F23" s="41">
        <v>255443.655</v>
      </c>
      <c r="G23" s="1">
        <v>272383.39199999999</v>
      </c>
      <c r="H23" s="1">
        <v>293452.25199999998</v>
      </c>
      <c r="I23" s="1">
        <v>302904.68599999999</v>
      </c>
      <c r="J23" s="1">
        <v>301609.087</v>
      </c>
      <c r="K23" s="1">
        <v>328060.05599999998</v>
      </c>
      <c r="L23" s="1">
        <v>399790.04800000001</v>
      </c>
      <c r="M23" s="1">
        <v>443868.10600000003</v>
      </c>
      <c r="N23" s="1">
        <v>507945.13900000002</v>
      </c>
      <c r="O23" s="1">
        <v>597605.47900000005</v>
      </c>
      <c r="P23" s="1">
        <v>636311.85</v>
      </c>
      <c r="Q23" s="1">
        <v>683340.11499999999</v>
      </c>
      <c r="R23" s="1">
        <v>653794.39599999995</v>
      </c>
      <c r="S23" s="1">
        <v>679791.35199999996</v>
      </c>
      <c r="T23" s="1">
        <v>765012.38199999998</v>
      </c>
      <c r="U23" s="1">
        <v>796000.00100000005</v>
      </c>
      <c r="V23" s="1">
        <v>901550.76100000006</v>
      </c>
      <c r="W23" s="1">
        <v>963415.90500000003</v>
      </c>
      <c r="X23" s="1">
        <v>1006423.144</v>
      </c>
      <c r="Y23" s="1">
        <v>1053807.7609999999</v>
      </c>
      <c r="Z23" s="1">
        <v>1061869.652</v>
      </c>
      <c r="AA23" s="1">
        <v>1063351.308</v>
      </c>
      <c r="AB23" s="1">
        <v>1114917.254</v>
      </c>
      <c r="AC23" s="1">
        <v>1172779.02</v>
      </c>
      <c r="AE23" s="1">
        <v>1339212.9839999999</v>
      </c>
    </row>
    <row r="24" spans="1:31">
      <c r="A24" s="23" t="s">
        <v>41</v>
      </c>
      <c r="B24" s="23">
        <f>19844+971</f>
        <v>20815</v>
      </c>
      <c r="C24" s="23">
        <f>22049+1212</f>
        <v>23261</v>
      </c>
      <c r="D24" s="23">
        <f>23054+1274</f>
        <v>24328</v>
      </c>
      <c r="E24" s="23">
        <v>53305.169000000002</v>
      </c>
      <c r="F24" s="44">
        <v>48947.900999999998</v>
      </c>
      <c r="G24" s="23">
        <v>52415.663999999997</v>
      </c>
      <c r="H24" s="23">
        <v>62924.644999999997</v>
      </c>
      <c r="I24" s="23">
        <v>58556.09</v>
      </c>
      <c r="J24" s="23">
        <v>61933.366999999998</v>
      </c>
      <c r="K24" s="23">
        <v>63724.363899999997</v>
      </c>
      <c r="L24" s="23">
        <v>72569.471999999994</v>
      </c>
      <c r="M24" s="23">
        <v>83220.157000000007</v>
      </c>
      <c r="N24" s="23">
        <v>85014.77</v>
      </c>
      <c r="O24" s="23">
        <v>94357.843999999997</v>
      </c>
      <c r="P24" s="23">
        <v>102990.62</v>
      </c>
      <c r="Q24" s="23">
        <v>116703.68399999999</v>
      </c>
      <c r="R24" s="23">
        <v>123103.311</v>
      </c>
      <c r="S24" s="23">
        <v>135150.90700000001</v>
      </c>
      <c r="T24" s="23">
        <v>152215.75399999999</v>
      </c>
      <c r="U24" s="23">
        <v>152014.42600000001</v>
      </c>
      <c r="V24" s="23">
        <v>189763.179</v>
      </c>
      <c r="W24" s="23">
        <v>196686.97500000001</v>
      </c>
      <c r="X24" s="23">
        <v>189747.19699999999</v>
      </c>
      <c r="Y24" s="23">
        <v>177816.299</v>
      </c>
      <c r="Z24" s="23">
        <v>173695.826</v>
      </c>
      <c r="AA24" s="23">
        <v>177017.47099999999</v>
      </c>
      <c r="AB24" s="23">
        <v>151692.177</v>
      </c>
      <c r="AC24" s="23">
        <v>156167.73499999999</v>
      </c>
      <c r="AD24" s="23"/>
      <c r="AE24" s="23">
        <v>160270.891</v>
      </c>
    </row>
    <row r="25" spans="1:31">
      <c r="A25" s="7" t="s">
        <v>42</v>
      </c>
      <c r="B25" s="47">
        <f>SUM(B27:B39)</f>
        <v>0</v>
      </c>
      <c r="C25" s="47">
        <f t="shared" ref="C25:AC25" si="10">SUM(C27:C39)</f>
        <v>0</v>
      </c>
      <c r="D25" s="47">
        <f t="shared" si="10"/>
        <v>0</v>
      </c>
      <c r="E25" s="47">
        <f t="shared" si="10"/>
        <v>0</v>
      </c>
      <c r="F25" s="47">
        <f t="shared" si="10"/>
        <v>2768310.648</v>
      </c>
      <c r="G25" s="47">
        <f t="shared" si="10"/>
        <v>0</v>
      </c>
      <c r="H25" s="47">
        <f t="shared" si="10"/>
        <v>0</v>
      </c>
      <c r="I25" s="47">
        <f t="shared" si="10"/>
        <v>3301537.9060000004</v>
      </c>
      <c r="J25" s="47">
        <f t="shared" si="10"/>
        <v>0</v>
      </c>
      <c r="K25" s="47">
        <f t="shared" si="10"/>
        <v>3583397.7870599991</v>
      </c>
      <c r="L25" s="47">
        <f t="shared" si="10"/>
        <v>4584626.7919999994</v>
      </c>
      <c r="M25" s="47">
        <f t="shared" si="10"/>
        <v>5025331.9470000006</v>
      </c>
      <c r="N25" s="47">
        <f t="shared" si="10"/>
        <v>5158309.5199999996</v>
      </c>
      <c r="O25" s="47">
        <f t="shared" si="10"/>
        <v>5625359.0140000014</v>
      </c>
      <c r="P25" s="47">
        <f t="shared" si="10"/>
        <v>5848730.6270000003</v>
      </c>
      <c r="Q25" s="47">
        <f t="shared" si="10"/>
        <v>6308745.75</v>
      </c>
      <c r="R25" s="47">
        <f t="shared" si="10"/>
        <v>6546618.0959999999</v>
      </c>
      <c r="S25" s="47">
        <f t="shared" si="10"/>
        <v>6824886.4900000002</v>
      </c>
      <c r="T25" s="47">
        <f t="shared" si="10"/>
        <v>7189273.6050000014</v>
      </c>
      <c r="U25" s="47">
        <f t="shared" si="10"/>
        <v>6808016.9960000003</v>
      </c>
      <c r="V25" s="47">
        <f t="shared" si="10"/>
        <v>8996009.6009999998</v>
      </c>
      <c r="W25" s="47">
        <f t="shared" si="10"/>
        <v>9601670.4060000014</v>
      </c>
      <c r="X25" s="47">
        <f t="shared" si="10"/>
        <v>9834535.3389999978</v>
      </c>
      <c r="Y25" s="47">
        <f t="shared" si="10"/>
        <v>9875109.0299999993</v>
      </c>
      <c r="Z25" s="47">
        <f t="shared" si="10"/>
        <v>9878142.909</v>
      </c>
      <c r="AA25" s="47">
        <f t="shared" si="10"/>
        <v>9963203.4230000004</v>
      </c>
      <c r="AB25" s="47">
        <f t="shared" si="10"/>
        <v>10230832.412</v>
      </c>
      <c r="AC25" s="47">
        <f t="shared" si="10"/>
        <v>10531701.004000001</v>
      </c>
      <c r="AD25" s="47">
        <f t="shared" ref="AD25:AE25" si="11">SUM(AD27:AD39)</f>
        <v>0</v>
      </c>
      <c r="AE25" s="47">
        <f t="shared" si="11"/>
        <v>11059624.473999998</v>
      </c>
    </row>
    <row r="26" spans="1:31">
      <c r="A26" s="7" t="s">
        <v>97</v>
      </c>
      <c r="Y26" s="1">
        <v>0</v>
      </c>
      <c r="AB26" s="1">
        <v>0</v>
      </c>
      <c r="AC26" s="1">
        <v>0</v>
      </c>
    </row>
    <row r="27" spans="1:31">
      <c r="A27" s="1" t="s">
        <v>43</v>
      </c>
      <c r="F27" s="41">
        <v>65568.633000000002</v>
      </c>
      <c r="I27" s="1">
        <v>74405.868000000002</v>
      </c>
      <c r="K27" s="1">
        <v>62653.860999999997</v>
      </c>
      <c r="L27" s="1">
        <v>80698.206000000006</v>
      </c>
      <c r="M27" s="1">
        <v>93776.994999999995</v>
      </c>
      <c r="N27" s="1">
        <v>104211.63099999999</v>
      </c>
      <c r="O27" s="1">
        <v>107615.23299999999</v>
      </c>
      <c r="P27" s="1">
        <v>112013</v>
      </c>
      <c r="Q27" s="1">
        <v>118922.371</v>
      </c>
      <c r="R27" s="1">
        <v>126278.80899999999</v>
      </c>
      <c r="S27" s="1">
        <v>131282.57399999999</v>
      </c>
      <c r="T27" s="1">
        <v>121842.719</v>
      </c>
      <c r="U27" s="1">
        <v>155921.53099999999</v>
      </c>
      <c r="V27" s="1">
        <v>161868.62599999999</v>
      </c>
      <c r="W27" s="1">
        <v>169864.209</v>
      </c>
      <c r="X27" s="1">
        <v>165154.63500000001</v>
      </c>
      <c r="Y27" s="1">
        <v>163939.90100000001</v>
      </c>
      <c r="Z27" s="1">
        <v>161376.114</v>
      </c>
      <c r="AA27" s="1">
        <v>158423.28099999999</v>
      </c>
      <c r="AB27" s="1">
        <v>170277.04</v>
      </c>
      <c r="AC27" s="1">
        <v>163135.242</v>
      </c>
      <c r="AE27" s="1">
        <v>173715.71599999999</v>
      </c>
    </row>
    <row r="28" spans="1:31">
      <c r="A28" s="1" t="s">
        <v>44</v>
      </c>
      <c r="F28" s="41">
        <v>209222.11300000001</v>
      </c>
      <c r="I28" s="1">
        <v>266678.21999999997</v>
      </c>
      <c r="K28" s="1">
        <v>256400.56200000001</v>
      </c>
      <c r="L28" s="1">
        <v>320977.41399999999</v>
      </c>
      <c r="M28" s="1">
        <v>341789.87</v>
      </c>
      <c r="N28" s="1">
        <v>340764.44900000002</v>
      </c>
      <c r="O28" s="1">
        <v>419703.53200000001</v>
      </c>
      <c r="P28" s="1">
        <v>444771.65</v>
      </c>
      <c r="Q28" s="1">
        <v>485037.43800000002</v>
      </c>
      <c r="R28" s="1">
        <v>500984.016</v>
      </c>
      <c r="S28" s="1">
        <v>517332.57699999999</v>
      </c>
      <c r="T28" s="1">
        <v>561646.78399999999</v>
      </c>
      <c r="U28" s="1">
        <v>587830.56299999997</v>
      </c>
      <c r="V28" s="1">
        <v>689167.348</v>
      </c>
      <c r="W28" s="1">
        <v>716840.65300000005</v>
      </c>
      <c r="X28" s="1">
        <v>736648.52</v>
      </c>
      <c r="Y28" s="1">
        <v>768961.098</v>
      </c>
      <c r="Z28" s="1">
        <v>749448.22699999996</v>
      </c>
      <c r="AA28" s="1">
        <v>785667.64399999997</v>
      </c>
      <c r="AB28" s="1">
        <v>750091.78300000005</v>
      </c>
      <c r="AC28" s="1">
        <v>768845.08900000004</v>
      </c>
      <c r="AE28" s="1">
        <v>945042.43500000006</v>
      </c>
    </row>
    <row r="29" spans="1:31">
      <c r="A29" s="1" t="s">
        <v>45</v>
      </c>
      <c r="F29" s="41">
        <v>1214505</v>
      </c>
      <c r="I29" s="1">
        <v>1407077</v>
      </c>
      <c r="K29" s="1">
        <v>1607344.402</v>
      </c>
      <c r="L29" s="1">
        <v>2128532.1690000002</v>
      </c>
      <c r="M29" s="1">
        <v>2363973.503</v>
      </c>
      <c r="N29" s="1">
        <v>2337939.9610000001</v>
      </c>
      <c r="O29" s="1">
        <v>2540518.6690000002</v>
      </c>
      <c r="P29" s="1">
        <v>2704979.298</v>
      </c>
      <c r="Q29" s="1">
        <v>2827109.4890000001</v>
      </c>
      <c r="R29" s="1">
        <v>2952003.344</v>
      </c>
      <c r="S29" s="1">
        <v>3078898.9920000001</v>
      </c>
      <c r="T29" s="1">
        <v>3252115.9870000002</v>
      </c>
      <c r="U29" s="1">
        <v>2813503.59</v>
      </c>
      <c r="V29" s="1">
        <v>4198149.2709999997</v>
      </c>
      <c r="W29" s="1">
        <v>4423490.8710000003</v>
      </c>
      <c r="X29" s="1">
        <v>4627819.1289999997</v>
      </c>
      <c r="Y29" s="1">
        <v>4646225.7929999996</v>
      </c>
      <c r="Z29" s="1">
        <v>4705523.1749999998</v>
      </c>
      <c r="AA29" s="1">
        <v>4876640.3930000002</v>
      </c>
      <c r="AB29" s="1">
        <v>5041590.7949999999</v>
      </c>
      <c r="AC29" s="1">
        <v>5214916.8859999999</v>
      </c>
      <c r="AE29" s="1">
        <v>5235213.3839999996</v>
      </c>
    </row>
    <row r="30" spans="1:31">
      <c r="A30" s="1" t="s">
        <v>46</v>
      </c>
      <c r="F30" s="41">
        <v>224490.46299999999</v>
      </c>
      <c r="I30" s="1">
        <v>291990.95799999998</v>
      </c>
      <c r="K30" s="1">
        <v>324282.51694999996</v>
      </c>
      <c r="L30" s="1">
        <v>416814.33100000001</v>
      </c>
      <c r="M30" s="1">
        <v>468870.18300000002</v>
      </c>
      <c r="N30" s="1">
        <v>445063.34</v>
      </c>
      <c r="O30" s="1">
        <v>469118.978</v>
      </c>
      <c r="P30" s="1">
        <v>343501.538</v>
      </c>
      <c r="Q30" s="1">
        <v>542739.51100000006</v>
      </c>
      <c r="R30" s="1">
        <v>558598.60600000003</v>
      </c>
      <c r="S30" s="1">
        <v>587698.18500000006</v>
      </c>
      <c r="T30" s="1">
        <v>598681.77899999998</v>
      </c>
      <c r="U30" s="1">
        <v>601119.33499999996</v>
      </c>
      <c r="V30" s="1">
        <v>770753.40300000005</v>
      </c>
      <c r="W30" s="1">
        <v>840970.39800000004</v>
      </c>
      <c r="X30" s="1">
        <v>893607.89599999995</v>
      </c>
      <c r="Y30" s="1">
        <v>884226.05700000003</v>
      </c>
      <c r="Z30" s="1">
        <v>884041.11499999999</v>
      </c>
      <c r="AA30" s="1">
        <v>938028.62899999996</v>
      </c>
      <c r="AB30" s="1">
        <v>958443.85900000005</v>
      </c>
      <c r="AC30" s="1">
        <v>1034625.5159999999</v>
      </c>
      <c r="AE30" s="1">
        <v>1137380.7039999999</v>
      </c>
    </row>
    <row r="31" spans="1:31">
      <c r="A31" s="1" t="s">
        <v>47</v>
      </c>
      <c r="F31" s="41">
        <v>120550.61</v>
      </c>
      <c r="I31" s="1">
        <v>129594.36</v>
      </c>
      <c r="K31" s="1">
        <v>127534.12699999999</v>
      </c>
      <c r="L31" s="1">
        <v>151409.065</v>
      </c>
      <c r="M31" s="1">
        <v>155254.07699999999</v>
      </c>
      <c r="N31" s="1">
        <v>171000.12700000001</v>
      </c>
      <c r="O31" s="1">
        <v>198695.35800000001</v>
      </c>
      <c r="P31" s="1">
        <v>216052.473</v>
      </c>
      <c r="Q31" s="1">
        <v>235467.951</v>
      </c>
      <c r="R31" s="1">
        <v>248044.09099999999</v>
      </c>
      <c r="S31" s="1">
        <v>255786.948</v>
      </c>
      <c r="T31" s="1">
        <v>265150.46500000003</v>
      </c>
      <c r="U31" s="1">
        <v>290587.97499999998</v>
      </c>
      <c r="V31" s="1">
        <v>336881.78</v>
      </c>
      <c r="W31" s="1">
        <v>345031.31199999998</v>
      </c>
      <c r="X31" s="1">
        <v>358127.93</v>
      </c>
      <c r="Y31" s="1">
        <v>361396.85100000002</v>
      </c>
      <c r="Z31" s="1">
        <v>349735.58600000001</v>
      </c>
      <c r="AA31" s="1">
        <v>261021.61199999999</v>
      </c>
      <c r="AB31" s="1">
        <v>271023.71500000003</v>
      </c>
      <c r="AC31" s="1">
        <v>255756.628</v>
      </c>
      <c r="AE31" s="1">
        <v>263156.685</v>
      </c>
    </row>
    <row r="32" spans="1:31">
      <c r="A32" s="1" t="s">
        <v>48</v>
      </c>
      <c r="F32" s="41">
        <v>46794.124000000003</v>
      </c>
      <c r="I32" s="1">
        <v>55950.277999999998</v>
      </c>
      <c r="K32" s="1">
        <v>57626.296000000002</v>
      </c>
      <c r="L32" s="1">
        <v>64149.315000000002</v>
      </c>
      <c r="M32" s="1">
        <v>70791.108999999997</v>
      </c>
      <c r="N32" s="1">
        <v>74342.035999999993</v>
      </c>
      <c r="O32" s="1">
        <v>87252.081000000006</v>
      </c>
      <c r="P32" s="1">
        <v>94553.842999999993</v>
      </c>
      <c r="Q32" s="1">
        <v>100338.54700000001</v>
      </c>
      <c r="R32" s="1">
        <v>94705.847999999998</v>
      </c>
      <c r="S32" s="1">
        <v>96384.232999999993</v>
      </c>
      <c r="T32" s="1">
        <v>94228.138999999996</v>
      </c>
      <c r="U32" s="1">
        <v>90914.694000000003</v>
      </c>
      <c r="V32" s="1">
        <v>116316.439</v>
      </c>
      <c r="W32" s="1">
        <v>128186.497</v>
      </c>
      <c r="X32" s="1">
        <v>132508.054</v>
      </c>
      <c r="Y32" s="1">
        <v>126131.198</v>
      </c>
      <c r="Z32" s="1">
        <v>121178.19</v>
      </c>
      <c r="AA32" s="1">
        <v>124154.166</v>
      </c>
      <c r="AB32" s="1">
        <v>126924.317</v>
      </c>
      <c r="AC32" s="1">
        <v>130606.58900000001</v>
      </c>
      <c r="AE32" s="1">
        <v>130023.61500000001</v>
      </c>
    </row>
    <row r="33" spans="1:31">
      <c r="A33" s="1" t="s">
        <v>49</v>
      </c>
      <c r="F33" s="41">
        <v>37544.661999999997</v>
      </c>
      <c r="I33" s="1">
        <v>51895.18</v>
      </c>
      <c r="K33" s="1">
        <v>63216.101999999999</v>
      </c>
      <c r="L33" s="1">
        <v>96873.26</v>
      </c>
      <c r="M33" s="1">
        <v>90669.396999999997</v>
      </c>
      <c r="N33" s="1">
        <v>100515.924</v>
      </c>
      <c r="O33" s="1">
        <v>112807.982</v>
      </c>
      <c r="P33" s="1">
        <v>125907.55</v>
      </c>
      <c r="Q33" s="1">
        <v>142183.47500000001</v>
      </c>
      <c r="R33" s="1">
        <v>146185.07</v>
      </c>
      <c r="S33" s="1">
        <v>146197.28099999999</v>
      </c>
      <c r="T33" s="1">
        <v>154845.41699999999</v>
      </c>
      <c r="U33" s="1">
        <v>180170.37100000001</v>
      </c>
      <c r="V33" s="1">
        <v>193234.247</v>
      </c>
      <c r="W33" s="1">
        <v>189696.72500000001</v>
      </c>
      <c r="X33" s="1">
        <v>186368.476</v>
      </c>
      <c r="Y33" s="1">
        <v>181140.277</v>
      </c>
      <c r="Z33" s="1">
        <v>176508.951</v>
      </c>
      <c r="AA33" s="1">
        <v>172825.03599999999</v>
      </c>
      <c r="AB33" s="1">
        <v>179036.981</v>
      </c>
      <c r="AC33" s="1">
        <v>202814.80300000001</v>
      </c>
      <c r="AE33" s="1">
        <v>203621.85200000001</v>
      </c>
    </row>
    <row r="34" spans="1:31">
      <c r="A34" s="1" t="s">
        <v>50</v>
      </c>
      <c r="F34" s="41">
        <v>34173.033000000003</v>
      </c>
      <c r="I34" s="1">
        <v>45605.440999999999</v>
      </c>
      <c r="K34" s="1">
        <v>47216.88</v>
      </c>
      <c r="L34" s="1">
        <v>57081.542000000001</v>
      </c>
      <c r="M34" s="1">
        <v>67363.432000000001</v>
      </c>
      <c r="N34" s="1">
        <v>69587.171000000002</v>
      </c>
      <c r="O34" s="1">
        <v>84864.778000000006</v>
      </c>
      <c r="P34" s="1">
        <v>92109.411999999997</v>
      </c>
      <c r="Q34" s="1">
        <v>99463.361000000004</v>
      </c>
      <c r="R34" s="1">
        <v>110644.636</v>
      </c>
      <c r="S34" s="1">
        <v>117690.00599999999</v>
      </c>
      <c r="T34" s="1">
        <v>121650.72</v>
      </c>
      <c r="U34" s="1">
        <v>110748.334</v>
      </c>
      <c r="V34" s="1">
        <v>121574.58500000001</v>
      </c>
      <c r="W34" s="1">
        <v>115372.126</v>
      </c>
      <c r="X34" s="1">
        <v>105793.852</v>
      </c>
      <c r="Y34" s="1">
        <v>116496.397</v>
      </c>
      <c r="Z34" s="1">
        <v>125685.78200000001</v>
      </c>
      <c r="AA34" s="1">
        <v>112980.65</v>
      </c>
      <c r="AB34" s="1">
        <v>116439.00199999999</v>
      </c>
      <c r="AC34" s="1">
        <v>133939.962</v>
      </c>
      <c r="AE34" s="1">
        <v>143941.84099999999</v>
      </c>
    </row>
    <row r="35" spans="1:31">
      <c r="A35" s="1" t="s">
        <v>51</v>
      </c>
      <c r="F35" s="41">
        <v>162912.80499999999</v>
      </c>
      <c r="I35" s="1">
        <v>202256.739</v>
      </c>
      <c r="K35" s="1">
        <v>190214.15911000001</v>
      </c>
      <c r="L35" s="1">
        <v>209288.679</v>
      </c>
      <c r="M35" s="1">
        <v>258500.00399999999</v>
      </c>
      <c r="N35" s="1">
        <v>245207.255</v>
      </c>
      <c r="O35" s="1">
        <v>255773.32199999999</v>
      </c>
      <c r="P35" s="1">
        <v>288258.65500000003</v>
      </c>
      <c r="Q35" s="1">
        <v>288715.50699999998</v>
      </c>
      <c r="R35" s="1">
        <v>299111.897</v>
      </c>
      <c r="S35" s="1">
        <v>345598.09399999998</v>
      </c>
      <c r="T35" s="1">
        <v>337557.68900000001</v>
      </c>
      <c r="U35" s="1">
        <v>383744.81900000002</v>
      </c>
      <c r="V35" s="1">
        <v>420714.12400000001</v>
      </c>
      <c r="W35" s="1">
        <v>430278.35399999999</v>
      </c>
      <c r="X35" s="1">
        <v>400979.98599999998</v>
      </c>
      <c r="Y35" s="1">
        <v>397332.50099999999</v>
      </c>
      <c r="Z35" s="1">
        <v>389892.21399999998</v>
      </c>
      <c r="AA35" s="1">
        <v>386405.39</v>
      </c>
      <c r="AB35" s="1">
        <v>366042.68199999997</v>
      </c>
      <c r="AC35" s="1">
        <v>366219.745</v>
      </c>
      <c r="AE35" s="1">
        <v>363292.04700000002</v>
      </c>
    </row>
    <row r="36" spans="1:31">
      <c r="A36" s="1" t="s">
        <v>52</v>
      </c>
      <c r="F36" s="41">
        <v>150794.976</v>
      </c>
      <c r="I36" s="1">
        <v>191241.77299999999</v>
      </c>
      <c r="K36" s="1">
        <v>213491.35500000001</v>
      </c>
      <c r="L36" s="1">
        <v>260341.08600000001</v>
      </c>
      <c r="M36" s="1">
        <v>275527.98200000002</v>
      </c>
      <c r="N36" s="1">
        <v>340484.86599999998</v>
      </c>
      <c r="O36" s="1">
        <v>336734.08</v>
      </c>
      <c r="P36" s="1">
        <v>373405.67200000002</v>
      </c>
      <c r="Q36" s="1">
        <v>390238.63199999998</v>
      </c>
      <c r="R36" s="1">
        <v>409853.61300000001</v>
      </c>
      <c r="S36" s="1">
        <v>434491.21</v>
      </c>
      <c r="T36" s="1">
        <v>475656.82400000002</v>
      </c>
      <c r="U36" s="1">
        <v>328174.20199999999</v>
      </c>
      <c r="V36" s="1">
        <v>600416.88899999997</v>
      </c>
      <c r="W36" s="1">
        <v>594448.11499999999</v>
      </c>
      <c r="X36" s="1">
        <v>590254.10499999998</v>
      </c>
      <c r="Y36" s="1">
        <v>584150.19200000004</v>
      </c>
      <c r="Z36" s="1">
        <v>575500.46900000004</v>
      </c>
      <c r="AA36" s="1">
        <v>544814.67099999997</v>
      </c>
      <c r="AB36" s="1">
        <v>611420.875</v>
      </c>
      <c r="AC36" s="1">
        <v>590967.40700000001</v>
      </c>
      <c r="AE36" s="1">
        <v>656200.79</v>
      </c>
    </row>
    <row r="37" spans="1:31">
      <c r="A37" s="1" t="s">
        <v>53</v>
      </c>
      <c r="F37" s="41">
        <v>156558.823</v>
      </c>
      <c r="I37" s="1">
        <v>165310.43400000001</v>
      </c>
      <c r="K37" s="1">
        <v>191289.91899999999</v>
      </c>
      <c r="L37" s="1">
        <v>234681.81</v>
      </c>
      <c r="M37" s="1">
        <v>251800.008</v>
      </c>
      <c r="N37" s="1">
        <v>315945.21000000002</v>
      </c>
      <c r="O37" s="1">
        <v>338827.43400000001</v>
      </c>
      <c r="P37" s="1">
        <v>318387.01199999999</v>
      </c>
      <c r="Q37" s="1">
        <v>315354.11900000001</v>
      </c>
      <c r="R37" s="1">
        <v>317252.69</v>
      </c>
      <c r="S37" s="1">
        <v>324755.02899999998</v>
      </c>
      <c r="T37" s="1">
        <v>343262.07900000003</v>
      </c>
      <c r="U37" s="1">
        <v>364533.48100000003</v>
      </c>
      <c r="V37" s="1">
        <v>367591.64500000002</v>
      </c>
      <c r="W37" s="1">
        <v>403630.83600000001</v>
      </c>
      <c r="X37" s="1">
        <v>421048.27500000002</v>
      </c>
      <c r="Y37" s="1">
        <v>430634.61900000001</v>
      </c>
      <c r="Z37" s="1">
        <v>417020.67099999997</v>
      </c>
      <c r="AA37" s="1">
        <v>424647.69</v>
      </c>
      <c r="AB37" s="1">
        <v>442736.902</v>
      </c>
      <c r="AC37" s="1">
        <v>477729.83500000002</v>
      </c>
      <c r="AE37" s="1">
        <v>617893.67200000002</v>
      </c>
    </row>
    <row r="38" spans="1:31">
      <c r="A38" s="1" t="s">
        <v>54</v>
      </c>
      <c r="F38" s="41">
        <v>321037.69099999999</v>
      </c>
      <c r="I38" s="1">
        <v>381085.68</v>
      </c>
      <c r="K38" s="1">
        <v>406939.45699999999</v>
      </c>
      <c r="L38" s="1">
        <v>527351.60499999998</v>
      </c>
      <c r="M38" s="1">
        <v>554539.45499999996</v>
      </c>
      <c r="N38" s="1">
        <v>581502.00399999996</v>
      </c>
      <c r="O38" s="1">
        <v>639191.62800000003</v>
      </c>
      <c r="P38" s="1">
        <v>697164.20600000001</v>
      </c>
      <c r="Q38" s="1">
        <v>721030.79599999997</v>
      </c>
      <c r="R38" s="1">
        <v>743565.16299999994</v>
      </c>
      <c r="S38" s="1">
        <v>747912.098</v>
      </c>
      <c r="T38" s="1">
        <v>816099.554</v>
      </c>
      <c r="U38" s="1">
        <v>846858.451</v>
      </c>
      <c r="V38" s="1">
        <v>943839.64800000004</v>
      </c>
      <c r="W38" s="1">
        <v>1158116.7990000001</v>
      </c>
      <c r="X38" s="1">
        <v>1125988.8160000001</v>
      </c>
      <c r="Y38" s="1">
        <v>1128799.7590000001</v>
      </c>
      <c r="Z38" s="1">
        <v>1139339.1100000001</v>
      </c>
      <c r="AA38" s="1">
        <v>1092045.1000000001</v>
      </c>
      <c r="AB38" s="1">
        <v>1116425.358</v>
      </c>
      <c r="AC38" s="1">
        <v>1114219.655</v>
      </c>
      <c r="AE38" s="1">
        <v>1096347.818</v>
      </c>
    </row>
    <row r="39" spans="1:31">
      <c r="A39" s="23" t="s">
        <v>55</v>
      </c>
      <c r="B39" s="23"/>
      <c r="C39" s="23"/>
      <c r="D39" s="23"/>
      <c r="E39" s="23"/>
      <c r="F39" s="44">
        <v>24157.715</v>
      </c>
      <c r="G39" s="23"/>
      <c r="H39" s="23"/>
      <c r="I39" s="23">
        <v>38445.974999999999</v>
      </c>
      <c r="J39" s="23"/>
      <c r="K39" s="23">
        <v>35188.15</v>
      </c>
      <c r="L39" s="23">
        <v>36428.31</v>
      </c>
      <c r="M39" s="23">
        <v>32475.932000000001</v>
      </c>
      <c r="N39" s="23">
        <v>31745.545999999998</v>
      </c>
      <c r="O39" s="23">
        <v>34255.938999999998</v>
      </c>
      <c r="P39" s="23">
        <v>37626.317999999999</v>
      </c>
      <c r="Q39" s="23">
        <v>42144.553</v>
      </c>
      <c r="R39" s="23">
        <v>39390.313000000002</v>
      </c>
      <c r="S39" s="23">
        <v>40859.262999999999</v>
      </c>
      <c r="T39" s="23">
        <v>46535.449000000001</v>
      </c>
      <c r="U39" s="23">
        <v>53909.65</v>
      </c>
      <c r="V39" s="23">
        <v>75501.596000000005</v>
      </c>
      <c r="W39" s="23">
        <v>85743.510999999999</v>
      </c>
      <c r="X39" s="23">
        <v>90235.664999999994</v>
      </c>
      <c r="Y39" s="23">
        <v>85674.387000000002</v>
      </c>
      <c r="Z39" s="23">
        <v>82893.304999999993</v>
      </c>
      <c r="AA39" s="23">
        <v>85549.160999999993</v>
      </c>
      <c r="AB39" s="23">
        <v>80379.103000000003</v>
      </c>
      <c r="AC39" s="23">
        <v>77923.646999999997</v>
      </c>
      <c r="AD39" s="23"/>
      <c r="AE39" s="23">
        <v>93793.914999999994</v>
      </c>
    </row>
    <row r="40" spans="1:31">
      <c r="A40" s="7" t="s">
        <v>56</v>
      </c>
      <c r="B40" s="47">
        <f>SUM(B42:B53)</f>
        <v>0</v>
      </c>
      <c r="C40" s="47">
        <f t="shared" ref="C40:AC40" si="12">SUM(C42:C53)</f>
        <v>0</v>
      </c>
      <c r="D40" s="47">
        <f t="shared" si="12"/>
        <v>0</v>
      </c>
      <c r="E40" s="47">
        <f t="shared" si="12"/>
        <v>0</v>
      </c>
      <c r="F40" s="47">
        <f t="shared" si="12"/>
        <v>2544444.9879999999</v>
      </c>
      <c r="G40" s="47">
        <f t="shared" si="12"/>
        <v>0</v>
      </c>
      <c r="H40" s="47">
        <f t="shared" si="12"/>
        <v>0</v>
      </c>
      <c r="I40" s="47">
        <f t="shared" si="12"/>
        <v>2900762.9980000006</v>
      </c>
      <c r="J40" s="47">
        <f t="shared" si="12"/>
        <v>0</v>
      </c>
      <c r="K40" s="47">
        <f t="shared" si="12"/>
        <v>3119706.1309799999</v>
      </c>
      <c r="L40" s="47">
        <f t="shared" si="12"/>
        <v>3786808.8649999998</v>
      </c>
      <c r="M40" s="47">
        <f t="shared" si="12"/>
        <v>4293382.6869999999</v>
      </c>
      <c r="N40" s="47">
        <f t="shared" si="12"/>
        <v>4292901.0290000001</v>
      </c>
      <c r="O40" s="47">
        <f t="shared" si="12"/>
        <v>4613582.9799999995</v>
      </c>
      <c r="P40" s="47">
        <f t="shared" si="12"/>
        <v>4911272.6880000001</v>
      </c>
      <c r="Q40" s="47">
        <f t="shared" si="12"/>
        <v>5148622.2500000009</v>
      </c>
      <c r="R40" s="47">
        <f t="shared" si="12"/>
        <v>5344265.0309999995</v>
      </c>
      <c r="S40" s="47">
        <f t="shared" si="12"/>
        <v>5396913.3970000008</v>
      </c>
      <c r="T40" s="47">
        <f t="shared" si="12"/>
        <v>5921295.5330000008</v>
      </c>
      <c r="U40" s="47">
        <f t="shared" si="12"/>
        <v>6270834.0470000003</v>
      </c>
      <c r="V40" s="47">
        <f t="shared" si="12"/>
        <v>7284053.6379999993</v>
      </c>
      <c r="W40" s="47">
        <f t="shared" si="12"/>
        <v>7608817.307000001</v>
      </c>
      <c r="X40" s="47">
        <f t="shared" si="12"/>
        <v>7684026.9909999995</v>
      </c>
      <c r="Y40" s="47">
        <f t="shared" si="12"/>
        <v>7772857.5199999996</v>
      </c>
      <c r="Z40" s="47">
        <f t="shared" si="12"/>
        <v>7577869.3860000009</v>
      </c>
      <c r="AA40" s="47">
        <f t="shared" si="12"/>
        <v>7733846.0800000001</v>
      </c>
      <c r="AB40" s="47">
        <f t="shared" si="12"/>
        <v>7867788.6950000003</v>
      </c>
      <c r="AC40" s="47">
        <f t="shared" si="12"/>
        <v>8231111.4479999999</v>
      </c>
      <c r="AD40" s="47">
        <f t="shared" ref="AD40:AE40" si="13">SUM(AD42:AD53)</f>
        <v>0</v>
      </c>
      <c r="AE40" s="47">
        <f t="shared" si="13"/>
        <v>8740933.5000000019</v>
      </c>
    </row>
    <row r="41" spans="1:31">
      <c r="A41" s="7" t="s">
        <v>97</v>
      </c>
      <c r="X41" s="1">
        <v>0</v>
      </c>
      <c r="Y41" s="1">
        <v>0</v>
      </c>
      <c r="AB41" s="1">
        <v>0</v>
      </c>
      <c r="AC41" s="1">
        <v>0</v>
      </c>
    </row>
    <row r="42" spans="1:31">
      <c r="A42" s="1" t="s">
        <v>57</v>
      </c>
      <c r="F42" s="41">
        <v>329225.44400000002</v>
      </c>
      <c r="I42" s="1">
        <v>339818.59</v>
      </c>
      <c r="K42" s="1">
        <v>381801.23200000002</v>
      </c>
      <c r="L42" s="1">
        <v>476347.50099999999</v>
      </c>
      <c r="M42" s="1">
        <v>532359.35699999996</v>
      </c>
      <c r="N42" s="1">
        <v>553697.85</v>
      </c>
      <c r="O42" s="1">
        <v>602526.95400000003</v>
      </c>
      <c r="P42" s="1">
        <v>637107.75800000003</v>
      </c>
      <c r="Q42" s="1">
        <v>641211.02</v>
      </c>
      <c r="R42" s="1">
        <v>660379.69400000002</v>
      </c>
      <c r="S42" s="1">
        <v>662663.16399999999</v>
      </c>
      <c r="T42" s="1">
        <v>669025.04799999995</v>
      </c>
      <c r="U42" s="1">
        <v>736024.723</v>
      </c>
      <c r="V42" s="1">
        <v>876983.64800000004</v>
      </c>
      <c r="W42" s="1">
        <v>894956.31499999994</v>
      </c>
      <c r="X42" s="1">
        <v>922890.20700000005</v>
      </c>
      <c r="Y42" s="1">
        <v>957889.86</v>
      </c>
      <c r="Z42" s="1">
        <v>928243.29099999997</v>
      </c>
      <c r="AA42" s="1">
        <v>940151.83299999998</v>
      </c>
      <c r="AB42" s="1">
        <v>921133.16099999996</v>
      </c>
      <c r="AC42" s="1">
        <v>976922.46600000001</v>
      </c>
      <c r="AE42" s="1">
        <v>1011637.969</v>
      </c>
    </row>
    <row r="43" spans="1:31">
      <c r="A43" s="1" t="s">
        <v>58</v>
      </c>
      <c r="F43" s="41">
        <v>195199.136</v>
      </c>
      <c r="I43" s="1">
        <v>226661.299</v>
      </c>
      <c r="K43" s="1">
        <v>250158.29300000001</v>
      </c>
      <c r="L43" s="1">
        <v>294149.42099999997</v>
      </c>
      <c r="M43" s="1">
        <v>329603.06900000002</v>
      </c>
      <c r="N43" s="1">
        <v>328641.23499999999</v>
      </c>
      <c r="O43" s="1">
        <v>396850.85100000002</v>
      </c>
      <c r="P43" s="1">
        <v>423595.55699999997</v>
      </c>
      <c r="Q43" s="1">
        <v>454993.35600000003</v>
      </c>
      <c r="R43" s="1">
        <v>472504.31400000001</v>
      </c>
      <c r="S43" s="1">
        <v>431793.11599999998</v>
      </c>
      <c r="T43" s="1">
        <v>454076.48200000002</v>
      </c>
      <c r="U43" s="1">
        <v>481786.902</v>
      </c>
      <c r="V43" s="1">
        <v>545440.19900000002</v>
      </c>
      <c r="W43" s="1">
        <v>599054.86699999997</v>
      </c>
      <c r="X43" s="1">
        <v>591721.18299999996</v>
      </c>
      <c r="Y43" s="1">
        <v>590923.81499999994</v>
      </c>
      <c r="Z43" s="1">
        <v>582018.30299999996</v>
      </c>
      <c r="AA43" s="1">
        <v>567495.01</v>
      </c>
      <c r="AB43" s="1">
        <v>601440.84299999999</v>
      </c>
      <c r="AC43" s="1">
        <v>628581.71900000004</v>
      </c>
      <c r="AE43" s="1">
        <v>712994.152</v>
      </c>
    </row>
    <row r="44" spans="1:31">
      <c r="A44" s="1" t="s">
        <v>59</v>
      </c>
      <c r="F44" s="41">
        <v>191000.136</v>
      </c>
      <c r="I44" s="1">
        <v>239459.196</v>
      </c>
      <c r="K44" s="1">
        <v>254121.43</v>
      </c>
      <c r="L44" s="1">
        <v>303085.61200000002</v>
      </c>
      <c r="M44" s="1">
        <v>321020.02</v>
      </c>
      <c r="N44" s="1">
        <v>385531.033</v>
      </c>
      <c r="O44" s="1">
        <v>330361.66499999998</v>
      </c>
      <c r="P44" s="1">
        <v>371070.13400000002</v>
      </c>
      <c r="Q44" s="1">
        <v>381751.14500000002</v>
      </c>
      <c r="R44" s="1">
        <v>402259.245</v>
      </c>
      <c r="S44" s="1">
        <v>397901.951</v>
      </c>
      <c r="T44" s="1">
        <v>430734.22700000001</v>
      </c>
      <c r="U44" s="1">
        <v>455533.06300000002</v>
      </c>
      <c r="V44" s="1">
        <v>556111.77500000002</v>
      </c>
      <c r="W44" s="1">
        <v>568584.75600000005</v>
      </c>
      <c r="X44" s="1">
        <v>537237.36199999996</v>
      </c>
      <c r="Y44" s="1">
        <v>544540.92299999995</v>
      </c>
      <c r="Z44" s="1">
        <v>554849.723</v>
      </c>
      <c r="AA44" s="1">
        <v>552173.94299999997</v>
      </c>
      <c r="AB44" s="1">
        <v>592453.30200000003</v>
      </c>
      <c r="AC44" s="1">
        <v>617215.821</v>
      </c>
      <c r="AE44" s="1">
        <v>613376.81799999997</v>
      </c>
    </row>
    <row r="45" spans="1:31">
      <c r="A45" s="1" t="s">
        <v>60</v>
      </c>
      <c r="F45" s="41">
        <v>128330.245</v>
      </c>
      <c r="I45" s="1">
        <v>163328.842</v>
      </c>
      <c r="K45" s="1">
        <v>180134.13640000002</v>
      </c>
      <c r="L45" s="1">
        <v>253277.79199999999</v>
      </c>
      <c r="M45" s="1">
        <v>280802.304</v>
      </c>
      <c r="N45" s="1">
        <v>245152.22200000001</v>
      </c>
      <c r="O45" s="1">
        <v>261903.40100000001</v>
      </c>
      <c r="P45" s="1">
        <v>290319.99699999997</v>
      </c>
      <c r="Q45" s="1">
        <v>314993.88199999998</v>
      </c>
      <c r="R45" s="1">
        <v>324379.88199999998</v>
      </c>
      <c r="S45" s="1">
        <v>318781.451</v>
      </c>
      <c r="T45" s="1">
        <v>340236.64500000002</v>
      </c>
      <c r="U45" s="1">
        <v>363889.31599999999</v>
      </c>
      <c r="V45" s="1">
        <v>460850.3</v>
      </c>
      <c r="W45" s="1">
        <v>482989.55800000002</v>
      </c>
      <c r="X45" s="1">
        <v>519956.29</v>
      </c>
      <c r="Y45" s="1">
        <v>529767.97600000002</v>
      </c>
      <c r="Z45" s="1">
        <v>521152.908</v>
      </c>
      <c r="AA45" s="1">
        <v>518495.77399999998</v>
      </c>
      <c r="AB45" s="1">
        <v>522736.951</v>
      </c>
      <c r="AC45" s="1">
        <v>530419.446</v>
      </c>
      <c r="AE45" s="1">
        <v>627206.88500000001</v>
      </c>
    </row>
    <row r="46" spans="1:31">
      <c r="A46" s="1" t="s">
        <v>61</v>
      </c>
      <c r="F46" s="41">
        <v>505132.40500000003</v>
      </c>
      <c r="I46" s="1">
        <v>582322.61499999999</v>
      </c>
      <c r="K46" s="1">
        <v>637397.45799999998</v>
      </c>
      <c r="L46" s="1">
        <v>731727.44200000004</v>
      </c>
      <c r="M46" s="1">
        <v>801945.83100000001</v>
      </c>
      <c r="N46" s="1">
        <v>844383.22400000005</v>
      </c>
      <c r="O46" s="1">
        <v>933435.26199999999</v>
      </c>
      <c r="P46" s="1">
        <v>944905.19299999997</v>
      </c>
      <c r="Q46" s="1">
        <v>987349.96799999999</v>
      </c>
      <c r="R46" s="1">
        <v>999395.85699999996</v>
      </c>
      <c r="S46" s="1">
        <v>1023259.333</v>
      </c>
      <c r="T46" s="1">
        <v>1281857.889</v>
      </c>
      <c r="U46" s="1">
        <v>1314024.675</v>
      </c>
      <c r="V46" s="1">
        <v>1400104.4369999999</v>
      </c>
      <c r="W46" s="1">
        <v>1503290.578</v>
      </c>
      <c r="X46" s="1">
        <v>1521970.6359999999</v>
      </c>
      <c r="Y46" s="1">
        <v>1561196.9650000001</v>
      </c>
      <c r="Z46" s="1">
        <v>1501654.2409999999</v>
      </c>
      <c r="AA46" s="1">
        <v>1501242.862</v>
      </c>
      <c r="AB46" s="1">
        <v>1519752.7760000001</v>
      </c>
      <c r="AC46" s="1">
        <v>1621253.9110000001</v>
      </c>
      <c r="AE46" s="1">
        <v>1754442.656</v>
      </c>
    </row>
    <row r="47" spans="1:31">
      <c r="A47" s="1" t="s">
        <v>62</v>
      </c>
      <c r="F47" s="41">
        <v>283574.96100000001</v>
      </c>
      <c r="I47" s="1">
        <v>312156.24300000002</v>
      </c>
      <c r="K47" s="1">
        <v>319827.147</v>
      </c>
      <c r="L47" s="1">
        <v>377387.96100000001</v>
      </c>
      <c r="M47" s="1">
        <v>363532.77600000001</v>
      </c>
      <c r="N47" s="1">
        <v>405499.95400000003</v>
      </c>
      <c r="O47" s="1">
        <v>416842.26299999998</v>
      </c>
      <c r="P47" s="1">
        <v>426860.20799999998</v>
      </c>
      <c r="Q47" s="1">
        <v>469471.51799999998</v>
      </c>
      <c r="R47" s="1">
        <v>483917.83</v>
      </c>
      <c r="S47" s="1">
        <v>519692.609</v>
      </c>
      <c r="T47" s="1">
        <v>573594.25100000005</v>
      </c>
      <c r="U47" s="1">
        <v>700581.005</v>
      </c>
      <c r="V47" s="1">
        <v>762657.71200000006</v>
      </c>
      <c r="W47" s="1">
        <v>763803.98600000003</v>
      </c>
      <c r="X47" s="1">
        <v>772160.54599999997</v>
      </c>
      <c r="Y47" s="1">
        <v>799567.33100000001</v>
      </c>
      <c r="Z47" s="1">
        <v>827839.76199999999</v>
      </c>
      <c r="AA47" s="1">
        <v>852140.32900000003</v>
      </c>
      <c r="AB47" s="1">
        <v>847006.35699999996</v>
      </c>
      <c r="AC47" s="1">
        <v>876833.69400000002</v>
      </c>
      <c r="AE47" s="1">
        <v>925915.39199999999</v>
      </c>
    </row>
    <row r="48" spans="1:31">
      <c r="A48" s="1" t="s">
        <v>63</v>
      </c>
      <c r="F48" s="41">
        <v>107414.38</v>
      </c>
      <c r="I48" s="1">
        <v>126678.272</v>
      </c>
      <c r="K48" s="1">
        <v>137553.42000000001</v>
      </c>
      <c r="L48" s="1">
        <v>168006.66800000001</v>
      </c>
      <c r="M48" s="1">
        <v>351651.83</v>
      </c>
      <c r="N48" s="1">
        <v>179372.326</v>
      </c>
      <c r="O48" s="1">
        <v>184783.269</v>
      </c>
      <c r="P48" s="1">
        <v>213995.31299999999</v>
      </c>
      <c r="Q48" s="1">
        <v>215195.802</v>
      </c>
      <c r="R48" s="1">
        <v>227049.465</v>
      </c>
      <c r="S48" s="1">
        <v>227457.70800000001</v>
      </c>
      <c r="T48" s="1">
        <v>253799.174</v>
      </c>
      <c r="U48" s="1">
        <v>260740.03700000001</v>
      </c>
      <c r="V48" s="1">
        <v>268150.75400000002</v>
      </c>
      <c r="W48" s="1">
        <v>262127.16</v>
      </c>
      <c r="X48" s="1">
        <v>251622.98</v>
      </c>
      <c r="Y48" s="1">
        <v>251407.24299999999</v>
      </c>
      <c r="Z48" s="1">
        <v>244163.71100000001</v>
      </c>
      <c r="AA48" s="1">
        <v>237733.77600000001</v>
      </c>
      <c r="AB48" s="1">
        <v>236331.766</v>
      </c>
      <c r="AC48" s="1">
        <v>236338.79500000001</v>
      </c>
      <c r="AE48" s="1">
        <v>240210.587</v>
      </c>
    </row>
    <row r="49" spans="1:31">
      <c r="A49" s="1" t="s">
        <v>64</v>
      </c>
      <c r="F49" s="41">
        <v>94850.816000000006</v>
      </c>
      <c r="I49" s="1">
        <v>109190.435</v>
      </c>
      <c r="K49" s="1">
        <v>114646.61</v>
      </c>
      <c r="L49" s="1">
        <v>131004.24400000001</v>
      </c>
      <c r="M49" s="1">
        <v>143504.34599999999</v>
      </c>
      <c r="N49" s="1">
        <v>158530.06099999999</v>
      </c>
      <c r="O49" s="1">
        <v>176059.747</v>
      </c>
      <c r="P49" s="1">
        <v>196251.32199999999</v>
      </c>
      <c r="Q49" s="1">
        <v>206751.139</v>
      </c>
      <c r="R49" s="1">
        <v>217868.198</v>
      </c>
      <c r="S49" s="1">
        <v>228012.541</v>
      </c>
      <c r="T49" s="1">
        <v>228137.342</v>
      </c>
      <c r="U49" s="1">
        <v>155019.128</v>
      </c>
      <c r="V49" s="1">
        <v>301264.16499999998</v>
      </c>
      <c r="W49" s="1">
        <v>322194.24099999998</v>
      </c>
      <c r="X49" s="1">
        <v>321784.67300000001</v>
      </c>
      <c r="Y49" s="1">
        <v>327830.43800000002</v>
      </c>
      <c r="Z49" s="1">
        <v>334323.48700000002</v>
      </c>
      <c r="AA49" s="1">
        <v>345887.94</v>
      </c>
      <c r="AB49" s="1">
        <v>345779.86700000003</v>
      </c>
      <c r="AC49" s="1">
        <v>368310.609</v>
      </c>
      <c r="AE49" s="1">
        <v>439449.98</v>
      </c>
    </row>
    <row r="50" spans="1:31">
      <c r="A50" s="1" t="s">
        <v>65</v>
      </c>
      <c r="F50" s="41">
        <v>49836.455999999998</v>
      </c>
      <c r="I50" s="1">
        <v>55590.961000000003</v>
      </c>
      <c r="K50" s="1">
        <v>58361.474999999999</v>
      </c>
      <c r="L50" s="1">
        <v>60501.843999999997</v>
      </c>
      <c r="M50" s="1">
        <v>67560.519</v>
      </c>
      <c r="N50" s="1">
        <v>74845.615999999995</v>
      </c>
      <c r="O50" s="1">
        <v>92013.373000000007</v>
      </c>
      <c r="P50" s="1">
        <v>101731.629</v>
      </c>
      <c r="Q50" s="1">
        <v>103508.962</v>
      </c>
      <c r="R50" s="1">
        <v>110040.519</v>
      </c>
      <c r="S50" s="1">
        <v>116690.59299999999</v>
      </c>
      <c r="T50" s="1">
        <v>123620.132</v>
      </c>
      <c r="U50" s="1">
        <v>132739.46799999999</v>
      </c>
      <c r="V50" s="1">
        <v>149288.19200000001</v>
      </c>
      <c r="W50" s="1">
        <v>159525.973</v>
      </c>
      <c r="X50" s="1">
        <v>169888.36799999999</v>
      </c>
      <c r="Y50" s="1">
        <v>157114.07399999999</v>
      </c>
      <c r="Z50" s="1">
        <v>155987.52299999999</v>
      </c>
      <c r="AA50" s="1">
        <v>157343.568</v>
      </c>
      <c r="AB50" s="1">
        <v>164659.02499999999</v>
      </c>
      <c r="AC50" s="1">
        <v>161971.65900000001</v>
      </c>
      <c r="AE50" s="1">
        <v>194126.25200000001</v>
      </c>
    </row>
    <row r="51" spans="1:31">
      <c r="A51" s="1" t="s">
        <v>66</v>
      </c>
      <c r="F51" s="41">
        <v>286339.13799999998</v>
      </c>
      <c r="I51" s="1">
        <v>319564.527</v>
      </c>
      <c r="K51" s="1">
        <v>346981.62599999999</v>
      </c>
      <c r="L51" s="1">
        <v>428972.45699999999</v>
      </c>
      <c r="M51" s="1">
        <v>487841.78100000002</v>
      </c>
      <c r="N51" s="1">
        <v>520468.56400000001</v>
      </c>
      <c r="O51" s="1">
        <v>565502.94299999997</v>
      </c>
      <c r="P51" s="1">
        <v>607014.61199999996</v>
      </c>
      <c r="Q51" s="1">
        <v>638988.02</v>
      </c>
      <c r="R51" s="1">
        <v>687351.46499999997</v>
      </c>
      <c r="S51" s="1">
        <v>696290.451</v>
      </c>
      <c r="T51" s="1">
        <v>745541.478</v>
      </c>
      <c r="U51" s="1">
        <v>798170.47199999995</v>
      </c>
      <c r="V51" s="1">
        <v>914926.25800000003</v>
      </c>
      <c r="W51" s="1">
        <v>955382.15099999995</v>
      </c>
      <c r="X51" s="1">
        <v>966867.79799999995</v>
      </c>
      <c r="Y51" s="1">
        <v>956845.05500000005</v>
      </c>
      <c r="Z51" s="1">
        <v>961322.17700000003</v>
      </c>
      <c r="AA51" s="1">
        <v>935433.92700000003</v>
      </c>
      <c r="AB51" s="1">
        <v>952535.20600000001</v>
      </c>
      <c r="AC51" s="1">
        <v>1021662.068</v>
      </c>
      <c r="AE51" s="1">
        <v>1006649.441</v>
      </c>
    </row>
    <row r="52" spans="1:31">
      <c r="A52" s="1" t="s">
        <v>67</v>
      </c>
      <c r="F52" s="41">
        <v>23264.330999999998</v>
      </c>
      <c r="I52" s="1">
        <v>25532.352999999999</v>
      </c>
      <c r="K52" s="1">
        <v>25543.208579999999</v>
      </c>
      <c r="L52" s="1">
        <v>31522.269</v>
      </c>
      <c r="M52" s="1">
        <v>34704.851999999999</v>
      </c>
      <c r="N52" s="1">
        <v>35689.942000000003</v>
      </c>
      <c r="O52" s="1">
        <v>43545.498</v>
      </c>
      <c r="P52" s="1">
        <v>47876.548999999999</v>
      </c>
      <c r="Q52" s="1">
        <v>51649.186999999998</v>
      </c>
      <c r="R52" s="1">
        <v>56437.557000000001</v>
      </c>
      <c r="S52" s="1">
        <v>56036.120999999999</v>
      </c>
      <c r="T52" s="1">
        <v>65819.614000000001</v>
      </c>
      <c r="U52" s="1">
        <v>73656.468999999997</v>
      </c>
      <c r="V52" s="1">
        <v>102768.16499999999</v>
      </c>
      <c r="W52" s="1">
        <v>105727.325</v>
      </c>
      <c r="X52" s="1">
        <v>102996.777</v>
      </c>
      <c r="Y52" s="1">
        <v>93452.686000000002</v>
      </c>
      <c r="Z52" s="1">
        <v>89318.178</v>
      </c>
      <c r="AA52" s="1">
        <v>88079.326000000001</v>
      </c>
      <c r="AB52" s="1">
        <v>91392.745999999999</v>
      </c>
      <c r="AC52" s="1">
        <v>94645.811000000002</v>
      </c>
      <c r="AE52" s="1">
        <v>97775.588000000003</v>
      </c>
    </row>
    <row r="53" spans="1:31">
      <c r="A53" s="23" t="s">
        <v>68</v>
      </c>
      <c r="B53" s="23"/>
      <c r="C53" s="23"/>
      <c r="D53" s="23"/>
      <c r="E53" s="23"/>
      <c r="F53" s="44">
        <v>350277.54</v>
      </c>
      <c r="G53" s="23"/>
      <c r="H53" s="23"/>
      <c r="I53" s="23">
        <v>400459.66499999998</v>
      </c>
      <c r="J53" s="23"/>
      <c r="K53" s="23">
        <v>413180.09499999997</v>
      </c>
      <c r="L53" s="23">
        <v>530825.65399999998</v>
      </c>
      <c r="M53" s="23">
        <v>578856.00199999998</v>
      </c>
      <c r="N53" s="23">
        <v>561089.00199999998</v>
      </c>
      <c r="O53" s="23">
        <v>609757.75399999996</v>
      </c>
      <c r="P53" s="23">
        <v>650544.41599999997</v>
      </c>
      <c r="Q53" s="23">
        <v>682758.25100000005</v>
      </c>
      <c r="R53" s="23">
        <v>702681.005</v>
      </c>
      <c r="S53" s="23">
        <v>718334.35900000005</v>
      </c>
      <c r="T53" s="23">
        <v>754853.25100000005</v>
      </c>
      <c r="U53" s="23">
        <v>798668.78899999999</v>
      </c>
      <c r="V53" s="23">
        <v>945508.03300000005</v>
      </c>
      <c r="W53" s="23">
        <v>991180.397</v>
      </c>
      <c r="X53" s="23">
        <v>1004930.171</v>
      </c>
      <c r="Y53" s="23">
        <v>1002321.154</v>
      </c>
      <c r="Z53" s="23">
        <v>876996.08200000005</v>
      </c>
      <c r="AA53" s="23">
        <v>1037667.792</v>
      </c>
      <c r="AB53" s="23">
        <v>1072566.6950000001</v>
      </c>
      <c r="AC53" s="23">
        <v>1096955.449</v>
      </c>
      <c r="AD53" s="23"/>
      <c r="AE53" s="23">
        <v>1117147.78</v>
      </c>
    </row>
    <row r="54" spans="1:31">
      <c r="A54" s="7" t="s">
        <v>69</v>
      </c>
      <c r="B54" s="47">
        <f>SUM(B56:B64)</f>
        <v>0</v>
      </c>
      <c r="C54" s="47">
        <f t="shared" ref="C54:AC54" si="14">SUM(C56:C64)</f>
        <v>0</v>
      </c>
      <c r="D54" s="47">
        <f t="shared" si="14"/>
        <v>0</v>
      </c>
      <c r="E54" s="47">
        <f t="shared" si="14"/>
        <v>0</v>
      </c>
      <c r="F54" s="47">
        <f t="shared" si="14"/>
        <v>1082753.3339999998</v>
      </c>
      <c r="G54" s="47">
        <f t="shared" si="14"/>
        <v>0</v>
      </c>
      <c r="H54" s="47">
        <f t="shared" si="14"/>
        <v>0</v>
      </c>
      <c r="I54" s="47">
        <f t="shared" si="14"/>
        <v>1285226.9659999998</v>
      </c>
      <c r="J54" s="47">
        <f t="shared" si="14"/>
        <v>0</v>
      </c>
      <c r="K54" s="47">
        <f t="shared" si="14"/>
        <v>1519397.2250000001</v>
      </c>
      <c r="L54" s="47">
        <f t="shared" si="14"/>
        <v>1721683.9010000001</v>
      </c>
      <c r="M54" s="47">
        <f t="shared" si="14"/>
        <v>1906561.0969999998</v>
      </c>
      <c r="N54" s="47">
        <f t="shared" si="14"/>
        <v>1695247.7790000001</v>
      </c>
      <c r="O54" s="47">
        <f t="shared" si="14"/>
        <v>1301409.395</v>
      </c>
      <c r="P54" s="47">
        <f t="shared" si="14"/>
        <v>1468789.7010000001</v>
      </c>
      <c r="Q54" s="47">
        <f t="shared" si="14"/>
        <v>1713462.656</v>
      </c>
      <c r="R54" s="47">
        <f t="shared" si="14"/>
        <v>1709080.3529999999</v>
      </c>
      <c r="S54" s="47">
        <f t="shared" si="14"/>
        <v>1752718.0489999999</v>
      </c>
      <c r="T54" s="47">
        <f t="shared" si="14"/>
        <v>1829791.7919999999</v>
      </c>
      <c r="U54" s="47">
        <f t="shared" si="14"/>
        <v>1640513.7350000001</v>
      </c>
      <c r="V54" s="47">
        <f t="shared" si="14"/>
        <v>2370639.682</v>
      </c>
      <c r="W54" s="47">
        <f t="shared" si="14"/>
        <v>2502107.4780000001</v>
      </c>
      <c r="X54" s="47">
        <f t="shared" si="14"/>
        <v>2517531.7260000003</v>
      </c>
      <c r="Y54" s="47">
        <f t="shared" si="14"/>
        <v>2391220.659</v>
      </c>
      <c r="Z54" s="47">
        <f t="shared" si="14"/>
        <v>2467697.86</v>
      </c>
      <c r="AA54" s="47">
        <f t="shared" si="14"/>
        <v>2607892.8450000002</v>
      </c>
      <c r="AB54" s="47">
        <f t="shared" si="14"/>
        <v>2700811.733</v>
      </c>
      <c r="AC54" s="47">
        <f t="shared" si="14"/>
        <v>2569803.432</v>
      </c>
      <c r="AD54" s="47">
        <f t="shared" ref="AD54:AE54" si="15">SUM(AD56:AD64)</f>
        <v>0</v>
      </c>
      <c r="AE54" s="47">
        <f t="shared" si="15"/>
        <v>2901995.3849999998</v>
      </c>
    </row>
    <row r="55" spans="1:31">
      <c r="A55" s="7" t="s">
        <v>97</v>
      </c>
      <c r="X55" s="1">
        <v>0</v>
      </c>
      <c r="Y55" s="1">
        <v>0</v>
      </c>
      <c r="AB55" s="1">
        <v>0</v>
      </c>
      <c r="AC55" s="1">
        <v>0</v>
      </c>
    </row>
    <row r="56" spans="1:31">
      <c r="A56" s="1" t="s">
        <v>70</v>
      </c>
      <c r="F56" s="41">
        <v>83026.646999999997</v>
      </c>
      <c r="I56" s="1">
        <v>101072.802</v>
      </c>
      <c r="K56" s="1">
        <v>91914.067999999999</v>
      </c>
      <c r="L56" s="1">
        <v>106054.988</v>
      </c>
      <c r="M56" s="1">
        <v>108102.795</v>
      </c>
      <c r="N56" s="1">
        <v>113785.008</v>
      </c>
      <c r="O56" s="1">
        <v>108681.673</v>
      </c>
      <c r="P56" s="1">
        <v>121958.855</v>
      </c>
      <c r="Q56" s="1">
        <v>129128.086</v>
      </c>
      <c r="R56" s="1">
        <v>119381.107</v>
      </c>
      <c r="S56" s="1">
        <v>125117.717</v>
      </c>
      <c r="T56" s="1">
        <v>142405.93400000001</v>
      </c>
      <c r="U56" s="1">
        <v>160919.65299999999</v>
      </c>
      <c r="V56" s="1">
        <v>169353.51500000001</v>
      </c>
      <c r="W56" s="1">
        <v>172926.579</v>
      </c>
      <c r="X56" s="1">
        <v>167885.53400000001</v>
      </c>
      <c r="Y56" s="1">
        <v>182982.58</v>
      </c>
      <c r="Z56" s="1">
        <v>183988.008</v>
      </c>
      <c r="AA56" s="1">
        <v>175406.152</v>
      </c>
      <c r="AB56" s="1">
        <v>183137.111</v>
      </c>
      <c r="AC56" s="1">
        <v>177695.603</v>
      </c>
      <c r="AE56" s="1">
        <v>189885.08300000001</v>
      </c>
    </row>
    <row r="57" spans="1:31">
      <c r="A57" s="1" t="s">
        <v>71</v>
      </c>
      <c r="F57" s="41">
        <v>23090.460999999999</v>
      </c>
      <c r="I57" s="1">
        <v>29750.280999999999</v>
      </c>
      <c r="K57" s="1">
        <v>30036.249</v>
      </c>
      <c r="L57" s="1">
        <v>46852.608</v>
      </c>
      <c r="M57" s="1">
        <v>55601.446000000004</v>
      </c>
      <c r="N57" s="1">
        <v>57185.021000000001</v>
      </c>
      <c r="O57" s="1">
        <v>63344.646000000001</v>
      </c>
      <c r="P57" s="1">
        <v>72280.37</v>
      </c>
      <c r="Q57" s="1">
        <v>73307.907000000007</v>
      </c>
      <c r="R57" s="1">
        <v>71805.165999999997</v>
      </c>
      <c r="S57" s="1">
        <v>71527.061000000002</v>
      </c>
      <c r="T57" s="1">
        <v>75127.146999999997</v>
      </c>
      <c r="U57" s="1">
        <v>73245.724000000002</v>
      </c>
      <c r="V57" s="1">
        <v>84611.466</v>
      </c>
      <c r="W57" s="1">
        <v>89882.273000000001</v>
      </c>
      <c r="X57" s="1">
        <v>83195.652000000002</v>
      </c>
      <c r="Y57" s="1">
        <v>79230.054999999993</v>
      </c>
      <c r="Z57" s="1">
        <v>83282.978000000003</v>
      </c>
      <c r="AA57" s="1">
        <v>76122.822</v>
      </c>
      <c r="AB57" s="1">
        <v>78356.350999999995</v>
      </c>
      <c r="AC57" s="1">
        <v>86594.373000000007</v>
      </c>
      <c r="AE57" s="1">
        <v>93178.145000000004</v>
      </c>
    </row>
    <row r="58" spans="1:31" s="11" customFormat="1">
      <c r="A58" s="1" t="s">
        <v>72</v>
      </c>
      <c r="B58" s="1"/>
      <c r="C58" s="1"/>
      <c r="D58" s="1"/>
      <c r="E58" s="1"/>
      <c r="F58" s="41">
        <v>119804.572</v>
      </c>
      <c r="G58" s="1"/>
      <c r="H58" s="1"/>
      <c r="I58" s="1">
        <v>135421.53</v>
      </c>
      <c r="J58" s="1"/>
      <c r="K58" s="1">
        <v>151842.16699999999</v>
      </c>
      <c r="L58" s="1">
        <v>191826.13200000001</v>
      </c>
      <c r="M58" s="1">
        <v>214284.09</v>
      </c>
      <c r="N58" s="1">
        <v>243266.62100000001</v>
      </c>
      <c r="O58" s="1">
        <v>274418.022</v>
      </c>
      <c r="P58" s="1">
        <v>283207.31599999999</v>
      </c>
      <c r="Q58" s="1">
        <v>301553.78000000003</v>
      </c>
      <c r="R58" s="1">
        <v>316207.47399999999</v>
      </c>
      <c r="S58" s="1">
        <v>320112.79599999997</v>
      </c>
      <c r="T58" s="1">
        <v>342925.467</v>
      </c>
      <c r="U58" s="1">
        <v>180593.269</v>
      </c>
      <c r="V58" s="1">
        <v>468639.44400000002</v>
      </c>
      <c r="W58" s="1">
        <v>485937.99800000002</v>
      </c>
      <c r="X58" s="1">
        <v>484377.29599999997</v>
      </c>
      <c r="Y58" s="1">
        <v>478296.99699999997</v>
      </c>
      <c r="Z58" s="1">
        <v>478893.13900000002</v>
      </c>
      <c r="AA58" s="1">
        <v>517112.41600000003</v>
      </c>
      <c r="AB58" s="1">
        <v>510306.19699999999</v>
      </c>
      <c r="AC58" s="1">
        <v>527534.85699999996</v>
      </c>
      <c r="AD58" s="1"/>
      <c r="AE58" s="1">
        <v>576083.93299999996</v>
      </c>
    </row>
    <row r="59" spans="1:31">
      <c r="A59" s="1" t="s">
        <v>73</v>
      </c>
      <c r="F59" s="41">
        <v>40925.197</v>
      </c>
      <c r="I59" s="1">
        <v>44837.406000000003</v>
      </c>
      <c r="K59" s="1">
        <v>50124.805999999997</v>
      </c>
      <c r="L59" s="1">
        <v>67694.911999999997</v>
      </c>
      <c r="M59" s="1">
        <v>75736.039000000004</v>
      </c>
      <c r="N59" s="1">
        <v>78228.668000000005</v>
      </c>
      <c r="O59" s="1">
        <v>86298.994000000006</v>
      </c>
      <c r="P59" s="1">
        <v>97291.535999999993</v>
      </c>
      <c r="Q59" s="1">
        <v>92911.695999999996</v>
      </c>
      <c r="R59" s="1">
        <v>103090.90399999999</v>
      </c>
      <c r="S59" s="1">
        <v>102716.943</v>
      </c>
      <c r="T59" s="1">
        <v>111869.476</v>
      </c>
      <c r="U59" s="1">
        <v>111768.372</v>
      </c>
      <c r="V59" s="1">
        <v>117240.48</v>
      </c>
      <c r="W59" s="1">
        <v>141667.83199999999</v>
      </c>
      <c r="X59" s="1">
        <v>153128.56200000001</v>
      </c>
      <c r="Y59" s="1">
        <v>138980.261</v>
      </c>
      <c r="Z59" s="1">
        <v>124722.412</v>
      </c>
      <c r="AA59" s="1">
        <v>125887.56</v>
      </c>
      <c r="AB59" s="1">
        <v>123060.19899999999</v>
      </c>
      <c r="AC59" s="1">
        <v>121897.167</v>
      </c>
      <c r="AE59" s="1">
        <v>126843.442</v>
      </c>
    </row>
    <row r="60" spans="1:31">
      <c r="A60" s="1" t="s">
        <v>74</v>
      </c>
      <c r="F60" s="41">
        <v>79331.442999999999</v>
      </c>
      <c r="I60" s="1">
        <v>98787.332999999999</v>
      </c>
      <c r="K60" s="1">
        <v>245198.55499999999</v>
      </c>
      <c r="L60" s="1">
        <v>142626.91500000001</v>
      </c>
      <c r="M60" s="1">
        <v>178323.13200000001</v>
      </c>
      <c r="N60" s="1">
        <v>190323.30799999999</v>
      </c>
      <c r="O60" s="1">
        <v>216017.31099999999</v>
      </c>
      <c r="P60" s="1">
        <v>242243.42600000001</v>
      </c>
      <c r="Q60" s="1">
        <v>488203.609</v>
      </c>
      <c r="R60" s="1">
        <v>494729.59899999999</v>
      </c>
      <c r="S60" s="1">
        <v>490934.18900000001</v>
      </c>
      <c r="T60" s="1">
        <v>534780.64199999999</v>
      </c>
      <c r="U60" s="1">
        <v>392062.64199999999</v>
      </c>
      <c r="V60" s="1">
        <v>628891.95499999996</v>
      </c>
      <c r="W60" s="1">
        <v>644931.16</v>
      </c>
      <c r="X60" s="1">
        <v>647360.74399999995</v>
      </c>
      <c r="Y60" s="1">
        <v>484237.20899999997</v>
      </c>
      <c r="Z60" s="1">
        <v>626632.16700000002</v>
      </c>
      <c r="AA60" s="1">
        <v>773491.451</v>
      </c>
      <c r="AB60" s="1">
        <v>743504.51399999997</v>
      </c>
      <c r="AC60" s="1">
        <v>644319.90099999995</v>
      </c>
      <c r="AE60" s="1">
        <v>787548.17599999998</v>
      </c>
    </row>
    <row r="61" spans="1:31">
      <c r="A61" s="1" t="s">
        <v>75</v>
      </c>
      <c r="F61" s="41">
        <v>293519.95500000002</v>
      </c>
      <c r="I61" s="1">
        <v>342903.29700000002</v>
      </c>
      <c r="K61" s="1">
        <v>394498.30699999997</v>
      </c>
      <c r="L61" s="1">
        <v>402438.09700000001</v>
      </c>
      <c r="M61" s="1">
        <v>475771.47700000001</v>
      </c>
      <c r="N61" s="1">
        <v>542244.62800000003</v>
      </c>
      <c r="O61" s="1">
        <v>435162.77399999998</v>
      </c>
      <c r="P61" s="1">
        <v>503935.44799999997</v>
      </c>
      <c r="Q61" s="1">
        <v>480969.28499999997</v>
      </c>
      <c r="R61" s="1">
        <v>446363.48700000002</v>
      </c>
      <c r="S61" s="1">
        <v>483116.86599999998</v>
      </c>
      <c r="T61" s="1">
        <v>455984.55800000002</v>
      </c>
      <c r="U61" s="1">
        <v>543542.40300000005</v>
      </c>
      <c r="V61" s="1">
        <v>678776.98400000005</v>
      </c>
      <c r="W61" s="1">
        <v>747585.65300000005</v>
      </c>
      <c r="X61" s="1">
        <v>759664.696</v>
      </c>
      <c r="Y61" s="1">
        <v>813420.69400000002</v>
      </c>
      <c r="Z61" s="1">
        <v>763137.34900000005</v>
      </c>
      <c r="AA61" s="1">
        <v>734336.04399999999</v>
      </c>
      <c r="AB61" s="1">
        <v>850107.13100000005</v>
      </c>
      <c r="AC61" s="1">
        <v>796528.75</v>
      </c>
      <c r="AE61" s="1">
        <v>893469.86800000002</v>
      </c>
    </row>
    <row r="62" spans="1:31">
      <c r="A62" s="1" t="s">
        <v>76</v>
      </c>
      <c r="F62" s="41">
        <v>374223.83199999999</v>
      </c>
      <c r="I62" s="1">
        <v>456230.94400000002</v>
      </c>
      <c r="K62" s="1">
        <v>473897.087</v>
      </c>
      <c r="L62" s="1">
        <v>668888.02</v>
      </c>
      <c r="M62" s="1">
        <v>688186.58900000004</v>
      </c>
      <c r="N62" s="1">
        <v>350047.25699999998</v>
      </c>
      <c r="O62" s="1">
        <v>6704.1239999999998</v>
      </c>
      <c r="P62" s="1">
        <v>8211.5360000000001</v>
      </c>
      <c r="Q62" s="1">
        <v>3955.9789999999998</v>
      </c>
      <c r="R62" s="1">
        <v>4751.1570000000002</v>
      </c>
      <c r="S62" s="1">
        <v>5913.9369999999999</v>
      </c>
      <c r="T62" s="1">
        <v>6498.741</v>
      </c>
      <c r="U62" s="1">
        <v>7296.4179999999997</v>
      </c>
      <c r="V62" s="1">
        <v>8473.15</v>
      </c>
      <c r="W62" s="1">
        <v>8484.9609999999993</v>
      </c>
      <c r="X62" s="1">
        <v>7885.7139999999999</v>
      </c>
      <c r="Y62" s="1">
        <v>6489.2030000000004</v>
      </c>
      <c r="Z62" s="1">
        <v>6149.9139999999998</v>
      </c>
      <c r="AA62" s="1">
        <v>6858.2039999999997</v>
      </c>
      <c r="AB62" s="1">
        <v>7477.6469999999999</v>
      </c>
      <c r="AC62" s="1">
        <v>7543.2979999999998</v>
      </c>
      <c r="AE62" s="1">
        <v>9032.7729999999992</v>
      </c>
    </row>
    <row r="63" spans="1:31">
      <c r="A63" s="1" t="s">
        <v>77</v>
      </c>
      <c r="F63" s="41">
        <v>33751.362999999998</v>
      </c>
      <c r="I63" s="1">
        <v>37578.919000000002</v>
      </c>
      <c r="K63" s="1">
        <v>39258.284</v>
      </c>
      <c r="L63" s="1">
        <v>49667.127999999997</v>
      </c>
      <c r="M63" s="1">
        <v>55743.599000000002</v>
      </c>
      <c r="N63" s="1">
        <v>53823.923000000003</v>
      </c>
      <c r="O63" s="1">
        <v>63322.794999999998</v>
      </c>
      <c r="P63" s="1">
        <v>57443.553</v>
      </c>
      <c r="Q63" s="1">
        <v>61588.646999999997</v>
      </c>
      <c r="R63" s="1">
        <v>66178.872000000003</v>
      </c>
      <c r="S63" s="1">
        <v>72241.543000000005</v>
      </c>
      <c r="T63" s="1">
        <v>72157.447</v>
      </c>
      <c r="U63" s="1">
        <v>76233.039999999994</v>
      </c>
      <c r="V63" s="1">
        <v>101031.364</v>
      </c>
      <c r="W63" s="1">
        <v>96592.043999999994</v>
      </c>
      <c r="X63" s="1">
        <v>113396.019</v>
      </c>
      <c r="Y63" s="1">
        <v>109188.973</v>
      </c>
      <c r="Z63" s="1">
        <v>106695.015</v>
      </c>
      <c r="AA63" s="1">
        <v>99581.316999999995</v>
      </c>
      <c r="AB63" s="1">
        <v>104084.762</v>
      </c>
      <c r="AC63" s="1">
        <v>106616.845</v>
      </c>
      <c r="AE63" s="1">
        <v>116323.071</v>
      </c>
    </row>
    <row r="64" spans="1:31">
      <c r="A64" s="23" t="s">
        <v>78</v>
      </c>
      <c r="B64" s="23"/>
      <c r="C64" s="23"/>
      <c r="D64" s="23"/>
      <c r="E64" s="23"/>
      <c r="F64" s="44">
        <v>35079.864000000001</v>
      </c>
      <c r="G64" s="23"/>
      <c r="H64" s="23"/>
      <c r="I64" s="23">
        <v>38644.453999999998</v>
      </c>
      <c r="J64" s="23"/>
      <c r="K64" s="23">
        <v>42627.701999999997</v>
      </c>
      <c r="L64" s="23">
        <v>45635.101000000002</v>
      </c>
      <c r="M64" s="23">
        <v>54811.93</v>
      </c>
      <c r="N64" s="23">
        <v>66343.345000000001</v>
      </c>
      <c r="O64" s="23">
        <v>47459.055999999997</v>
      </c>
      <c r="P64" s="23">
        <v>82217.660999999993</v>
      </c>
      <c r="Q64" s="23">
        <v>81843.667000000001</v>
      </c>
      <c r="R64" s="23">
        <v>86572.587</v>
      </c>
      <c r="S64" s="23">
        <v>81036.997000000003</v>
      </c>
      <c r="T64" s="23">
        <v>88042.38</v>
      </c>
      <c r="U64" s="23">
        <v>94852.214000000007</v>
      </c>
      <c r="V64" s="23">
        <v>113621.32399999999</v>
      </c>
      <c r="W64" s="23">
        <v>114098.978</v>
      </c>
      <c r="X64" s="23">
        <v>100637.50900000001</v>
      </c>
      <c r="Y64" s="23">
        <v>98394.687000000005</v>
      </c>
      <c r="Z64" s="23">
        <v>94196.877999999997</v>
      </c>
      <c r="AA64" s="23">
        <v>99096.879000000001</v>
      </c>
      <c r="AB64" s="23">
        <v>100777.821</v>
      </c>
      <c r="AC64" s="23">
        <v>101072.63800000001</v>
      </c>
      <c r="AD64" s="23"/>
      <c r="AE64" s="23">
        <v>109630.894</v>
      </c>
    </row>
    <row r="65" spans="1:31">
      <c r="A65" s="45" t="s">
        <v>79</v>
      </c>
      <c r="B65" s="45"/>
      <c r="C65" s="45"/>
      <c r="D65" s="45"/>
      <c r="E65" s="45"/>
      <c r="F65" s="46">
        <v>6297.0330000000004</v>
      </c>
      <c r="G65" s="45"/>
      <c r="H65" s="45"/>
      <c r="I65" s="45">
        <v>5058.6490000000003</v>
      </c>
      <c r="J65" s="45"/>
      <c r="K65" s="45">
        <v>5572.2491600000003</v>
      </c>
      <c r="L65" s="45">
        <v>2169.547</v>
      </c>
      <c r="M65" s="45">
        <v>2627.3220000000001</v>
      </c>
      <c r="N65" s="45">
        <v>3739.8780000000002</v>
      </c>
      <c r="O65" s="45">
        <v>3599.1559999999999</v>
      </c>
      <c r="P65" s="45">
        <v>2859.1750000000002</v>
      </c>
      <c r="Q65" s="45">
        <v>3863.7660000000001</v>
      </c>
      <c r="R65" s="45">
        <v>4239.1689999999999</v>
      </c>
      <c r="S65" s="45">
        <v>3611.4250000000002</v>
      </c>
      <c r="T65" s="45">
        <v>5129.3760000000002</v>
      </c>
      <c r="U65" s="45">
        <v>5439.7610000000004</v>
      </c>
      <c r="V65" s="45">
        <v>5306</v>
      </c>
      <c r="W65" s="45">
        <v>6993.4780000000001</v>
      </c>
      <c r="X65" s="23">
        <v>7554.7470000000003</v>
      </c>
      <c r="Y65" s="23">
        <v>6545.1790000000001</v>
      </c>
      <c r="Z65" s="23">
        <v>4649.3950000000004</v>
      </c>
      <c r="AA65" s="23">
        <v>4909.9970000000003</v>
      </c>
      <c r="AB65" s="23">
        <v>5691.3710000000001</v>
      </c>
      <c r="AC65" s="23">
        <v>5405.1779999999999</v>
      </c>
      <c r="AD65" s="23"/>
      <c r="AE65" s="23">
        <v>5051.2190000000001</v>
      </c>
    </row>
    <row r="67" spans="1:31">
      <c r="I67" s="19" t="s">
        <v>99</v>
      </c>
      <c r="J67" s="19" t="s">
        <v>100</v>
      </c>
      <c r="L67" s="1" t="s">
        <v>101</v>
      </c>
      <c r="O67" s="1" t="s">
        <v>99</v>
      </c>
      <c r="P67" s="1" t="s">
        <v>99</v>
      </c>
      <c r="Q67" s="1" t="s">
        <v>99</v>
      </c>
      <c r="R67" s="1" t="s">
        <v>99</v>
      </c>
    </row>
    <row r="68" spans="1:31">
      <c r="I68" s="1" t="s">
        <v>102</v>
      </c>
      <c r="J68" s="1" t="s">
        <v>103</v>
      </c>
      <c r="L68" s="1" t="s">
        <v>104</v>
      </c>
      <c r="O68" s="1" t="s">
        <v>102</v>
      </c>
      <c r="P68" s="1" t="s">
        <v>102</v>
      </c>
      <c r="Q68" s="1" t="s">
        <v>102</v>
      </c>
      <c r="R68" s="1" t="s">
        <v>102</v>
      </c>
    </row>
    <row r="69" spans="1:31">
      <c r="I69" s="1" t="s">
        <v>105</v>
      </c>
      <c r="J69" s="1" t="s">
        <v>106</v>
      </c>
      <c r="O69" s="1" t="s">
        <v>105</v>
      </c>
      <c r="P69" s="1" t="s">
        <v>105</v>
      </c>
      <c r="Q69" s="1" t="s">
        <v>105</v>
      </c>
      <c r="R69" s="1" t="s">
        <v>105</v>
      </c>
    </row>
    <row r="70" spans="1:31">
      <c r="J70" s="1" t="s">
        <v>107</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4">
    <tabColor indexed="62"/>
  </sheetPr>
  <dimension ref="A1:AE70"/>
  <sheetViews>
    <sheetView showZeros="0" zoomScale="80" zoomScaleNormal="80" workbookViewId="0">
      <pane xSplit="1" ySplit="5" topLeftCell="Q27" activePane="bottomRight" state="frozen"/>
      <selection pane="topRight" activeCell="B52" sqref="B52"/>
      <selection pane="bottomLeft" activeCell="B52" sqref="B52"/>
      <selection pane="bottomRight" activeCell="Y41" sqref="Y41"/>
    </sheetView>
  </sheetViews>
  <sheetFormatPr defaultColWidth="9.85546875" defaultRowHeight="12.75"/>
  <cols>
    <col min="1" max="1" width="23.42578125" style="43" customWidth="1"/>
    <col min="2" max="23" width="12.42578125" style="1" customWidth="1"/>
    <col min="24" max="29" width="11.85546875" style="1" customWidth="1"/>
    <col min="30" max="31" width="12.42578125" style="1" customWidth="1"/>
    <col min="32" max="37" width="11.85546875" style="1" customWidth="1"/>
    <col min="38" max="16384" width="9.85546875" style="1"/>
  </cols>
  <sheetData>
    <row r="1" spans="1:31">
      <c r="A1" s="7" t="s">
        <v>94</v>
      </c>
      <c r="B1"/>
      <c r="C1"/>
      <c r="D1"/>
      <c r="E1"/>
      <c r="F1"/>
      <c r="G1"/>
      <c r="H1"/>
      <c r="I1"/>
      <c r="J1"/>
      <c r="K1"/>
      <c r="L1"/>
      <c r="M1"/>
      <c r="N1"/>
      <c r="O1"/>
      <c r="P1"/>
      <c r="Q1"/>
      <c r="R1"/>
      <c r="S1"/>
      <c r="T1"/>
      <c r="U1"/>
      <c r="V1"/>
      <c r="W1"/>
      <c r="AB1" s="1">
        <v>1000</v>
      </c>
    </row>
    <row r="2" spans="1:31">
      <c r="A2" s="7"/>
      <c r="B2" s="9"/>
      <c r="C2" s="9"/>
      <c r="D2" s="9"/>
      <c r="E2" s="9"/>
    </row>
    <row r="3" spans="1:31">
      <c r="A3" s="7" t="s">
        <v>129</v>
      </c>
      <c r="B3" s="9"/>
      <c r="C3" s="9"/>
      <c r="D3" s="9"/>
      <c r="E3" s="9"/>
    </row>
    <row r="4" spans="1:31" s="32" customFormat="1">
      <c r="B4" s="32">
        <v>1984</v>
      </c>
      <c r="C4" s="32">
        <v>1985</v>
      </c>
      <c r="D4" s="32">
        <v>1986</v>
      </c>
      <c r="E4" s="32">
        <v>1991</v>
      </c>
      <c r="F4" s="32">
        <v>1992</v>
      </c>
      <c r="G4" s="32">
        <v>1993</v>
      </c>
      <c r="H4" s="32">
        <v>1994</v>
      </c>
      <c r="I4" s="32">
        <v>1995</v>
      </c>
      <c r="J4" s="32">
        <v>1996</v>
      </c>
      <c r="K4" s="32">
        <v>1997</v>
      </c>
      <c r="L4" s="32">
        <v>2000</v>
      </c>
      <c r="M4" s="39">
        <v>2001</v>
      </c>
      <c r="N4" s="39">
        <v>2002</v>
      </c>
      <c r="O4" s="39">
        <v>2003</v>
      </c>
      <c r="P4" s="39">
        <v>2004</v>
      </c>
      <c r="Q4" s="39">
        <v>2005</v>
      </c>
      <c r="R4" s="39">
        <v>2006</v>
      </c>
      <c r="S4" s="39">
        <v>2007</v>
      </c>
      <c r="T4" s="39">
        <v>2008</v>
      </c>
      <c r="U4" s="39">
        <v>2009</v>
      </c>
      <c r="V4" s="39">
        <v>2010</v>
      </c>
      <c r="W4" s="39">
        <v>2011</v>
      </c>
      <c r="X4" s="32" t="s">
        <v>111</v>
      </c>
      <c r="Y4" s="32" t="s">
        <v>112</v>
      </c>
      <c r="Z4" s="32" t="s">
        <v>113</v>
      </c>
      <c r="AA4" s="32" t="s">
        <v>114</v>
      </c>
      <c r="AB4" s="95" t="s">
        <v>115</v>
      </c>
      <c r="AC4" s="95" t="s">
        <v>116</v>
      </c>
      <c r="AD4" s="96">
        <v>2018</v>
      </c>
      <c r="AE4" s="96">
        <v>2019</v>
      </c>
    </row>
    <row r="5" spans="1:31">
      <c r="B5" s="8" t="s">
        <v>109</v>
      </c>
      <c r="C5" s="8" t="s">
        <v>109</v>
      </c>
      <c r="D5" s="8" t="s">
        <v>109</v>
      </c>
      <c r="E5" s="8" t="s">
        <v>109</v>
      </c>
      <c r="F5" s="8" t="s">
        <v>109</v>
      </c>
      <c r="G5" s="8" t="s">
        <v>109</v>
      </c>
      <c r="H5" s="8" t="s">
        <v>109</v>
      </c>
      <c r="I5" s="8" t="s">
        <v>109</v>
      </c>
      <c r="J5" s="8" t="s">
        <v>109</v>
      </c>
      <c r="K5" s="8" t="s">
        <v>109</v>
      </c>
      <c r="L5" s="8" t="s">
        <v>109</v>
      </c>
      <c r="M5" s="8" t="s">
        <v>109</v>
      </c>
      <c r="N5" s="8" t="s">
        <v>109</v>
      </c>
      <c r="O5" s="8" t="s">
        <v>109</v>
      </c>
      <c r="P5" s="8" t="s">
        <v>109</v>
      </c>
      <c r="Q5" s="8" t="s">
        <v>109</v>
      </c>
      <c r="R5" s="8" t="s">
        <v>109</v>
      </c>
      <c r="S5" s="8" t="s">
        <v>109</v>
      </c>
      <c r="T5" s="8" t="s">
        <v>109</v>
      </c>
      <c r="U5" s="8" t="s">
        <v>109</v>
      </c>
      <c r="V5" s="8" t="s">
        <v>109</v>
      </c>
      <c r="W5" s="8" t="s">
        <v>109</v>
      </c>
      <c r="X5" s="8" t="s">
        <v>109</v>
      </c>
      <c r="Y5" s="8" t="s">
        <v>109</v>
      </c>
      <c r="Z5" s="8" t="s">
        <v>109</v>
      </c>
      <c r="AA5" s="8" t="s">
        <v>109</v>
      </c>
      <c r="AB5" s="8" t="s">
        <v>109</v>
      </c>
      <c r="AC5" s="8" t="s">
        <v>109</v>
      </c>
      <c r="AD5" s="8" t="s">
        <v>96</v>
      </c>
      <c r="AE5" s="8" t="s">
        <v>96</v>
      </c>
    </row>
    <row r="6" spans="1:31">
      <c r="A6" s="23" t="s">
        <v>24</v>
      </c>
      <c r="B6" s="23">
        <v>18189</v>
      </c>
      <c r="C6" s="23">
        <v>15591</v>
      </c>
      <c r="D6" s="23">
        <v>10136</v>
      </c>
      <c r="E6" s="23">
        <v>19390.402999999998</v>
      </c>
      <c r="F6" s="48">
        <f>+F7+F25+F40+F54+F65</f>
        <v>23345.152999999998</v>
      </c>
      <c r="G6" s="23">
        <v>27509.581999999999</v>
      </c>
      <c r="H6" s="23">
        <v>29560.142</v>
      </c>
      <c r="I6" s="48">
        <f>+I7+I25+I40+I54+I65</f>
        <v>26113.995999999999</v>
      </c>
      <c r="J6" s="23">
        <v>23579.591</v>
      </c>
      <c r="K6" s="48">
        <f t="shared" ref="K6:U6" si="0">+K7+K25+K40+K54+K65</f>
        <v>24729.763319999995</v>
      </c>
      <c r="L6" s="48">
        <f t="shared" si="0"/>
        <v>19087.635999999999</v>
      </c>
      <c r="M6" s="48">
        <f t="shared" si="0"/>
        <v>14330.182999999999</v>
      </c>
      <c r="N6" s="48">
        <f t="shared" si="0"/>
        <v>25237.376000000004</v>
      </c>
      <c r="O6" s="48">
        <f t="shared" si="0"/>
        <v>24220.089999999997</v>
      </c>
      <c r="P6" s="48">
        <f t="shared" si="0"/>
        <v>13849.078</v>
      </c>
      <c r="Q6" s="48">
        <f t="shared" si="0"/>
        <v>21237.095999999998</v>
      </c>
      <c r="R6" s="48">
        <f t="shared" si="0"/>
        <v>23485.154999999999</v>
      </c>
      <c r="S6" s="48">
        <f t="shared" si="0"/>
        <v>17141.681</v>
      </c>
      <c r="T6" s="48">
        <f t="shared" si="0"/>
        <v>18703.891</v>
      </c>
      <c r="U6" s="48">
        <f t="shared" si="0"/>
        <v>29904.638999999999</v>
      </c>
      <c r="V6" s="48">
        <f t="shared" ref="V6:W6" si="1">+V7+V25+V40+V54+V65</f>
        <v>26579.951000000001</v>
      </c>
      <c r="W6" s="48">
        <f t="shared" si="1"/>
        <v>26520.702000000001</v>
      </c>
      <c r="X6" s="48">
        <f t="shared" ref="X6:Y6" si="2">+X7+X25+X40+X54+X65</f>
        <v>24778.85</v>
      </c>
      <c r="Y6" s="48">
        <f t="shared" si="2"/>
        <v>25074.718000000004</v>
      </c>
      <c r="Z6" s="48">
        <f t="shared" ref="Z6:AA6" si="3">+Z7+Z25+Z40+Z54+Z65</f>
        <v>33629.784</v>
      </c>
      <c r="AA6" s="48">
        <f t="shared" si="3"/>
        <v>22886.705999999998</v>
      </c>
      <c r="AB6" s="48">
        <f t="shared" ref="AB6:AE6" si="4">+AB7+AB25+AB40+AB54+AB65</f>
        <v>31342.135000000002</v>
      </c>
      <c r="AC6" s="48">
        <f t="shared" si="4"/>
        <v>31009.900999999998</v>
      </c>
      <c r="AD6" s="48">
        <f t="shared" si="4"/>
        <v>0</v>
      </c>
      <c r="AE6" s="48">
        <f t="shared" si="4"/>
        <v>33234.114000000001</v>
      </c>
    </row>
    <row r="7" spans="1:31">
      <c r="A7" s="1" t="s">
        <v>25</v>
      </c>
      <c r="B7" s="47">
        <f>SUM(B8:B24)</f>
        <v>1700</v>
      </c>
      <c r="C7" s="47">
        <f t="shared" ref="C7:U7" si="5">SUM(C8:C24)</f>
        <v>584</v>
      </c>
      <c r="D7" s="47">
        <f t="shared" si="5"/>
        <v>690</v>
      </c>
      <c r="E7" s="47">
        <f t="shared" si="5"/>
        <v>2899.4279999999999</v>
      </c>
      <c r="F7" s="47">
        <f t="shared" si="5"/>
        <v>5575.2340000000004</v>
      </c>
      <c r="G7" s="47">
        <f t="shared" si="5"/>
        <v>5832.1370000000015</v>
      </c>
      <c r="H7" s="47">
        <f t="shared" si="5"/>
        <v>7807.1109999999999</v>
      </c>
      <c r="I7" s="47">
        <f t="shared" si="5"/>
        <v>5576.607</v>
      </c>
      <c r="J7" s="47">
        <f t="shared" si="5"/>
        <v>5294.88</v>
      </c>
      <c r="K7" s="47">
        <f t="shared" si="5"/>
        <v>3035.7930000000001</v>
      </c>
      <c r="L7" s="47">
        <f t="shared" si="5"/>
        <v>1443.7930000000001</v>
      </c>
      <c r="M7" s="47">
        <f t="shared" si="5"/>
        <v>1895.5819999999999</v>
      </c>
      <c r="N7" s="47">
        <f t="shared" si="5"/>
        <v>4125.0680000000002</v>
      </c>
      <c r="O7" s="47">
        <f t="shared" si="5"/>
        <v>2960.26</v>
      </c>
      <c r="P7" s="47">
        <f t="shared" si="5"/>
        <v>1659.1289999999999</v>
      </c>
      <c r="Q7" s="47">
        <f t="shared" si="5"/>
        <v>1571.8929999999998</v>
      </c>
      <c r="R7" s="47">
        <f t="shared" si="5"/>
        <v>1795.4399999999998</v>
      </c>
      <c r="S7" s="47">
        <f t="shared" si="5"/>
        <v>1394.7759999999998</v>
      </c>
      <c r="T7" s="47">
        <f t="shared" si="5"/>
        <v>1696.2259999999999</v>
      </c>
      <c r="U7" s="47">
        <f t="shared" si="5"/>
        <v>3393.9459999999999</v>
      </c>
      <c r="V7" s="47">
        <f t="shared" ref="V7:W7" si="6">SUM(V8:V24)</f>
        <v>3510.3519999999999</v>
      </c>
      <c r="W7" s="47">
        <f t="shared" si="6"/>
        <v>3177.4050000000002</v>
      </c>
      <c r="X7" s="47">
        <f t="shared" ref="X7:Y7" si="7">SUM(X8:X24)</f>
        <v>2274.7669999999998</v>
      </c>
      <c r="Y7" s="47">
        <f t="shared" si="7"/>
        <v>1781.94</v>
      </c>
      <c r="Z7" s="47">
        <f t="shared" ref="Z7:AA7" si="8">SUM(Z8:Z24)</f>
        <v>1836.6440000000002</v>
      </c>
      <c r="AA7" s="47">
        <f t="shared" si="8"/>
        <v>1083.8429999999998</v>
      </c>
      <c r="AB7" s="47">
        <f t="shared" ref="AB7:AE7" si="9">SUM(AB8:AB24)</f>
        <v>4346.3579999999993</v>
      </c>
      <c r="AC7" s="47">
        <f t="shared" si="9"/>
        <v>1515.5740000000001</v>
      </c>
      <c r="AD7" s="47">
        <f t="shared" si="9"/>
        <v>0</v>
      </c>
      <c r="AE7" s="47">
        <f t="shared" si="9"/>
        <v>1343.4160000000002</v>
      </c>
    </row>
    <row r="8" spans="1:31">
      <c r="A8" s="7" t="s">
        <v>97</v>
      </c>
    </row>
    <row r="9" spans="1:31">
      <c r="A9" s="1" t="s">
        <v>26</v>
      </c>
      <c r="B9" s="1">
        <v>0</v>
      </c>
      <c r="C9" s="1">
        <v>53</v>
      </c>
      <c r="D9" s="1">
        <v>54</v>
      </c>
      <c r="E9" s="1">
        <v>1173.51</v>
      </c>
      <c r="F9" s="41">
        <v>3078.078</v>
      </c>
      <c r="G9" s="1">
        <v>3090.7440000000001</v>
      </c>
      <c r="H9" s="1">
        <v>5381.7290000000003</v>
      </c>
      <c r="I9" s="1">
        <v>0</v>
      </c>
      <c r="J9" s="1">
        <v>0</v>
      </c>
      <c r="K9" s="1">
        <v>0</v>
      </c>
      <c r="L9" s="1">
        <v>0</v>
      </c>
      <c r="M9" s="1">
        <v>0</v>
      </c>
      <c r="N9" s="1">
        <v>56.825000000000003</v>
      </c>
      <c r="P9" s="1">
        <v>0</v>
      </c>
      <c r="Q9" s="1">
        <v>0</v>
      </c>
      <c r="R9" s="1">
        <v>0</v>
      </c>
      <c r="S9" s="1">
        <v>0</v>
      </c>
      <c r="T9" s="1">
        <v>0</v>
      </c>
      <c r="U9" s="1">
        <v>0</v>
      </c>
      <c r="V9" s="1">
        <v>0</v>
      </c>
      <c r="W9" s="1">
        <v>0</v>
      </c>
      <c r="X9" s="1">
        <v>0</v>
      </c>
      <c r="Y9" s="1">
        <v>0</v>
      </c>
      <c r="Z9" s="1">
        <v>0</v>
      </c>
      <c r="AA9" s="1">
        <v>0</v>
      </c>
      <c r="AC9" s="1">
        <v>0</v>
      </c>
      <c r="AE9" s="1">
        <v>0</v>
      </c>
    </row>
    <row r="10" spans="1:31">
      <c r="A10" s="1" t="s">
        <v>27</v>
      </c>
      <c r="B10" s="1">
        <v>76</v>
      </c>
      <c r="C10" s="1">
        <v>0</v>
      </c>
      <c r="D10" s="1">
        <v>0</v>
      </c>
      <c r="E10" s="1">
        <v>0</v>
      </c>
      <c r="F10" s="41">
        <v>0</v>
      </c>
      <c r="G10" s="1">
        <v>0</v>
      </c>
      <c r="H10" s="1">
        <v>0</v>
      </c>
      <c r="I10" s="1">
        <v>17.036999999999999</v>
      </c>
      <c r="J10" s="1">
        <v>4.7039999999999997</v>
      </c>
      <c r="K10" s="1">
        <v>0.16700000000000001</v>
      </c>
      <c r="L10" s="1">
        <v>0</v>
      </c>
      <c r="M10" s="1">
        <v>0</v>
      </c>
      <c r="N10" s="1">
        <v>0</v>
      </c>
      <c r="P10" s="1">
        <v>0</v>
      </c>
      <c r="Q10" s="1">
        <v>0</v>
      </c>
      <c r="R10" s="1">
        <v>0</v>
      </c>
      <c r="S10" s="1">
        <v>0</v>
      </c>
      <c r="T10" s="1">
        <v>0</v>
      </c>
      <c r="U10" s="1">
        <v>0</v>
      </c>
      <c r="V10" s="1">
        <v>0</v>
      </c>
      <c r="W10" s="1">
        <v>0</v>
      </c>
      <c r="X10" s="1">
        <v>0</v>
      </c>
      <c r="Y10" s="1">
        <v>0</v>
      </c>
      <c r="Z10" s="1">
        <v>0</v>
      </c>
      <c r="AA10" s="1">
        <v>36.536000000000001</v>
      </c>
      <c r="AC10" s="1">
        <v>0</v>
      </c>
      <c r="AE10" s="1">
        <v>0</v>
      </c>
    </row>
    <row r="11" spans="1:31">
      <c r="A11" s="1" t="s">
        <v>28</v>
      </c>
      <c r="D11" s="1">
        <v>0</v>
      </c>
      <c r="F11" s="41">
        <v>0</v>
      </c>
      <c r="I11" s="1">
        <v>0</v>
      </c>
      <c r="J11" s="1">
        <v>0</v>
      </c>
      <c r="K11" s="1">
        <v>0</v>
      </c>
      <c r="L11" s="1">
        <v>0</v>
      </c>
      <c r="M11" s="1">
        <v>0</v>
      </c>
      <c r="N11" s="1">
        <v>0</v>
      </c>
      <c r="P11" s="1">
        <v>0</v>
      </c>
      <c r="Q11" s="1">
        <v>0</v>
      </c>
      <c r="R11" s="1">
        <v>0</v>
      </c>
      <c r="S11" s="1">
        <v>0</v>
      </c>
      <c r="T11" s="1">
        <v>0</v>
      </c>
      <c r="U11" s="1">
        <v>0</v>
      </c>
      <c r="V11" s="1">
        <v>0</v>
      </c>
      <c r="W11" s="1">
        <v>0</v>
      </c>
      <c r="X11" s="1">
        <v>0</v>
      </c>
      <c r="Y11" s="1">
        <v>0</v>
      </c>
      <c r="Z11" s="1">
        <v>0</v>
      </c>
      <c r="AA11" s="1">
        <v>0</v>
      </c>
      <c r="AC11" s="1">
        <v>0</v>
      </c>
      <c r="AE11" s="1">
        <v>0</v>
      </c>
    </row>
    <row r="12" spans="1:31">
      <c r="A12" s="1" t="s">
        <v>29</v>
      </c>
      <c r="B12" s="1">
        <v>16</v>
      </c>
      <c r="C12" s="1">
        <v>119</v>
      </c>
      <c r="D12" s="1">
        <v>207</v>
      </c>
      <c r="E12" s="1">
        <v>198.05</v>
      </c>
      <c r="F12" s="41">
        <v>350.43900000000002</v>
      </c>
      <c r="G12" s="1">
        <v>381.55500000000001</v>
      </c>
      <c r="H12" s="1">
        <v>502.59899999999999</v>
      </c>
      <c r="I12" s="1">
        <v>878.98900000000003</v>
      </c>
      <c r="J12" s="1">
        <v>168.881</v>
      </c>
      <c r="K12" s="1">
        <v>211.84800000000001</v>
      </c>
      <c r="L12" s="1">
        <v>0</v>
      </c>
      <c r="M12" s="1">
        <v>50.204999999999998</v>
      </c>
      <c r="N12" s="1">
        <v>0</v>
      </c>
      <c r="P12" s="1">
        <v>8.0399999999999991</v>
      </c>
      <c r="Q12" s="1">
        <v>10.555</v>
      </c>
      <c r="R12" s="1">
        <v>0</v>
      </c>
      <c r="S12" s="1">
        <v>3.9969999999999999</v>
      </c>
      <c r="T12" s="1">
        <v>50.904000000000003</v>
      </c>
      <c r="U12" s="1">
        <v>0</v>
      </c>
      <c r="V12" s="1">
        <v>318.14699999999999</v>
      </c>
      <c r="W12" s="1">
        <v>0</v>
      </c>
      <c r="X12" s="1">
        <v>561.05200000000002</v>
      </c>
      <c r="Y12" s="1">
        <v>0</v>
      </c>
      <c r="Z12" s="1">
        <v>0</v>
      </c>
      <c r="AA12" s="1">
        <v>0</v>
      </c>
      <c r="AB12" s="100">
        <v>2618.654</v>
      </c>
      <c r="AC12" s="1">
        <v>0</v>
      </c>
      <c r="AE12" s="1">
        <v>0</v>
      </c>
    </row>
    <row r="13" spans="1:31">
      <c r="A13" s="1" t="s">
        <v>30</v>
      </c>
      <c r="B13" s="1">
        <v>0</v>
      </c>
      <c r="C13" s="1">
        <v>0</v>
      </c>
      <c r="D13" s="1">
        <v>0</v>
      </c>
      <c r="E13" s="1">
        <v>49.662999999999997</v>
      </c>
      <c r="F13" s="41">
        <v>327.57900000000001</v>
      </c>
      <c r="G13" s="1">
        <v>412.334</v>
      </c>
      <c r="H13" s="1">
        <v>184.441</v>
      </c>
      <c r="I13" s="1">
        <v>170.39699999999999</v>
      </c>
      <c r="J13" s="1">
        <v>261.41199999999998</v>
      </c>
      <c r="K13" s="1">
        <v>259.99299999999999</v>
      </c>
      <c r="L13" s="1">
        <v>99.191999999999993</v>
      </c>
      <c r="M13" s="1">
        <v>92.739000000000004</v>
      </c>
      <c r="N13" s="1">
        <v>385.77800000000002</v>
      </c>
      <c r="O13" s="1">
        <v>222.50200000000001</v>
      </c>
      <c r="P13" s="1">
        <v>338.53500000000003</v>
      </c>
      <c r="Q13" s="1">
        <v>378.74099999999999</v>
      </c>
      <c r="R13" s="1">
        <v>397.00900000000001</v>
      </c>
      <c r="S13" s="1">
        <v>129.97499999999999</v>
      </c>
      <c r="T13" s="1">
        <v>0</v>
      </c>
      <c r="U13" s="1">
        <v>0</v>
      </c>
      <c r="V13" s="1">
        <v>0</v>
      </c>
      <c r="W13" s="1">
        <v>38.116999999999997</v>
      </c>
      <c r="X13" s="1">
        <v>205.27099999999999</v>
      </c>
      <c r="Y13" s="1">
        <v>0</v>
      </c>
      <c r="Z13" s="1">
        <v>44.048000000000002</v>
      </c>
      <c r="AA13" s="1">
        <v>105.464</v>
      </c>
      <c r="AB13" s="1">
        <v>47.795999999999999</v>
      </c>
      <c r="AC13" s="1">
        <v>46.292000000000002</v>
      </c>
      <c r="AE13" s="1">
        <v>0</v>
      </c>
    </row>
    <row r="14" spans="1:31">
      <c r="A14" s="1" t="s">
        <v>31</v>
      </c>
      <c r="B14" s="1">
        <v>0</v>
      </c>
      <c r="C14" s="1">
        <v>0</v>
      </c>
      <c r="D14" s="1">
        <v>0</v>
      </c>
      <c r="E14" s="1">
        <v>0</v>
      </c>
      <c r="F14" s="41">
        <v>15.622</v>
      </c>
      <c r="H14" s="1">
        <v>0</v>
      </c>
      <c r="I14" s="1">
        <v>0</v>
      </c>
      <c r="J14" s="1">
        <v>0</v>
      </c>
      <c r="K14" s="1">
        <v>0</v>
      </c>
      <c r="L14" s="1">
        <v>0</v>
      </c>
      <c r="M14" s="1">
        <v>195.876</v>
      </c>
      <c r="N14" s="1">
        <v>196.619</v>
      </c>
      <c r="O14" s="1">
        <v>160.137</v>
      </c>
      <c r="P14" s="1">
        <v>34.615000000000002</v>
      </c>
      <c r="Q14" s="1">
        <v>0</v>
      </c>
      <c r="R14" s="1">
        <v>0</v>
      </c>
      <c r="S14" s="1">
        <v>0</v>
      </c>
      <c r="T14" s="1">
        <v>0</v>
      </c>
      <c r="U14" s="1">
        <v>0</v>
      </c>
      <c r="V14" s="1">
        <v>0</v>
      </c>
      <c r="W14" s="1">
        <v>0</v>
      </c>
      <c r="X14" s="1">
        <v>0</v>
      </c>
      <c r="Y14" s="1">
        <v>0</v>
      </c>
      <c r="Z14" s="1">
        <v>0</v>
      </c>
      <c r="AA14" s="1">
        <v>0</v>
      </c>
      <c r="AB14" s="1">
        <v>0</v>
      </c>
      <c r="AC14" s="1">
        <v>0</v>
      </c>
      <c r="AE14" s="1">
        <v>0</v>
      </c>
    </row>
    <row r="15" spans="1:31">
      <c r="A15" s="1" t="s">
        <v>32</v>
      </c>
      <c r="B15" s="1">
        <v>138</v>
      </c>
      <c r="C15" s="1">
        <v>94</v>
      </c>
      <c r="D15" s="1">
        <v>140</v>
      </c>
      <c r="E15" s="1">
        <v>160.22</v>
      </c>
      <c r="F15" s="41">
        <v>226.89699999999999</v>
      </c>
      <c r="G15" s="1">
        <v>218.35900000000001</v>
      </c>
      <c r="H15" s="1">
        <v>239.12100000000001</v>
      </c>
      <c r="I15" s="1">
        <v>211.21100000000001</v>
      </c>
      <c r="J15" s="1">
        <v>173.10400000000001</v>
      </c>
      <c r="K15" s="1">
        <v>78.209000000000003</v>
      </c>
      <c r="L15" s="1">
        <v>158.029</v>
      </c>
      <c r="M15" s="1">
        <v>18.744</v>
      </c>
      <c r="N15" s="1">
        <v>8.3450000000000006</v>
      </c>
      <c r="O15" s="1">
        <v>110.65600000000001</v>
      </c>
      <c r="P15" s="1">
        <v>105.057</v>
      </c>
      <c r="Q15" s="1">
        <v>35.020000000000003</v>
      </c>
      <c r="R15" s="1">
        <v>155.76499999999999</v>
      </c>
      <c r="S15" s="1">
        <v>371.21600000000001</v>
      </c>
      <c r="T15" s="1">
        <v>371.02600000000001</v>
      </c>
      <c r="U15" s="1">
        <v>399.84800000000001</v>
      </c>
      <c r="V15" s="1">
        <v>477.40199999999999</v>
      </c>
      <c r="W15" s="1">
        <v>590.14599999999996</v>
      </c>
      <c r="X15" s="1">
        <v>560.47299999999996</v>
      </c>
      <c r="Y15" s="1">
        <v>617.75</v>
      </c>
      <c r="Z15" s="1">
        <v>456.50900000000001</v>
      </c>
      <c r="AA15" s="1">
        <v>111.503</v>
      </c>
      <c r="AB15" s="1">
        <v>5.5270000000000001</v>
      </c>
      <c r="AC15" s="1">
        <v>45.816000000000003</v>
      </c>
      <c r="AE15" s="1">
        <v>11.36</v>
      </c>
    </row>
    <row r="16" spans="1:31">
      <c r="A16" s="1" t="s">
        <v>33</v>
      </c>
      <c r="B16" s="1">
        <v>0</v>
      </c>
      <c r="C16" s="1">
        <v>14</v>
      </c>
      <c r="D16" s="1">
        <v>0</v>
      </c>
      <c r="E16" s="1">
        <v>6.8849999999999998</v>
      </c>
      <c r="F16" s="41">
        <v>28.289000000000001</v>
      </c>
      <c r="G16" s="1">
        <v>30.323</v>
      </c>
      <c r="H16" s="1">
        <v>24.847000000000001</v>
      </c>
      <c r="I16" s="1">
        <v>50.186999999999998</v>
      </c>
      <c r="J16" s="1">
        <v>229.51300000000001</v>
      </c>
      <c r="K16" s="1">
        <v>38.158000000000001</v>
      </c>
      <c r="L16" s="1">
        <v>2.0579999999999998</v>
      </c>
      <c r="M16" s="1">
        <v>20.699000000000002</v>
      </c>
      <c r="N16" s="1">
        <v>19.370999999999999</v>
      </c>
      <c r="O16" s="1">
        <v>8.5990000000000002</v>
      </c>
      <c r="P16" s="1">
        <v>5.0419999999999998</v>
      </c>
      <c r="Q16" s="1">
        <v>2.6280000000000001</v>
      </c>
      <c r="R16" s="1">
        <v>3.024</v>
      </c>
      <c r="S16" s="1">
        <v>0</v>
      </c>
      <c r="T16" s="1">
        <v>0</v>
      </c>
      <c r="U16" s="1">
        <v>1.2190000000000001</v>
      </c>
      <c r="V16" s="1">
        <v>6.2290000000000001</v>
      </c>
      <c r="W16" s="1">
        <v>1.994</v>
      </c>
      <c r="X16" s="1">
        <v>20.802</v>
      </c>
      <c r="Y16" s="1">
        <v>50.527999999999999</v>
      </c>
      <c r="Z16" s="1">
        <v>134.83199999999999</v>
      </c>
      <c r="AA16" s="1">
        <v>149.04599999999999</v>
      </c>
      <c r="AB16" s="1">
        <v>152.49700000000001</v>
      </c>
      <c r="AC16" s="1">
        <v>335.86099999999999</v>
      </c>
      <c r="AE16" s="1">
        <v>419.49799999999999</v>
      </c>
    </row>
    <row r="17" spans="1:31">
      <c r="A17" s="1" t="s">
        <v>34</v>
      </c>
      <c r="B17" s="1">
        <v>0</v>
      </c>
      <c r="C17" s="1">
        <v>0</v>
      </c>
      <c r="D17" s="1">
        <v>0</v>
      </c>
      <c r="E17" s="1">
        <v>0</v>
      </c>
      <c r="F17" s="41">
        <v>0</v>
      </c>
      <c r="G17" s="1">
        <v>0</v>
      </c>
      <c r="H17" s="1">
        <v>0</v>
      </c>
      <c r="I17" s="1">
        <v>0</v>
      </c>
      <c r="J17" s="1">
        <v>0</v>
      </c>
      <c r="K17" s="1">
        <v>0</v>
      </c>
      <c r="L17" s="1">
        <v>0</v>
      </c>
      <c r="M17" s="1">
        <v>0</v>
      </c>
      <c r="N17" s="1">
        <v>0</v>
      </c>
      <c r="O17" s="1">
        <v>0</v>
      </c>
      <c r="P17" s="1">
        <v>0</v>
      </c>
      <c r="Q17" s="1">
        <v>0</v>
      </c>
      <c r="R17" s="1">
        <v>0</v>
      </c>
      <c r="S17" s="1">
        <v>0</v>
      </c>
      <c r="T17" s="1">
        <v>0</v>
      </c>
      <c r="U17" s="1">
        <v>0</v>
      </c>
      <c r="V17" s="1">
        <v>0</v>
      </c>
      <c r="W17" s="1">
        <v>0</v>
      </c>
      <c r="X17" s="1">
        <v>0</v>
      </c>
      <c r="Y17" s="1">
        <v>0</v>
      </c>
      <c r="Z17" s="1">
        <v>0</v>
      </c>
      <c r="AA17" s="1">
        <v>0</v>
      </c>
      <c r="AB17" s="1">
        <v>0</v>
      </c>
      <c r="AC17" s="1">
        <v>0</v>
      </c>
      <c r="AE17" s="1">
        <v>0</v>
      </c>
    </row>
    <row r="18" spans="1:31">
      <c r="A18" s="1" t="s">
        <v>35</v>
      </c>
      <c r="B18" s="1">
        <v>146</v>
      </c>
      <c r="C18" s="1">
        <v>102</v>
      </c>
      <c r="D18" s="1">
        <v>75</v>
      </c>
      <c r="E18" s="1">
        <v>0</v>
      </c>
      <c r="F18" s="41">
        <v>52.753</v>
      </c>
      <c r="G18" s="1">
        <v>87.787000000000006</v>
      </c>
      <c r="H18" s="1">
        <v>46.235999999999997</v>
      </c>
      <c r="I18" s="1">
        <v>6.5659999999999998</v>
      </c>
      <c r="J18" s="1">
        <v>21.170999999999999</v>
      </c>
      <c r="K18" s="1">
        <v>112.79600000000001</v>
      </c>
      <c r="L18" s="1">
        <v>66.521000000000001</v>
      </c>
      <c r="M18" s="1">
        <v>460.13299999999998</v>
      </c>
      <c r="N18" s="1">
        <v>2448.317</v>
      </c>
      <c r="O18" s="1">
        <v>1241.4100000000001</v>
      </c>
      <c r="P18" s="1">
        <v>226.3</v>
      </c>
      <c r="Q18" s="1">
        <v>458.58</v>
      </c>
      <c r="R18" s="1">
        <v>780.87699999999995</v>
      </c>
      <c r="S18" s="1">
        <v>182.14599999999999</v>
      </c>
      <c r="T18" s="1">
        <v>10.957000000000001</v>
      </c>
      <c r="U18" s="1">
        <v>13.422000000000001</v>
      </c>
      <c r="V18" s="1">
        <v>0</v>
      </c>
      <c r="W18" s="1">
        <v>0</v>
      </c>
      <c r="X18" s="1">
        <v>21.83</v>
      </c>
      <c r="Y18" s="1">
        <v>71.414000000000001</v>
      </c>
      <c r="Z18" s="1">
        <v>90.307000000000002</v>
      </c>
      <c r="AA18" s="1">
        <v>42.350999999999999</v>
      </c>
      <c r="AB18" s="1">
        <v>30.312999999999999</v>
      </c>
      <c r="AC18" s="1">
        <v>37.494</v>
      </c>
      <c r="AE18" s="1">
        <v>22.398</v>
      </c>
    </row>
    <row r="19" spans="1:31">
      <c r="A19" s="1" t="s">
        <v>36</v>
      </c>
      <c r="B19" s="1">
        <v>9</v>
      </c>
      <c r="C19" s="1">
        <v>9</v>
      </c>
      <c r="D19" s="1">
        <v>10</v>
      </c>
      <c r="E19" s="1">
        <v>134.941</v>
      </c>
      <c r="F19" s="41">
        <v>149.47900000000001</v>
      </c>
      <c r="G19" s="1">
        <v>29.291</v>
      </c>
      <c r="H19" s="1">
        <v>277.73700000000002</v>
      </c>
      <c r="I19" s="1">
        <v>279.14499999999998</v>
      </c>
      <c r="J19" s="1">
        <v>296.32900000000001</v>
      </c>
      <c r="K19" s="1">
        <v>20.484999999999999</v>
      </c>
      <c r="L19" s="1">
        <v>56.225000000000001</v>
      </c>
      <c r="M19" s="1">
        <v>1.117</v>
      </c>
      <c r="N19" s="1">
        <v>4.7E-2</v>
      </c>
      <c r="O19" s="1">
        <v>0.317</v>
      </c>
      <c r="P19" s="1">
        <v>67.385000000000005</v>
      </c>
      <c r="Q19" s="1">
        <v>81.918000000000006</v>
      </c>
      <c r="R19" s="1">
        <v>7.05</v>
      </c>
      <c r="S19" s="1">
        <v>68.606999999999999</v>
      </c>
      <c r="T19" s="1">
        <v>101.96899999999999</v>
      </c>
      <c r="U19" s="1">
        <v>2124.79</v>
      </c>
      <c r="V19" s="1">
        <v>2052.42</v>
      </c>
      <c r="W19" s="1">
        <v>1943.4670000000001</v>
      </c>
      <c r="X19" s="1">
        <v>292.64400000000001</v>
      </c>
      <c r="Y19" s="1">
        <v>427.35599999999999</v>
      </c>
      <c r="Z19" s="1">
        <v>467.209</v>
      </c>
      <c r="AA19" s="1">
        <v>119.65900000000001</v>
      </c>
      <c r="AB19" s="1">
        <v>865.08900000000006</v>
      </c>
      <c r="AC19" s="1">
        <v>154.05600000000001</v>
      </c>
      <c r="AE19" s="1">
        <v>163.30000000000001</v>
      </c>
    </row>
    <row r="20" spans="1:31">
      <c r="A20" s="1" t="s">
        <v>37</v>
      </c>
      <c r="B20" s="1">
        <v>3</v>
      </c>
      <c r="C20" s="1">
        <v>3</v>
      </c>
      <c r="D20" s="1">
        <v>17</v>
      </c>
      <c r="E20" s="1">
        <v>16.492999999999999</v>
      </c>
      <c r="F20" s="41">
        <v>70.754000000000005</v>
      </c>
      <c r="G20" s="1">
        <v>61.886000000000003</v>
      </c>
      <c r="H20" s="1">
        <v>54.151000000000003</v>
      </c>
      <c r="I20" s="1">
        <v>84.091999999999999</v>
      </c>
      <c r="J20" s="1">
        <v>188.863</v>
      </c>
      <c r="K20" s="1">
        <v>79.734999999999999</v>
      </c>
      <c r="L20" s="1">
        <v>179.79</v>
      </c>
      <c r="M20" s="1">
        <v>144.94200000000001</v>
      </c>
      <c r="N20" s="1">
        <v>104.128</v>
      </c>
      <c r="O20" s="1">
        <v>195.27199999999999</v>
      </c>
      <c r="P20" s="1">
        <v>85.039000000000001</v>
      </c>
      <c r="Q20" s="1">
        <v>93.295000000000002</v>
      </c>
      <c r="R20" s="1">
        <v>127.264</v>
      </c>
      <c r="S20" s="1">
        <v>301.101</v>
      </c>
      <c r="T20" s="1">
        <v>714.28099999999995</v>
      </c>
      <c r="U20" s="1">
        <v>663.56299999999999</v>
      </c>
      <c r="V20" s="1">
        <v>398.55500000000001</v>
      </c>
      <c r="W20" s="1">
        <v>327.23500000000001</v>
      </c>
      <c r="X20" s="1">
        <v>318.09199999999998</v>
      </c>
      <c r="Y20" s="1">
        <v>338.315</v>
      </c>
      <c r="Z20" s="1">
        <v>331.04500000000002</v>
      </c>
      <c r="AA20" s="1">
        <v>251.66900000000001</v>
      </c>
      <c r="AB20" s="1">
        <v>284.50099999999998</v>
      </c>
      <c r="AC20" s="1">
        <v>406.67500000000001</v>
      </c>
      <c r="AE20" s="1">
        <v>158.99100000000001</v>
      </c>
    </row>
    <row r="21" spans="1:31" s="11" customFormat="1">
      <c r="A21" s="1" t="s">
        <v>38</v>
      </c>
      <c r="B21" s="1">
        <v>0</v>
      </c>
      <c r="C21" s="1">
        <v>0</v>
      </c>
      <c r="D21" s="1">
        <v>0</v>
      </c>
      <c r="E21" s="1">
        <v>0</v>
      </c>
      <c r="F21" s="41">
        <v>0</v>
      </c>
      <c r="G21" s="1">
        <v>0</v>
      </c>
      <c r="H21" s="1">
        <v>0</v>
      </c>
      <c r="I21" s="1">
        <v>0</v>
      </c>
      <c r="J21" s="1">
        <v>0</v>
      </c>
      <c r="K21" s="1">
        <v>0</v>
      </c>
      <c r="L21" s="1">
        <v>0</v>
      </c>
      <c r="M21" s="1">
        <v>0</v>
      </c>
      <c r="N21" s="1">
        <v>0</v>
      </c>
      <c r="O21" s="1">
        <v>0</v>
      </c>
      <c r="P21" s="1">
        <v>0</v>
      </c>
      <c r="Q21" s="1">
        <v>0</v>
      </c>
      <c r="R21" s="1">
        <v>0</v>
      </c>
      <c r="S21" s="1">
        <v>0</v>
      </c>
      <c r="T21" s="1">
        <v>0</v>
      </c>
      <c r="U21" s="1">
        <v>0</v>
      </c>
      <c r="V21" s="1">
        <v>0</v>
      </c>
      <c r="W21" s="1">
        <v>0</v>
      </c>
      <c r="X21" s="1">
        <v>0</v>
      </c>
      <c r="Y21" s="1">
        <v>23.21</v>
      </c>
      <c r="Z21" s="1">
        <v>50.063000000000002</v>
      </c>
      <c r="AA21" s="1">
        <v>9.8640000000000008</v>
      </c>
      <c r="AB21" s="1">
        <v>0</v>
      </c>
      <c r="AC21" s="1">
        <v>0</v>
      </c>
      <c r="AD21" s="1"/>
      <c r="AE21" s="1">
        <v>0</v>
      </c>
    </row>
    <row r="22" spans="1:31">
      <c r="A22" s="1" t="s">
        <v>39</v>
      </c>
      <c r="B22" s="1">
        <v>1312</v>
      </c>
      <c r="C22" s="1">
        <v>190</v>
      </c>
      <c r="D22" s="1">
        <v>187</v>
      </c>
      <c r="E22" s="1">
        <v>1159.6659999999999</v>
      </c>
      <c r="F22" s="41">
        <v>1275.3440000000001</v>
      </c>
      <c r="G22" s="1">
        <v>1519.8579999999999</v>
      </c>
      <c r="H22" s="1">
        <v>1096.25</v>
      </c>
      <c r="I22" s="1">
        <v>3878.9830000000002</v>
      </c>
      <c r="J22" s="1">
        <v>3950.9029999999998</v>
      </c>
      <c r="K22" s="1">
        <v>2234.402</v>
      </c>
      <c r="L22" s="1">
        <v>881.97799999999995</v>
      </c>
      <c r="M22" s="1">
        <v>911.12699999999995</v>
      </c>
      <c r="N22" s="1">
        <v>902.63800000000003</v>
      </c>
      <c r="O22" s="1">
        <v>987.36699999999996</v>
      </c>
      <c r="P22" s="1">
        <v>789.11599999999999</v>
      </c>
      <c r="Q22" s="1">
        <v>406.56900000000002</v>
      </c>
      <c r="R22" s="1">
        <v>311.19900000000001</v>
      </c>
      <c r="S22" s="1">
        <v>337.73399999999998</v>
      </c>
      <c r="T22" s="1">
        <v>430.358</v>
      </c>
      <c r="U22" s="1">
        <v>186.62200000000001</v>
      </c>
      <c r="V22" s="1">
        <v>238.62899999999999</v>
      </c>
      <c r="W22" s="1">
        <v>274.38600000000002</v>
      </c>
      <c r="X22" s="1">
        <v>294.60300000000001</v>
      </c>
      <c r="Y22" s="1">
        <v>253.36699999999999</v>
      </c>
      <c r="Z22" s="1">
        <v>262.63099999999997</v>
      </c>
      <c r="AA22" s="1">
        <v>257.75099999999998</v>
      </c>
      <c r="AB22" s="1">
        <v>341.98099999999999</v>
      </c>
      <c r="AC22" s="1">
        <v>463.86900000000003</v>
      </c>
      <c r="AE22" s="1">
        <v>567.86900000000003</v>
      </c>
    </row>
    <row r="23" spans="1:31">
      <c r="A23" s="1" t="s">
        <v>40</v>
      </c>
      <c r="B23" s="1">
        <v>0</v>
      </c>
      <c r="C23" s="1">
        <v>0</v>
      </c>
      <c r="D23" s="1">
        <v>0</v>
      </c>
      <c r="E23" s="1">
        <v>0</v>
      </c>
      <c r="F23" s="41">
        <v>0</v>
      </c>
      <c r="H23" s="1">
        <v>0</v>
      </c>
      <c r="I23" s="1">
        <v>0</v>
      </c>
      <c r="J23" s="1">
        <v>0</v>
      </c>
      <c r="K23" s="1">
        <v>0</v>
      </c>
      <c r="L23" s="1">
        <v>0</v>
      </c>
      <c r="M23" s="1">
        <v>0</v>
      </c>
      <c r="N23" s="1">
        <v>0</v>
      </c>
      <c r="O23" s="1">
        <v>0</v>
      </c>
      <c r="P23" s="1">
        <v>0</v>
      </c>
      <c r="Q23" s="1">
        <v>0</v>
      </c>
      <c r="R23" s="1">
        <v>0</v>
      </c>
      <c r="S23" s="1">
        <v>0</v>
      </c>
      <c r="T23" s="1">
        <v>0</v>
      </c>
      <c r="U23" s="1">
        <v>0</v>
      </c>
      <c r="V23" s="1">
        <v>0</v>
      </c>
      <c r="W23" s="1">
        <v>0</v>
      </c>
      <c r="X23" s="1">
        <v>0</v>
      </c>
      <c r="Y23" s="1">
        <v>0</v>
      </c>
      <c r="Z23" s="1">
        <v>0</v>
      </c>
      <c r="AA23" s="1">
        <v>0</v>
      </c>
      <c r="AB23" s="1">
        <v>0</v>
      </c>
      <c r="AC23" s="1">
        <v>0</v>
      </c>
      <c r="AE23" s="1">
        <v>0</v>
      </c>
    </row>
    <row r="24" spans="1:31">
      <c r="A24" s="23" t="s">
        <v>41</v>
      </c>
      <c r="B24" s="23">
        <v>0</v>
      </c>
      <c r="C24" s="23">
        <v>0</v>
      </c>
      <c r="D24" s="23">
        <v>0</v>
      </c>
      <c r="E24" s="23">
        <v>0</v>
      </c>
      <c r="F24" s="44">
        <v>0</v>
      </c>
      <c r="G24" s="23">
        <v>0</v>
      </c>
      <c r="H24" s="23">
        <v>0</v>
      </c>
      <c r="I24" s="23">
        <v>0</v>
      </c>
      <c r="J24" s="23">
        <v>0</v>
      </c>
      <c r="K24" s="23">
        <v>0</v>
      </c>
      <c r="L24" s="23">
        <v>0</v>
      </c>
      <c r="M24" s="23">
        <v>0</v>
      </c>
      <c r="N24" s="23">
        <v>3</v>
      </c>
      <c r="O24" s="23">
        <v>34</v>
      </c>
      <c r="P24" s="23">
        <v>0</v>
      </c>
      <c r="Q24" s="23">
        <v>104.587</v>
      </c>
      <c r="R24" s="23">
        <v>13.252000000000001</v>
      </c>
      <c r="S24" s="23">
        <v>0</v>
      </c>
      <c r="T24" s="23">
        <v>16.731000000000002</v>
      </c>
      <c r="U24" s="23">
        <v>4.4820000000000002</v>
      </c>
      <c r="V24" s="23">
        <v>18.97</v>
      </c>
      <c r="W24" s="23">
        <v>2.06</v>
      </c>
      <c r="X24" s="23">
        <v>0</v>
      </c>
      <c r="Y24" s="23">
        <v>0</v>
      </c>
      <c r="Z24" s="23">
        <v>0</v>
      </c>
      <c r="AA24" s="23">
        <v>0</v>
      </c>
      <c r="AB24" s="23">
        <v>0</v>
      </c>
      <c r="AC24" s="23">
        <v>25.510999999999999</v>
      </c>
      <c r="AD24" s="23"/>
      <c r="AE24" s="23">
        <v>0</v>
      </c>
    </row>
    <row r="25" spans="1:31">
      <c r="A25" s="7" t="s">
        <v>42</v>
      </c>
      <c r="B25" s="47">
        <f>SUM(B27:B39)</f>
        <v>0</v>
      </c>
      <c r="C25" s="47">
        <f t="shared" ref="C25:AC25" si="10">SUM(C27:C39)</f>
        <v>0</v>
      </c>
      <c r="D25" s="47">
        <f t="shared" si="10"/>
        <v>0</v>
      </c>
      <c r="E25" s="47">
        <f t="shared" si="10"/>
        <v>0</v>
      </c>
      <c r="F25" s="47">
        <f t="shared" si="10"/>
        <v>7512.4960000000001</v>
      </c>
      <c r="G25" s="47">
        <f t="shared" si="10"/>
        <v>0</v>
      </c>
      <c r="H25" s="47">
        <f t="shared" si="10"/>
        <v>0</v>
      </c>
      <c r="I25" s="47">
        <f t="shared" si="10"/>
        <v>5691.2109999999993</v>
      </c>
      <c r="J25" s="47">
        <f t="shared" si="10"/>
        <v>0</v>
      </c>
      <c r="K25" s="47">
        <f t="shared" si="10"/>
        <v>14722.128000000002</v>
      </c>
      <c r="L25" s="47">
        <f t="shared" si="10"/>
        <v>12055.216999999999</v>
      </c>
      <c r="M25" s="47">
        <f t="shared" si="10"/>
        <v>6110.674</v>
      </c>
      <c r="N25" s="47">
        <f t="shared" si="10"/>
        <v>14301.238000000001</v>
      </c>
      <c r="O25" s="47">
        <f t="shared" si="10"/>
        <v>12557.649999999996</v>
      </c>
      <c r="P25" s="47">
        <f t="shared" si="10"/>
        <v>5151.13</v>
      </c>
      <c r="Q25" s="47">
        <f t="shared" si="10"/>
        <v>12372.966</v>
      </c>
      <c r="R25" s="47">
        <f t="shared" si="10"/>
        <v>13263.713999999998</v>
      </c>
      <c r="S25" s="47">
        <f t="shared" si="10"/>
        <v>6225.5240000000003</v>
      </c>
      <c r="T25" s="47">
        <f t="shared" si="10"/>
        <v>6545.509</v>
      </c>
      <c r="U25" s="47">
        <f t="shared" si="10"/>
        <v>9709.4670000000006</v>
      </c>
      <c r="V25" s="47">
        <f t="shared" si="10"/>
        <v>10345.791999999999</v>
      </c>
      <c r="W25" s="47">
        <f t="shared" si="10"/>
        <v>8911.9040000000005</v>
      </c>
      <c r="X25" s="47">
        <f t="shared" si="10"/>
        <v>10148.804999999997</v>
      </c>
      <c r="Y25" s="47">
        <f t="shared" si="10"/>
        <v>7768.773000000001</v>
      </c>
      <c r="Z25" s="47">
        <f t="shared" si="10"/>
        <v>12569.469000000003</v>
      </c>
      <c r="AA25" s="47">
        <f t="shared" si="10"/>
        <v>8477.0470000000005</v>
      </c>
      <c r="AB25" s="47">
        <f t="shared" si="10"/>
        <v>13549.785</v>
      </c>
      <c r="AC25" s="47">
        <f t="shared" si="10"/>
        <v>14656.434999999999</v>
      </c>
      <c r="AD25" s="47">
        <f t="shared" ref="AD25:AE25" si="11">SUM(AD27:AD39)</f>
        <v>0</v>
      </c>
      <c r="AE25" s="47">
        <f t="shared" si="11"/>
        <v>17477.775999999998</v>
      </c>
    </row>
    <row r="26" spans="1:31">
      <c r="A26" s="7" t="s">
        <v>97</v>
      </c>
      <c r="X26" s="1">
        <v>0</v>
      </c>
      <c r="Y26" s="1" t="e">
        <f>#REF!/1000</f>
        <v>#REF!</v>
      </c>
      <c r="AB26" s="1">
        <v>0</v>
      </c>
      <c r="AC26" s="1">
        <v>0</v>
      </c>
    </row>
    <row r="27" spans="1:31">
      <c r="A27" s="1" t="s">
        <v>43</v>
      </c>
      <c r="F27" s="41">
        <v>0</v>
      </c>
      <c r="I27" s="1">
        <v>0</v>
      </c>
      <c r="K27" s="1">
        <v>0</v>
      </c>
      <c r="L27" s="1">
        <v>52.29</v>
      </c>
      <c r="M27" s="1">
        <v>0</v>
      </c>
      <c r="N27" s="1">
        <v>215.24100000000001</v>
      </c>
      <c r="O27" s="1">
        <v>172.273</v>
      </c>
      <c r="P27" s="1">
        <v>344.10599999999999</v>
      </c>
      <c r="Q27" s="1">
        <v>0</v>
      </c>
      <c r="R27" s="1">
        <v>287.33699999999999</v>
      </c>
      <c r="S27" s="1">
        <v>356.74599999999998</v>
      </c>
      <c r="T27" s="1">
        <v>0</v>
      </c>
      <c r="U27" s="1">
        <v>0</v>
      </c>
      <c r="V27" s="1">
        <v>0</v>
      </c>
      <c r="W27" s="1">
        <v>0</v>
      </c>
      <c r="X27" s="1">
        <v>0</v>
      </c>
      <c r="Y27" s="1">
        <v>0</v>
      </c>
      <c r="Z27" s="1">
        <v>0</v>
      </c>
      <c r="AA27" s="1">
        <v>0</v>
      </c>
      <c r="AB27" s="1">
        <v>0</v>
      </c>
      <c r="AC27" s="1">
        <v>0</v>
      </c>
      <c r="AE27" s="1">
        <v>0</v>
      </c>
    </row>
    <row r="28" spans="1:31">
      <c r="A28" s="1" t="s">
        <v>44</v>
      </c>
      <c r="F28" s="41">
        <v>2715.8519999999999</v>
      </c>
      <c r="I28" s="1">
        <v>139.66399999999999</v>
      </c>
      <c r="K28" s="1">
        <v>3331.3690000000001</v>
      </c>
      <c r="L28" s="1">
        <v>5071.634</v>
      </c>
      <c r="M28" s="1">
        <v>648.40099999999995</v>
      </c>
      <c r="N28" s="1">
        <v>7147.4009999999998</v>
      </c>
      <c r="O28" s="1">
        <v>8751.7139999999999</v>
      </c>
      <c r="P28" s="1">
        <v>902.94299999999998</v>
      </c>
      <c r="Q28" s="1">
        <v>828.75099999999998</v>
      </c>
      <c r="R28" s="1">
        <v>0</v>
      </c>
      <c r="S28" s="1">
        <v>0</v>
      </c>
      <c r="T28" s="1">
        <v>815.447</v>
      </c>
      <c r="U28" s="1">
        <v>693.04200000000003</v>
      </c>
      <c r="V28" s="1">
        <v>669.85199999999998</v>
      </c>
      <c r="W28" s="1">
        <v>639.89099999999996</v>
      </c>
      <c r="X28" s="1">
        <v>384.84699999999998</v>
      </c>
      <c r="Y28" s="1">
        <v>154.452</v>
      </c>
      <c r="Z28" s="1">
        <v>175.90700000000001</v>
      </c>
      <c r="AA28" s="1">
        <v>548.87199999999996</v>
      </c>
      <c r="AB28" s="1">
        <v>835.15899999999999</v>
      </c>
      <c r="AC28" s="1">
        <v>763.78700000000003</v>
      </c>
      <c r="AE28" s="1">
        <v>1565.692</v>
      </c>
    </row>
    <row r="29" spans="1:31">
      <c r="A29" s="1" t="s">
        <v>45</v>
      </c>
      <c r="F29" s="41">
        <v>3884.2559999999999</v>
      </c>
      <c r="I29" s="1">
        <v>5096.2389999999996</v>
      </c>
      <c r="K29" s="1">
        <v>10911.214</v>
      </c>
      <c r="L29" s="1">
        <v>6212.0929999999998</v>
      </c>
      <c r="M29" s="1">
        <v>4731.9480000000003</v>
      </c>
      <c r="N29" s="1">
        <v>6251.9840000000004</v>
      </c>
      <c r="O29" s="1">
        <v>2860.63</v>
      </c>
      <c r="P29" s="1">
        <v>2481.7020000000002</v>
      </c>
      <c r="Q29" s="1">
        <v>10059.493</v>
      </c>
      <c r="R29" s="1">
        <v>11345.026</v>
      </c>
      <c r="S29" s="1">
        <v>4012.9229999999998</v>
      </c>
      <c r="T29" s="1">
        <v>4236.4769999999999</v>
      </c>
      <c r="U29" s="1">
        <v>6923.9279999999999</v>
      </c>
      <c r="V29" s="1">
        <v>6919.2380000000003</v>
      </c>
      <c r="W29" s="1">
        <v>5430.2520000000004</v>
      </c>
      <c r="X29" s="1">
        <v>6123.1980000000003</v>
      </c>
      <c r="Y29" s="1">
        <v>3915.279</v>
      </c>
      <c r="Z29" s="1">
        <v>4635.8389999999999</v>
      </c>
      <c r="AA29" s="1">
        <v>5318.2640000000001</v>
      </c>
      <c r="AB29" s="1">
        <v>8777.9429999999993</v>
      </c>
      <c r="AC29" s="1">
        <v>8299.6939999999995</v>
      </c>
      <c r="AE29" s="1">
        <v>10394.661</v>
      </c>
    </row>
    <row r="30" spans="1:31">
      <c r="A30" s="1" t="s">
        <v>46</v>
      </c>
      <c r="F30" s="41">
        <v>420.04399999999998</v>
      </c>
      <c r="I30" s="1">
        <v>179.34</v>
      </c>
      <c r="K30" s="1">
        <v>121.005</v>
      </c>
      <c r="L30" s="1">
        <v>0</v>
      </c>
      <c r="M30" s="1">
        <v>0</v>
      </c>
      <c r="N30" s="1">
        <v>0</v>
      </c>
      <c r="O30" s="1">
        <v>0</v>
      </c>
      <c r="P30" s="1">
        <v>0</v>
      </c>
      <c r="Q30" s="1">
        <v>0</v>
      </c>
      <c r="R30" s="1">
        <v>0</v>
      </c>
      <c r="S30" s="1">
        <v>0</v>
      </c>
      <c r="T30" s="1">
        <v>0</v>
      </c>
      <c r="U30" s="1">
        <v>0</v>
      </c>
      <c r="V30" s="1">
        <v>0</v>
      </c>
      <c r="W30" s="1">
        <v>0</v>
      </c>
      <c r="X30" s="1">
        <v>0</v>
      </c>
      <c r="Y30" s="1">
        <v>0</v>
      </c>
      <c r="Z30" s="1">
        <v>0</v>
      </c>
      <c r="AA30" s="1">
        <v>0</v>
      </c>
      <c r="AB30" s="1">
        <v>0</v>
      </c>
      <c r="AC30" s="1">
        <v>0</v>
      </c>
      <c r="AE30" s="1">
        <v>0</v>
      </c>
    </row>
    <row r="31" spans="1:31">
      <c r="A31" s="1" t="s">
        <v>47</v>
      </c>
      <c r="F31" s="41">
        <v>57.241</v>
      </c>
      <c r="I31" s="1">
        <v>61.3</v>
      </c>
      <c r="K31" s="1">
        <v>32.19</v>
      </c>
      <c r="L31" s="1">
        <v>34.161000000000001</v>
      </c>
      <c r="M31" s="1">
        <v>73.674000000000007</v>
      </c>
      <c r="N31" s="1">
        <v>37.972000000000001</v>
      </c>
      <c r="O31" s="1">
        <v>110.087</v>
      </c>
      <c r="P31" s="1">
        <v>508.55099999999999</v>
      </c>
      <c r="Q31" s="1">
        <v>638.17499999999995</v>
      </c>
      <c r="R31" s="1">
        <v>379.42</v>
      </c>
      <c r="S31" s="1">
        <v>297.42599999999999</v>
      </c>
      <c r="T31" s="1">
        <v>274.11200000000002</v>
      </c>
      <c r="U31" s="1">
        <v>376.45100000000002</v>
      </c>
      <c r="V31" s="1">
        <v>377.322</v>
      </c>
      <c r="W31" s="1">
        <v>625.447</v>
      </c>
      <c r="X31" s="1">
        <v>724.303</v>
      </c>
      <c r="Y31" s="1">
        <v>1217.3230000000001</v>
      </c>
      <c r="Z31" s="1">
        <v>5313.6360000000004</v>
      </c>
      <c r="AA31" s="1">
        <v>510.375</v>
      </c>
      <c r="AB31" s="1">
        <v>722.30100000000004</v>
      </c>
      <c r="AC31" s="1">
        <v>817.34799999999996</v>
      </c>
      <c r="AE31" s="1">
        <v>1136.604</v>
      </c>
    </row>
    <row r="32" spans="1:31">
      <c r="A32" s="1" t="s">
        <v>48</v>
      </c>
      <c r="F32" s="41">
        <v>0</v>
      </c>
      <c r="I32" s="1">
        <v>0</v>
      </c>
      <c r="K32" s="1">
        <v>0</v>
      </c>
      <c r="L32" s="1">
        <v>0</v>
      </c>
      <c r="M32" s="1">
        <v>0</v>
      </c>
      <c r="N32" s="1">
        <v>0</v>
      </c>
      <c r="O32" s="1">
        <v>0</v>
      </c>
      <c r="P32" s="1">
        <v>0</v>
      </c>
      <c r="Q32" s="1">
        <v>0</v>
      </c>
      <c r="R32" s="1">
        <v>0</v>
      </c>
      <c r="S32" s="1">
        <v>0</v>
      </c>
      <c r="T32" s="1">
        <v>0</v>
      </c>
      <c r="U32" s="1">
        <v>0</v>
      </c>
      <c r="V32" s="1">
        <v>0</v>
      </c>
      <c r="W32" s="1">
        <v>0</v>
      </c>
      <c r="X32" s="1">
        <v>0</v>
      </c>
      <c r="Y32" s="1">
        <v>0</v>
      </c>
      <c r="Z32" s="1">
        <v>0</v>
      </c>
      <c r="AA32" s="1">
        <v>0</v>
      </c>
      <c r="AB32" s="1">
        <v>0</v>
      </c>
      <c r="AC32" s="1">
        <v>0</v>
      </c>
      <c r="AE32" s="1">
        <v>0</v>
      </c>
    </row>
    <row r="33" spans="1:31">
      <c r="A33" s="1" t="s">
        <v>49</v>
      </c>
      <c r="F33" s="41">
        <v>0</v>
      </c>
      <c r="I33" s="1">
        <v>0</v>
      </c>
      <c r="K33" s="1">
        <v>19.172000000000001</v>
      </c>
      <c r="L33" s="1">
        <v>33.222000000000001</v>
      </c>
      <c r="M33" s="1">
        <v>134.995</v>
      </c>
      <c r="N33" s="1">
        <v>167.88200000000001</v>
      </c>
      <c r="O33" s="1">
        <v>202.74100000000001</v>
      </c>
      <c r="P33" s="1">
        <v>418.11900000000003</v>
      </c>
      <c r="Q33" s="1">
        <v>345.57100000000003</v>
      </c>
      <c r="R33" s="1">
        <v>567.88</v>
      </c>
      <c r="S33" s="1">
        <v>815.48400000000004</v>
      </c>
      <c r="T33" s="1">
        <v>500.75200000000001</v>
      </c>
      <c r="U33" s="1">
        <v>986.41899999999998</v>
      </c>
      <c r="V33" s="1">
        <v>1380.9480000000001</v>
      </c>
      <c r="W33" s="1">
        <v>1278.384</v>
      </c>
      <c r="X33" s="1">
        <v>1287.854</v>
      </c>
      <c r="Y33" s="1">
        <v>827.50099999999998</v>
      </c>
      <c r="Z33" s="1">
        <v>629.14499999999998</v>
      </c>
      <c r="AA33" s="1">
        <v>543.91999999999996</v>
      </c>
      <c r="AB33" s="1">
        <v>684.423</v>
      </c>
      <c r="AC33" s="1">
        <v>628.13099999999997</v>
      </c>
      <c r="AE33" s="1">
        <v>573.12099999999998</v>
      </c>
    </row>
    <row r="34" spans="1:31">
      <c r="A34" s="1" t="s">
        <v>50</v>
      </c>
      <c r="F34" s="41">
        <v>0</v>
      </c>
      <c r="I34" s="1">
        <v>0</v>
      </c>
      <c r="K34" s="1">
        <v>0</v>
      </c>
      <c r="L34" s="1">
        <v>0</v>
      </c>
      <c r="M34" s="1">
        <v>0</v>
      </c>
      <c r="N34" s="1">
        <v>0</v>
      </c>
      <c r="O34" s="1">
        <v>0</v>
      </c>
      <c r="P34" s="1">
        <v>0</v>
      </c>
      <c r="Q34" s="1">
        <v>0</v>
      </c>
      <c r="R34" s="1">
        <v>0</v>
      </c>
      <c r="S34" s="1">
        <v>0</v>
      </c>
      <c r="T34" s="1">
        <v>0</v>
      </c>
      <c r="U34" s="1">
        <v>0</v>
      </c>
      <c r="V34" s="1">
        <v>0</v>
      </c>
      <c r="W34" s="1">
        <v>0</v>
      </c>
      <c r="X34" s="1">
        <v>65</v>
      </c>
      <c r="Y34" s="1">
        <v>192</v>
      </c>
      <c r="Z34" s="1">
        <v>198.59</v>
      </c>
      <c r="AA34" s="1">
        <v>121</v>
      </c>
      <c r="AB34" s="1">
        <v>141</v>
      </c>
      <c r="AC34" s="1">
        <v>176</v>
      </c>
      <c r="AE34" s="1">
        <v>247</v>
      </c>
    </row>
    <row r="35" spans="1:31">
      <c r="A35" s="1" t="s">
        <v>51</v>
      </c>
      <c r="F35" s="41">
        <v>330.67899999999997</v>
      </c>
      <c r="I35" s="1">
        <v>43.481999999999999</v>
      </c>
      <c r="K35" s="1">
        <v>53.683</v>
      </c>
      <c r="L35" s="1">
        <v>90.837999999999994</v>
      </c>
      <c r="M35" s="1">
        <v>1.897</v>
      </c>
      <c r="N35" s="1">
        <v>10.058</v>
      </c>
      <c r="O35" s="1">
        <v>69.477999999999994</v>
      </c>
      <c r="P35" s="1">
        <v>125.276</v>
      </c>
      <c r="Q35" s="1">
        <v>18.3</v>
      </c>
      <c r="R35" s="1">
        <v>48.802999999999997</v>
      </c>
      <c r="S35" s="1">
        <v>45.061</v>
      </c>
      <c r="T35" s="1">
        <v>61.932000000000002</v>
      </c>
      <c r="U35" s="1">
        <v>32.688000000000002</v>
      </c>
      <c r="V35" s="1">
        <v>26.922999999999998</v>
      </c>
      <c r="W35" s="1">
        <v>0</v>
      </c>
      <c r="X35" s="1">
        <v>637.51400000000001</v>
      </c>
      <c r="Y35" s="1">
        <v>676.73299999999995</v>
      </c>
      <c r="Z35" s="1">
        <v>550.34100000000001</v>
      </c>
      <c r="AA35" s="1">
        <v>178.84700000000001</v>
      </c>
      <c r="AB35" s="1">
        <v>600.27099999999996</v>
      </c>
      <c r="AC35" s="1">
        <v>250.36</v>
      </c>
      <c r="AE35" s="1">
        <v>606.44299999999998</v>
      </c>
    </row>
    <row r="36" spans="1:31">
      <c r="A36" s="1" t="s">
        <v>52</v>
      </c>
      <c r="F36" s="41">
        <v>75.611000000000004</v>
      </c>
      <c r="I36" s="1">
        <v>158.721</v>
      </c>
      <c r="K36" s="1">
        <v>239.047</v>
      </c>
      <c r="L36" s="1">
        <v>429.12299999999999</v>
      </c>
      <c r="M36" s="1">
        <v>434.36200000000002</v>
      </c>
      <c r="N36" s="1">
        <v>383.90100000000001</v>
      </c>
      <c r="O36" s="1">
        <v>345.70100000000002</v>
      </c>
      <c r="P36" s="1">
        <v>355.827</v>
      </c>
      <c r="Q36" s="1">
        <v>448.04899999999998</v>
      </c>
      <c r="R36" s="1">
        <v>493.90699999999998</v>
      </c>
      <c r="S36" s="1">
        <v>576.173</v>
      </c>
      <c r="T36" s="1">
        <v>571.81700000000001</v>
      </c>
      <c r="U36" s="1">
        <v>658.16200000000003</v>
      </c>
      <c r="V36" s="1">
        <v>715.90700000000004</v>
      </c>
      <c r="W36" s="1">
        <v>823.04600000000005</v>
      </c>
      <c r="X36" s="1">
        <v>872.55899999999997</v>
      </c>
      <c r="Y36" s="1">
        <v>614.55399999999997</v>
      </c>
      <c r="Z36" s="1">
        <v>716.30899999999997</v>
      </c>
      <c r="AA36" s="1">
        <v>809.36699999999996</v>
      </c>
      <c r="AB36" s="1">
        <v>1420.076</v>
      </c>
      <c r="AC36" s="1">
        <v>3200.027</v>
      </c>
      <c r="AE36" s="1">
        <v>2587.3629999999998</v>
      </c>
    </row>
    <row r="37" spans="1:31">
      <c r="A37" s="1" t="s">
        <v>53</v>
      </c>
      <c r="F37" s="41">
        <v>16.571999999999999</v>
      </c>
      <c r="I37" s="1">
        <v>12.465</v>
      </c>
      <c r="K37" s="1">
        <v>12.938000000000001</v>
      </c>
      <c r="L37" s="1">
        <v>17.931999999999999</v>
      </c>
      <c r="M37" s="1">
        <v>22.347999999999999</v>
      </c>
      <c r="N37" s="1">
        <v>21.045999999999999</v>
      </c>
      <c r="O37" s="1">
        <v>33.658999999999999</v>
      </c>
      <c r="P37" s="1">
        <v>14.093999999999999</v>
      </c>
      <c r="Q37" s="1">
        <v>5.0389999999999997</v>
      </c>
      <c r="R37" s="1">
        <v>86.707999999999998</v>
      </c>
      <c r="S37" s="1">
        <v>38.475000000000001</v>
      </c>
      <c r="T37" s="1">
        <v>0</v>
      </c>
      <c r="U37" s="1">
        <v>0</v>
      </c>
      <c r="V37" s="1">
        <v>172.63200000000001</v>
      </c>
      <c r="W37" s="1">
        <v>12.602</v>
      </c>
      <c r="X37" s="1">
        <v>3.5150000000000001</v>
      </c>
      <c r="Y37" s="1">
        <v>102.529</v>
      </c>
      <c r="Z37" s="1">
        <v>142.32300000000001</v>
      </c>
      <c r="AA37" s="1">
        <v>143.94999999999999</v>
      </c>
      <c r="AB37" s="1">
        <v>13.771000000000001</v>
      </c>
      <c r="AC37" s="1">
        <v>50.814999999999998</v>
      </c>
      <c r="AE37" s="1">
        <v>36.039000000000001</v>
      </c>
    </row>
    <row r="38" spans="1:31">
      <c r="A38" s="1" t="s">
        <v>54</v>
      </c>
      <c r="F38" s="41">
        <v>12.241</v>
      </c>
      <c r="I38" s="1">
        <v>0</v>
      </c>
      <c r="K38" s="1">
        <v>0</v>
      </c>
      <c r="L38" s="1">
        <v>68.319999999999993</v>
      </c>
      <c r="M38" s="1">
        <v>13.744</v>
      </c>
      <c r="N38" s="1">
        <v>15.253</v>
      </c>
      <c r="O38" s="1">
        <v>11.367000000000001</v>
      </c>
      <c r="P38" s="1">
        <v>0</v>
      </c>
      <c r="Q38" s="1">
        <v>0</v>
      </c>
      <c r="R38" s="1">
        <v>0</v>
      </c>
      <c r="S38" s="1">
        <v>0</v>
      </c>
      <c r="T38" s="1">
        <v>0</v>
      </c>
      <c r="U38" s="1">
        <v>0</v>
      </c>
      <c r="V38" s="1">
        <v>0</v>
      </c>
      <c r="W38" s="1">
        <v>0</v>
      </c>
      <c r="X38" s="1">
        <v>0</v>
      </c>
      <c r="Y38" s="1">
        <v>0</v>
      </c>
      <c r="Z38" s="1">
        <v>0</v>
      </c>
      <c r="AA38" s="1">
        <v>0</v>
      </c>
      <c r="AB38" s="1">
        <v>0</v>
      </c>
      <c r="AC38" s="1">
        <v>0</v>
      </c>
      <c r="AE38" s="1">
        <v>0</v>
      </c>
    </row>
    <row r="39" spans="1:31">
      <c r="A39" s="23" t="s">
        <v>55</v>
      </c>
      <c r="B39" s="23"/>
      <c r="C39" s="23"/>
      <c r="D39" s="23"/>
      <c r="E39" s="23"/>
      <c r="F39" s="44">
        <v>0</v>
      </c>
      <c r="G39" s="23"/>
      <c r="H39" s="23"/>
      <c r="I39" s="23">
        <v>0</v>
      </c>
      <c r="J39" s="23"/>
      <c r="K39" s="23">
        <v>1.51</v>
      </c>
      <c r="L39" s="23">
        <v>45.603999999999999</v>
      </c>
      <c r="M39" s="23">
        <v>49.305</v>
      </c>
      <c r="N39" s="23">
        <v>50.5</v>
      </c>
      <c r="O39" s="23">
        <v>0</v>
      </c>
      <c r="P39" s="23">
        <v>0.51200000000000001</v>
      </c>
      <c r="Q39" s="23">
        <v>29.588000000000001</v>
      </c>
      <c r="R39" s="23">
        <v>54.633000000000003</v>
      </c>
      <c r="S39" s="23">
        <v>83.236000000000004</v>
      </c>
      <c r="T39" s="23">
        <v>84.971999999999994</v>
      </c>
      <c r="U39" s="23">
        <v>38.777000000000001</v>
      </c>
      <c r="V39" s="23">
        <v>82.97</v>
      </c>
      <c r="W39" s="23">
        <v>102.282</v>
      </c>
      <c r="X39" s="23">
        <v>50.015000000000001</v>
      </c>
      <c r="Y39" s="23">
        <v>68.402000000000001</v>
      </c>
      <c r="Z39" s="23">
        <v>207.37899999999999</v>
      </c>
      <c r="AA39" s="23">
        <v>302.452</v>
      </c>
      <c r="AB39" s="23">
        <v>354.84100000000001</v>
      </c>
      <c r="AC39" s="23">
        <v>470.27300000000002</v>
      </c>
      <c r="AD39" s="23"/>
      <c r="AE39" s="23">
        <v>330.85300000000001</v>
      </c>
    </row>
    <row r="40" spans="1:31">
      <c r="A40" s="7" t="s">
        <v>56</v>
      </c>
      <c r="B40" s="47">
        <f>SUM(B42:B53)</f>
        <v>0</v>
      </c>
      <c r="C40" s="47">
        <f t="shared" ref="C40:AC40" si="12">SUM(C42:C53)</f>
        <v>0</v>
      </c>
      <c r="D40" s="47">
        <f t="shared" si="12"/>
        <v>0</v>
      </c>
      <c r="E40" s="47">
        <f t="shared" si="12"/>
        <v>0</v>
      </c>
      <c r="F40" s="47">
        <f t="shared" si="12"/>
        <v>4351.3150000000005</v>
      </c>
      <c r="G40" s="47">
        <f t="shared" si="12"/>
        <v>0</v>
      </c>
      <c r="H40" s="47">
        <f t="shared" si="12"/>
        <v>0</v>
      </c>
      <c r="I40" s="47">
        <f t="shared" si="12"/>
        <v>7548.130000000001</v>
      </c>
      <c r="J40" s="47">
        <f t="shared" si="12"/>
        <v>0</v>
      </c>
      <c r="K40" s="47">
        <f t="shared" si="12"/>
        <v>4246.733319999993</v>
      </c>
      <c r="L40" s="47">
        <f t="shared" si="12"/>
        <v>3958.2379999999998</v>
      </c>
      <c r="M40" s="47">
        <f t="shared" si="12"/>
        <v>2523.1490000000003</v>
      </c>
      <c r="N40" s="47">
        <f t="shared" si="12"/>
        <v>2998.5070000000001</v>
      </c>
      <c r="O40" s="47">
        <f t="shared" si="12"/>
        <v>4546.8730000000005</v>
      </c>
      <c r="P40" s="47">
        <f t="shared" si="12"/>
        <v>2566.4009999999998</v>
      </c>
      <c r="Q40" s="47">
        <f t="shared" si="12"/>
        <v>2944.4589999999998</v>
      </c>
      <c r="R40" s="47">
        <f t="shared" si="12"/>
        <v>3812.587</v>
      </c>
      <c r="S40" s="47">
        <f t="shared" si="12"/>
        <v>4642.6729999999998</v>
      </c>
      <c r="T40" s="47">
        <f t="shared" si="12"/>
        <v>5412.2249999999995</v>
      </c>
      <c r="U40" s="47">
        <f t="shared" si="12"/>
        <v>11750.523999999999</v>
      </c>
      <c r="V40" s="47">
        <f t="shared" si="12"/>
        <v>7162.9100000000008</v>
      </c>
      <c r="W40" s="47">
        <f t="shared" si="12"/>
        <v>8620.7340000000004</v>
      </c>
      <c r="X40" s="47">
        <f t="shared" si="12"/>
        <v>6432.4350000000004</v>
      </c>
      <c r="Y40" s="47">
        <f t="shared" si="12"/>
        <v>9806.8740000000016</v>
      </c>
      <c r="Z40" s="47">
        <f t="shared" si="12"/>
        <v>9129.851999999999</v>
      </c>
      <c r="AA40" s="47">
        <f t="shared" si="12"/>
        <v>5783.7359999999999</v>
      </c>
      <c r="AB40" s="47">
        <f t="shared" si="12"/>
        <v>6322.1609999999991</v>
      </c>
      <c r="AC40" s="47">
        <f t="shared" si="12"/>
        <v>5108.8050000000003</v>
      </c>
      <c r="AD40" s="47">
        <f t="shared" ref="AD40:AE40" si="13">SUM(AD42:AD53)</f>
        <v>0</v>
      </c>
      <c r="AE40" s="47">
        <f t="shared" si="13"/>
        <v>5487.619999999999</v>
      </c>
    </row>
    <row r="41" spans="1:31">
      <c r="A41" s="7" t="s">
        <v>97</v>
      </c>
      <c r="X41" s="1">
        <v>0</v>
      </c>
      <c r="AB41" s="1">
        <v>0</v>
      </c>
      <c r="AC41" s="1">
        <v>0</v>
      </c>
    </row>
    <row r="42" spans="1:31">
      <c r="A42" s="1" t="s">
        <v>57</v>
      </c>
      <c r="F42" s="41">
        <v>48.466000000000001</v>
      </c>
      <c r="I42" s="1">
        <v>63.625999999999998</v>
      </c>
      <c r="K42" s="1">
        <v>254.91499999999999</v>
      </c>
      <c r="L42" s="1">
        <v>277.00299999999999</v>
      </c>
      <c r="M42" s="1">
        <v>303.35399999999998</v>
      </c>
      <c r="N42" s="1">
        <v>228.49700000000001</v>
      </c>
      <c r="O42" s="1">
        <v>269.17</v>
      </c>
      <c r="P42" s="1">
        <v>521.22299999999996</v>
      </c>
      <c r="Q42" s="1">
        <v>416.54300000000001</v>
      </c>
      <c r="R42" s="1">
        <v>504.53300000000002</v>
      </c>
      <c r="S42" s="1">
        <v>889.56600000000003</v>
      </c>
      <c r="T42" s="1">
        <v>1217.662</v>
      </c>
      <c r="U42" s="1">
        <v>1426.23</v>
      </c>
      <c r="V42" s="1">
        <v>1039.652</v>
      </c>
      <c r="W42" s="1">
        <v>767.87300000000005</v>
      </c>
      <c r="X42" s="1">
        <v>462.94499999999999</v>
      </c>
      <c r="Y42" s="1">
        <v>7.484</v>
      </c>
      <c r="Z42" s="1">
        <v>12.590999999999999</v>
      </c>
      <c r="AA42" s="1">
        <v>4.1790000000000003</v>
      </c>
      <c r="AB42" s="1">
        <v>297.97699999999998</v>
      </c>
      <c r="AC42" s="1">
        <v>199.57400000000001</v>
      </c>
      <c r="AE42" s="1">
        <v>5.8659999999999997</v>
      </c>
    </row>
    <row r="43" spans="1:31">
      <c r="A43" s="1" t="s">
        <v>58</v>
      </c>
      <c r="F43" s="41">
        <v>0</v>
      </c>
      <c r="I43" s="1">
        <v>0</v>
      </c>
      <c r="K43" s="1">
        <v>0</v>
      </c>
      <c r="L43" s="1">
        <v>0</v>
      </c>
      <c r="M43" s="1">
        <v>0</v>
      </c>
      <c r="N43" s="1">
        <v>0</v>
      </c>
      <c r="O43" s="1">
        <v>0</v>
      </c>
      <c r="P43" s="1">
        <v>0</v>
      </c>
      <c r="Q43" s="1">
        <v>0</v>
      </c>
      <c r="R43" s="1">
        <v>0</v>
      </c>
      <c r="S43" s="1">
        <v>0</v>
      </c>
      <c r="T43" s="1">
        <v>0</v>
      </c>
      <c r="U43" s="1">
        <v>0</v>
      </c>
      <c r="V43" s="1">
        <v>0</v>
      </c>
      <c r="W43" s="1">
        <v>0</v>
      </c>
      <c r="X43" s="1">
        <v>0</v>
      </c>
      <c r="Y43" s="1">
        <v>0</v>
      </c>
      <c r="Z43" s="1">
        <v>0</v>
      </c>
      <c r="AA43" s="1">
        <v>0</v>
      </c>
      <c r="AB43" s="1">
        <v>0</v>
      </c>
      <c r="AC43" s="1">
        <v>0</v>
      </c>
      <c r="AE43" s="1">
        <v>0</v>
      </c>
    </row>
    <row r="44" spans="1:31">
      <c r="A44" s="1" t="s">
        <v>59</v>
      </c>
      <c r="F44" s="41">
        <v>8.58</v>
      </c>
      <c r="I44" s="1">
        <v>21.896000000000001</v>
      </c>
      <c r="K44" s="1">
        <v>0</v>
      </c>
      <c r="L44" s="1">
        <v>151.52699999999999</v>
      </c>
      <c r="M44" s="1">
        <v>138.227</v>
      </c>
      <c r="N44" s="1">
        <v>141.71199999999999</v>
      </c>
      <c r="O44" s="1">
        <v>126.38</v>
      </c>
      <c r="P44" s="1">
        <v>101.813</v>
      </c>
      <c r="Q44" s="1">
        <v>99.847999999999999</v>
      </c>
      <c r="R44" s="1">
        <v>59.124000000000002</v>
      </c>
      <c r="S44" s="1">
        <v>93.02</v>
      </c>
      <c r="T44" s="1">
        <v>110.17700000000001</v>
      </c>
      <c r="U44" s="1">
        <v>104.684</v>
      </c>
      <c r="V44" s="1">
        <v>118.586</v>
      </c>
      <c r="W44" s="1">
        <v>157.38999999999999</v>
      </c>
      <c r="X44" s="1">
        <v>156.191</v>
      </c>
      <c r="Y44" s="1">
        <v>0</v>
      </c>
      <c r="Z44" s="1">
        <v>0</v>
      </c>
      <c r="AA44" s="1">
        <v>0</v>
      </c>
      <c r="AB44" s="1">
        <v>167.95099999999999</v>
      </c>
      <c r="AC44" s="1">
        <v>207.66200000000001</v>
      </c>
      <c r="AE44" s="1">
        <v>234.15600000000001</v>
      </c>
    </row>
    <row r="45" spans="1:31">
      <c r="A45" s="1" t="s">
        <v>60</v>
      </c>
      <c r="F45" s="41">
        <v>400.51499999999999</v>
      </c>
      <c r="I45" s="1">
        <v>75.786000000000001</v>
      </c>
      <c r="K45" s="1">
        <v>34.380000000000003</v>
      </c>
      <c r="L45" s="1">
        <v>123.444</v>
      </c>
      <c r="M45" s="1">
        <v>87.93</v>
      </c>
      <c r="N45" s="1">
        <v>96.662999999999997</v>
      </c>
      <c r="O45" s="1">
        <v>96.588999999999999</v>
      </c>
      <c r="P45" s="1">
        <v>96.588999999999999</v>
      </c>
      <c r="Q45" s="1">
        <v>108.94499999999999</v>
      </c>
      <c r="R45" s="1">
        <v>133.55699999999999</v>
      </c>
      <c r="S45" s="1">
        <v>162.08699999999999</v>
      </c>
      <c r="T45" s="1">
        <v>172.81399999999999</v>
      </c>
      <c r="U45" s="1">
        <v>123.26900000000001</v>
      </c>
      <c r="V45" s="1">
        <v>194.309</v>
      </c>
      <c r="W45" s="1">
        <v>218.459</v>
      </c>
      <c r="X45" s="1">
        <v>214.50399999999999</v>
      </c>
      <c r="Y45" s="1">
        <v>3703.422</v>
      </c>
      <c r="Z45" s="1">
        <v>4029.9749999999999</v>
      </c>
      <c r="AA45" s="1">
        <v>283.08600000000001</v>
      </c>
      <c r="AB45" s="1">
        <v>206.858</v>
      </c>
      <c r="AC45" s="1">
        <v>226.33199999999999</v>
      </c>
      <c r="AE45" s="1">
        <v>232.84700000000001</v>
      </c>
    </row>
    <row r="46" spans="1:31">
      <c r="A46" s="1" t="s">
        <v>61</v>
      </c>
      <c r="F46" s="41">
        <v>338.178</v>
      </c>
      <c r="I46" s="1">
        <v>515.4</v>
      </c>
      <c r="K46" s="1">
        <v>619.678</v>
      </c>
      <c r="L46" s="1">
        <v>625.44899999999996</v>
      </c>
      <c r="M46" s="1">
        <v>512.577</v>
      </c>
      <c r="N46" s="1">
        <v>642.12</v>
      </c>
      <c r="O46" s="1">
        <v>953.64499999999998</v>
      </c>
      <c r="P46" s="1">
        <v>324.38</v>
      </c>
      <c r="Q46" s="1">
        <v>344.214</v>
      </c>
      <c r="R46" s="1">
        <v>1026.2439999999999</v>
      </c>
      <c r="S46" s="1">
        <v>745.58699999999999</v>
      </c>
      <c r="T46" s="1">
        <v>972.303</v>
      </c>
      <c r="U46" s="1">
        <v>995.84900000000005</v>
      </c>
      <c r="V46" s="1">
        <v>1253.3710000000001</v>
      </c>
      <c r="W46" s="1">
        <v>1038.171</v>
      </c>
      <c r="X46" s="1">
        <v>944.55</v>
      </c>
      <c r="Y46" s="1">
        <v>489.58199999999999</v>
      </c>
      <c r="Z46" s="1">
        <v>685.43499999999995</v>
      </c>
      <c r="AA46" s="1">
        <v>594.36800000000005</v>
      </c>
      <c r="AB46" s="1">
        <v>599.80399999999997</v>
      </c>
      <c r="AC46" s="1">
        <v>696.52599999999995</v>
      </c>
      <c r="AE46" s="1">
        <v>853.67</v>
      </c>
    </row>
    <row r="47" spans="1:31">
      <c r="A47" s="1" t="s">
        <v>62</v>
      </c>
      <c r="F47" s="41">
        <v>677.83799999999997</v>
      </c>
      <c r="I47" s="1">
        <v>3074.3510000000001</v>
      </c>
      <c r="K47" s="1">
        <v>2662.6143199999929</v>
      </c>
      <c r="L47" s="1">
        <v>1712.0029999999999</v>
      </c>
      <c r="M47" s="1">
        <v>572.28700000000003</v>
      </c>
      <c r="N47" s="1">
        <v>656.28499999999997</v>
      </c>
      <c r="O47" s="1">
        <v>605.721</v>
      </c>
      <c r="P47" s="1">
        <v>876.17499999999995</v>
      </c>
      <c r="Q47" s="1">
        <v>1004.155</v>
      </c>
      <c r="R47" s="1">
        <v>1060.826</v>
      </c>
      <c r="S47" s="1">
        <v>1315.9280000000001</v>
      </c>
      <c r="T47" s="1">
        <v>1357.25</v>
      </c>
      <c r="U47" s="1">
        <v>2037</v>
      </c>
      <c r="V47" s="1">
        <v>2654</v>
      </c>
      <c r="W47" s="1">
        <v>3560</v>
      </c>
      <c r="X47" s="1">
        <v>2147</v>
      </c>
      <c r="Y47" s="1">
        <v>1189</v>
      </c>
      <c r="Z47" s="1">
        <v>1055</v>
      </c>
      <c r="AA47" s="1">
        <v>1169</v>
      </c>
      <c r="AB47" s="1">
        <v>2057.143</v>
      </c>
      <c r="AC47" s="1">
        <v>1563</v>
      </c>
      <c r="AE47" s="1">
        <v>1927</v>
      </c>
    </row>
    <row r="48" spans="1:31">
      <c r="A48" s="1" t="s">
        <v>63</v>
      </c>
      <c r="F48" s="41">
        <v>0</v>
      </c>
      <c r="I48" s="1">
        <v>0</v>
      </c>
      <c r="K48" s="1">
        <v>0</v>
      </c>
      <c r="L48" s="1">
        <v>0</v>
      </c>
      <c r="M48" s="1">
        <v>7.93</v>
      </c>
      <c r="N48" s="1">
        <v>11.445</v>
      </c>
      <c r="O48" s="1">
        <v>0</v>
      </c>
      <c r="P48" s="1">
        <v>0</v>
      </c>
      <c r="Q48" s="1">
        <v>0</v>
      </c>
      <c r="R48" s="1">
        <v>0</v>
      </c>
      <c r="S48" s="1">
        <v>14.823</v>
      </c>
      <c r="T48" s="1">
        <v>6.2930000000000001</v>
      </c>
      <c r="U48" s="1">
        <v>0</v>
      </c>
      <c r="V48" s="1">
        <v>0</v>
      </c>
      <c r="W48" s="1">
        <v>0.68799999999999994</v>
      </c>
      <c r="X48" s="1">
        <v>0</v>
      </c>
      <c r="Y48" s="1">
        <v>0</v>
      </c>
      <c r="Z48" s="1">
        <v>1.673</v>
      </c>
      <c r="AA48" s="1">
        <v>0.72799999999999998</v>
      </c>
      <c r="AB48" s="1">
        <v>11.705</v>
      </c>
      <c r="AC48" s="1">
        <v>1.137</v>
      </c>
      <c r="AE48" s="1">
        <v>247.48599999999999</v>
      </c>
    </row>
    <row r="49" spans="1:31">
      <c r="A49" s="1" t="s">
        <v>64</v>
      </c>
      <c r="F49" s="41">
        <v>0</v>
      </c>
      <c r="I49" s="1">
        <v>0</v>
      </c>
      <c r="K49" s="1">
        <v>0</v>
      </c>
      <c r="L49" s="1">
        <v>0</v>
      </c>
      <c r="M49" s="1">
        <v>0</v>
      </c>
      <c r="N49" s="1">
        <v>0</v>
      </c>
      <c r="O49" s="1">
        <v>0</v>
      </c>
      <c r="P49" s="1">
        <v>117.791</v>
      </c>
      <c r="Q49" s="1">
        <v>0</v>
      </c>
      <c r="R49" s="1">
        <v>9.9870000000000001</v>
      </c>
      <c r="S49" s="1">
        <v>1</v>
      </c>
      <c r="T49" s="1">
        <v>0</v>
      </c>
      <c r="U49" s="1">
        <v>2.36</v>
      </c>
      <c r="V49" s="1">
        <v>6.1360000000000001</v>
      </c>
      <c r="W49" s="1">
        <v>164.06100000000001</v>
      </c>
      <c r="X49" s="1">
        <v>44.8</v>
      </c>
      <c r="Y49" s="1">
        <v>39.536999999999999</v>
      </c>
      <c r="Z49" s="1">
        <v>12.513999999999999</v>
      </c>
      <c r="AA49" s="1">
        <v>0</v>
      </c>
      <c r="AB49" s="1">
        <v>16.523</v>
      </c>
      <c r="AC49" s="1">
        <v>3.798</v>
      </c>
      <c r="AE49" s="1">
        <v>2.31</v>
      </c>
    </row>
    <row r="50" spans="1:31">
      <c r="A50" s="1" t="s">
        <v>65</v>
      </c>
      <c r="F50" s="41">
        <v>12.266</v>
      </c>
      <c r="I50" s="1">
        <v>0</v>
      </c>
      <c r="K50" s="1">
        <v>92.185000000000002</v>
      </c>
      <c r="L50" s="1">
        <v>180.733</v>
      </c>
      <c r="M50" s="1">
        <v>15.945</v>
      </c>
      <c r="N50" s="1">
        <v>2.105</v>
      </c>
      <c r="O50" s="1">
        <v>11.688000000000001</v>
      </c>
      <c r="P50" s="1">
        <v>7.2709999999999999</v>
      </c>
      <c r="Q50" s="1">
        <v>1.349</v>
      </c>
      <c r="R50" s="1">
        <v>0</v>
      </c>
      <c r="S50" s="1">
        <v>0</v>
      </c>
      <c r="T50" s="1">
        <v>0</v>
      </c>
      <c r="U50" s="1">
        <v>0</v>
      </c>
      <c r="V50" s="1">
        <v>0</v>
      </c>
      <c r="W50" s="1">
        <v>0</v>
      </c>
      <c r="X50" s="1">
        <v>0</v>
      </c>
      <c r="Y50" s="1">
        <v>63.805</v>
      </c>
      <c r="Z50" s="1">
        <v>188.37200000000001</v>
      </c>
      <c r="AA50" s="1">
        <v>673.68899999999996</v>
      </c>
      <c r="AB50" s="1">
        <v>1085.877</v>
      </c>
      <c r="AC50" s="1">
        <v>712.43799999999999</v>
      </c>
      <c r="AE50" s="1">
        <v>285.089</v>
      </c>
    </row>
    <row r="51" spans="1:31">
      <c r="A51" s="1" t="s">
        <v>66</v>
      </c>
      <c r="F51" s="41">
        <v>341.29500000000002</v>
      </c>
      <c r="I51" s="1">
        <v>770.28300000000002</v>
      </c>
      <c r="K51" s="1">
        <v>376.39100000000002</v>
      </c>
      <c r="L51" s="1">
        <v>719.19299999999998</v>
      </c>
      <c r="M51" s="1">
        <v>730.73500000000001</v>
      </c>
      <c r="N51" s="1">
        <v>471.97300000000001</v>
      </c>
      <c r="O51" s="1">
        <v>437.74400000000003</v>
      </c>
      <c r="P51" s="1">
        <v>489.64100000000002</v>
      </c>
      <c r="Q51" s="1">
        <v>771.48400000000004</v>
      </c>
      <c r="R51" s="1">
        <v>860.58199999999999</v>
      </c>
      <c r="S51" s="1">
        <v>1202.394</v>
      </c>
      <c r="T51" s="1">
        <v>1385.5889999999999</v>
      </c>
      <c r="U51" s="1">
        <v>6596.6379999999999</v>
      </c>
      <c r="V51" s="1">
        <v>1709.162</v>
      </c>
      <c r="W51" s="1">
        <v>2502.2959999999998</v>
      </c>
      <c r="X51" s="1">
        <v>2290.413</v>
      </c>
      <c r="Y51" s="1">
        <v>4027.4349999999999</v>
      </c>
      <c r="Z51" s="1">
        <v>2775.4490000000001</v>
      </c>
      <c r="AA51" s="1">
        <v>2804.761</v>
      </c>
      <c r="AB51" s="1">
        <v>1722.329</v>
      </c>
      <c r="AC51" s="1">
        <v>1317.806</v>
      </c>
      <c r="AE51" s="1">
        <v>1628.7650000000001</v>
      </c>
    </row>
    <row r="52" spans="1:31">
      <c r="A52" s="1" t="s">
        <v>67</v>
      </c>
      <c r="F52" s="41">
        <v>0</v>
      </c>
      <c r="I52" s="1">
        <v>0</v>
      </c>
      <c r="K52" s="1">
        <v>0</v>
      </c>
      <c r="L52" s="1">
        <v>0</v>
      </c>
      <c r="M52" s="1">
        <v>0</v>
      </c>
      <c r="N52" s="1">
        <v>28.286999999999999</v>
      </c>
      <c r="O52" s="1">
        <v>0</v>
      </c>
      <c r="P52" s="1">
        <v>0</v>
      </c>
      <c r="Q52" s="1">
        <v>0</v>
      </c>
      <c r="R52" s="1">
        <v>0</v>
      </c>
      <c r="S52" s="1">
        <v>0</v>
      </c>
      <c r="T52" s="1">
        <v>0</v>
      </c>
      <c r="U52" s="1">
        <v>260.976</v>
      </c>
      <c r="V52" s="1">
        <v>0</v>
      </c>
      <c r="W52" s="1">
        <v>0</v>
      </c>
      <c r="X52" s="1">
        <v>0</v>
      </c>
      <c r="Y52" s="1">
        <v>70.311000000000007</v>
      </c>
      <c r="Z52" s="1">
        <v>46.865000000000002</v>
      </c>
      <c r="AA52" s="1">
        <v>54.746000000000002</v>
      </c>
      <c r="AB52" s="1">
        <v>62.021000000000001</v>
      </c>
      <c r="AC52" s="1">
        <v>110.848</v>
      </c>
      <c r="AE52" s="1">
        <v>70.430999999999997</v>
      </c>
    </row>
    <row r="53" spans="1:31">
      <c r="A53" s="23" t="s">
        <v>68</v>
      </c>
      <c r="B53" s="23"/>
      <c r="C53" s="23"/>
      <c r="D53" s="23"/>
      <c r="E53" s="23"/>
      <c r="F53" s="44">
        <v>2524.1770000000001</v>
      </c>
      <c r="G53" s="23"/>
      <c r="H53" s="23"/>
      <c r="I53" s="23">
        <v>3026.788</v>
      </c>
      <c r="J53" s="23"/>
      <c r="K53" s="23">
        <v>206.57</v>
      </c>
      <c r="L53" s="23">
        <v>168.886</v>
      </c>
      <c r="M53" s="23">
        <v>154.16399999999999</v>
      </c>
      <c r="N53" s="23">
        <v>719.42</v>
      </c>
      <c r="O53" s="23">
        <v>2045.9359999999999</v>
      </c>
      <c r="P53" s="23">
        <v>31.518000000000001</v>
      </c>
      <c r="Q53" s="23">
        <v>197.92099999999999</v>
      </c>
      <c r="R53" s="23">
        <v>157.73400000000001</v>
      </c>
      <c r="S53" s="23">
        <v>218.268</v>
      </c>
      <c r="T53" s="23">
        <v>190.137</v>
      </c>
      <c r="U53" s="23">
        <v>203.518</v>
      </c>
      <c r="V53" s="23">
        <v>187.69399999999999</v>
      </c>
      <c r="W53" s="23">
        <v>211.79599999999999</v>
      </c>
      <c r="X53" s="23">
        <v>172.03200000000001</v>
      </c>
      <c r="Y53" s="23">
        <v>216.298</v>
      </c>
      <c r="Z53" s="23">
        <v>321.97800000000001</v>
      </c>
      <c r="AA53" s="23">
        <v>199.179</v>
      </c>
      <c r="AB53" s="23">
        <v>93.972999999999999</v>
      </c>
      <c r="AC53" s="23">
        <v>69.683999999999997</v>
      </c>
      <c r="AD53" s="23"/>
      <c r="AE53" s="23">
        <v>0</v>
      </c>
    </row>
    <row r="54" spans="1:31">
      <c r="A54" s="7" t="s">
        <v>69</v>
      </c>
      <c r="B54" s="47">
        <f>SUM(B56:B64)</f>
        <v>0</v>
      </c>
      <c r="C54" s="47">
        <f t="shared" ref="C54:AC54" si="14">SUM(C56:C64)</f>
        <v>0</v>
      </c>
      <c r="D54" s="47">
        <f t="shared" si="14"/>
        <v>0</v>
      </c>
      <c r="E54" s="47">
        <f t="shared" si="14"/>
        <v>0</v>
      </c>
      <c r="F54" s="47">
        <f>SUM(F56:F64)</f>
        <v>5906.1080000000011</v>
      </c>
      <c r="G54" s="47">
        <f t="shared" si="14"/>
        <v>0</v>
      </c>
      <c r="H54" s="47">
        <f t="shared" si="14"/>
        <v>0</v>
      </c>
      <c r="I54" s="47">
        <f t="shared" si="14"/>
        <v>7298.0480000000007</v>
      </c>
      <c r="J54" s="47">
        <f t="shared" si="14"/>
        <v>0</v>
      </c>
      <c r="K54" s="47">
        <f t="shared" si="14"/>
        <v>2725.1089999999999</v>
      </c>
      <c r="L54" s="47">
        <f t="shared" si="14"/>
        <v>1630.3879999999999</v>
      </c>
      <c r="M54" s="47">
        <f t="shared" si="14"/>
        <v>3800.7779999999998</v>
      </c>
      <c r="N54" s="47">
        <f t="shared" si="14"/>
        <v>3812.5630000000001</v>
      </c>
      <c r="O54" s="47">
        <f t="shared" si="14"/>
        <v>4155.3069999999998</v>
      </c>
      <c r="P54" s="47">
        <f t="shared" si="14"/>
        <v>4472.4179999999997</v>
      </c>
      <c r="Q54" s="47">
        <f t="shared" si="14"/>
        <v>4347.7780000000002</v>
      </c>
      <c r="R54" s="47">
        <f t="shared" si="14"/>
        <v>4613.4139999999989</v>
      </c>
      <c r="S54" s="47">
        <f t="shared" si="14"/>
        <v>4878.7080000000005</v>
      </c>
      <c r="T54" s="47">
        <f t="shared" si="14"/>
        <v>5049.9309999999996</v>
      </c>
      <c r="U54" s="47">
        <f t="shared" si="14"/>
        <v>5050.7020000000002</v>
      </c>
      <c r="V54" s="47">
        <f t="shared" si="14"/>
        <v>5560.8970000000008</v>
      </c>
      <c r="W54" s="47">
        <f t="shared" si="14"/>
        <v>5810.6590000000006</v>
      </c>
      <c r="X54" s="47">
        <f t="shared" si="14"/>
        <v>5922.8430000000008</v>
      </c>
      <c r="Y54" s="47">
        <f t="shared" si="14"/>
        <v>5717.1310000000003</v>
      </c>
      <c r="Z54" s="47">
        <f t="shared" si="14"/>
        <v>10093.819</v>
      </c>
      <c r="AA54" s="47">
        <f t="shared" si="14"/>
        <v>7542.08</v>
      </c>
      <c r="AB54" s="47">
        <f t="shared" si="14"/>
        <v>7123.8310000000001</v>
      </c>
      <c r="AC54" s="47">
        <f t="shared" si="14"/>
        <v>9729.0869999999995</v>
      </c>
      <c r="AD54" s="47">
        <f t="shared" ref="AD54:AE54" si="15">SUM(AD56:AD64)</f>
        <v>0</v>
      </c>
      <c r="AE54" s="47">
        <f t="shared" si="15"/>
        <v>8925.3019999999997</v>
      </c>
    </row>
    <row r="55" spans="1:31">
      <c r="A55" s="7" t="s">
        <v>97</v>
      </c>
      <c r="X55" s="1">
        <v>0</v>
      </c>
      <c r="Y55" s="1" t="e">
        <f>#REF!/1000</f>
        <v>#REF!</v>
      </c>
      <c r="AB55" s="1">
        <v>0</v>
      </c>
      <c r="AC55" s="1">
        <v>0</v>
      </c>
    </row>
    <row r="56" spans="1:31">
      <c r="A56" s="1" t="s">
        <v>70</v>
      </c>
      <c r="F56" s="41">
        <v>0</v>
      </c>
      <c r="I56" s="1">
        <v>0</v>
      </c>
      <c r="K56" s="1">
        <v>0</v>
      </c>
      <c r="L56" s="1">
        <v>0</v>
      </c>
      <c r="M56" s="1">
        <v>0</v>
      </c>
      <c r="N56" s="1">
        <v>0</v>
      </c>
      <c r="O56" s="1">
        <v>0</v>
      </c>
      <c r="P56" s="1">
        <v>0</v>
      </c>
      <c r="Q56" s="1">
        <v>0</v>
      </c>
      <c r="R56" s="1">
        <v>0</v>
      </c>
      <c r="S56" s="1">
        <v>0</v>
      </c>
      <c r="T56" s="1">
        <v>0</v>
      </c>
      <c r="U56" s="1">
        <v>0</v>
      </c>
      <c r="V56" s="1">
        <v>0</v>
      </c>
      <c r="W56" s="1">
        <v>0</v>
      </c>
      <c r="X56" s="1">
        <v>0</v>
      </c>
      <c r="Y56" s="1">
        <v>0</v>
      </c>
      <c r="Z56" s="1">
        <v>0</v>
      </c>
      <c r="AA56" s="1">
        <v>0</v>
      </c>
      <c r="AB56" s="1">
        <v>0</v>
      </c>
      <c r="AC56" s="1">
        <v>0</v>
      </c>
      <c r="AE56" s="1">
        <v>0</v>
      </c>
    </row>
    <row r="57" spans="1:31">
      <c r="A57" s="1" t="s">
        <v>71</v>
      </c>
      <c r="F57" s="41">
        <v>17.428999999999998</v>
      </c>
      <c r="I57" s="1">
        <v>5.1109999999999998</v>
      </c>
      <c r="K57" s="1">
        <v>1.881</v>
      </c>
      <c r="L57" s="1">
        <v>0</v>
      </c>
      <c r="M57" s="1">
        <v>0</v>
      </c>
      <c r="N57" s="1">
        <v>0</v>
      </c>
      <c r="O57" s="1">
        <v>0</v>
      </c>
      <c r="P57" s="1">
        <v>0</v>
      </c>
      <c r="Q57" s="1">
        <v>0</v>
      </c>
      <c r="R57" s="1">
        <v>0</v>
      </c>
      <c r="S57" s="1">
        <v>0</v>
      </c>
      <c r="T57" s="1">
        <v>0</v>
      </c>
      <c r="U57" s="1">
        <v>0</v>
      </c>
      <c r="V57" s="1">
        <v>0</v>
      </c>
      <c r="W57" s="1">
        <v>0</v>
      </c>
      <c r="X57" s="1">
        <v>0</v>
      </c>
      <c r="Y57" s="1">
        <v>396</v>
      </c>
      <c r="Z57" s="1">
        <v>609</v>
      </c>
      <c r="AA57" s="1">
        <v>647</v>
      </c>
      <c r="AB57" s="1">
        <v>0</v>
      </c>
      <c r="AC57" s="1">
        <v>0</v>
      </c>
      <c r="AE57" s="1">
        <v>0</v>
      </c>
    </row>
    <row r="58" spans="1:31" s="11" customFormat="1">
      <c r="A58" s="1" t="s">
        <v>72</v>
      </c>
      <c r="B58" s="1"/>
      <c r="C58" s="1"/>
      <c r="D58" s="1"/>
      <c r="E58" s="1"/>
      <c r="F58" s="41">
        <v>0</v>
      </c>
      <c r="G58" s="1"/>
      <c r="H58" s="1"/>
      <c r="I58" s="1">
        <v>18.222000000000001</v>
      </c>
      <c r="J58" s="1"/>
      <c r="K58" s="1">
        <v>18.183</v>
      </c>
      <c r="L58" s="1">
        <v>26.731000000000002</v>
      </c>
      <c r="M58" s="1">
        <v>23.35</v>
      </c>
      <c r="N58" s="1">
        <v>22.718</v>
      </c>
      <c r="O58" s="1">
        <v>50.226999999999997</v>
      </c>
      <c r="P58" s="1">
        <v>78.671999999999997</v>
      </c>
      <c r="Q58" s="1">
        <v>91.272999999999996</v>
      </c>
      <c r="R58" s="1">
        <v>194.024</v>
      </c>
      <c r="S58" s="1">
        <v>166.24799999999999</v>
      </c>
      <c r="T58" s="1">
        <v>129.52000000000001</v>
      </c>
      <c r="U58" s="1">
        <v>122.015</v>
      </c>
      <c r="V58" s="1">
        <v>132.29499999999999</v>
      </c>
      <c r="W58" s="1">
        <v>53.543999999999997</v>
      </c>
      <c r="X58" s="1">
        <v>23.388999999999999</v>
      </c>
      <c r="Y58" s="1">
        <v>8.327</v>
      </c>
      <c r="Z58" s="1">
        <v>11.077</v>
      </c>
      <c r="AA58" s="1">
        <v>6.1989999999999998</v>
      </c>
      <c r="AB58" s="1">
        <v>14.051</v>
      </c>
      <c r="AC58" s="1">
        <v>14.055999999999999</v>
      </c>
      <c r="AD58" s="1"/>
      <c r="AE58" s="1">
        <v>21.030999999999999</v>
      </c>
    </row>
    <row r="59" spans="1:31">
      <c r="A59" s="1" t="s">
        <v>73</v>
      </c>
      <c r="F59" s="41">
        <v>0</v>
      </c>
      <c r="I59" s="1">
        <v>0</v>
      </c>
      <c r="K59" s="1">
        <v>0</v>
      </c>
      <c r="L59" s="1">
        <v>20.891999999999999</v>
      </c>
      <c r="M59" s="1">
        <v>0</v>
      </c>
      <c r="N59" s="1">
        <v>0</v>
      </c>
      <c r="O59" s="1">
        <v>0</v>
      </c>
      <c r="P59" s="1">
        <v>0</v>
      </c>
      <c r="Q59" s="1">
        <v>0</v>
      </c>
      <c r="R59" s="1">
        <v>0</v>
      </c>
      <c r="S59" s="1">
        <v>7.75</v>
      </c>
      <c r="T59" s="1">
        <v>6.1970000000000001</v>
      </c>
      <c r="U59" s="1">
        <v>44.072000000000003</v>
      </c>
      <c r="V59" s="1">
        <v>51.41</v>
      </c>
      <c r="W59" s="1">
        <v>14.94</v>
      </c>
      <c r="X59" s="1">
        <v>194.03100000000001</v>
      </c>
      <c r="Y59" s="1">
        <v>273.74</v>
      </c>
      <c r="Z59" s="1">
        <v>269.86700000000002</v>
      </c>
      <c r="AA59" s="1">
        <v>509.57100000000003</v>
      </c>
      <c r="AB59" s="1">
        <v>381.25</v>
      </c>
      <c r="AC59" s="1">
        <v>417.49200000000002</v>
      </c>
      <c r="AE59" s="1">
        <v>321.601</v>
      </c>
    </row>
    <row r="60" spans="1:31">
      <c r="A60" s="1" t="s">
        <v>74</v>
      </c>
      <c r="F60" s="41">
        <v>1189.3810000000001</v>
      </c>
      <c r="I60" s="1">
        <v>1278.9490000000001</v>
      </c>
      <c r="K60" s="1">
        <v>1352.4680000000001</v>
      </c>
      <c r="L60" s="1">
        <v>1001.022</v>
      </c>
      <c r="M60" s="1">
        <v>1095.8320000000001</v>
      </c>
      <c r="N60" s="1">
        <v>1347.711</v>
      </c>
      <c r="O60" s="1">
        <v>1466.0050000000001</v>
      </c>
      <c r="P60" s="1">
        <v>1515.6389999999999</v>
      </c>
      <c r="Q60" s="1">
        <v>1695.9390000000001</v>
      </c>
      <c r="R60" s="1">
        <v>1738.433</v>
      </c>
      <c r="S60" s="1">
        <v>1765.328</v>
      </c>
      <c r="T60" s="1">
        <v>2046.0319999999999</v>
      </c>
      <c r="U60" s="1">
        <v>2205.5680000000002</v>
      </c>
      <c r="V60" s="1">
        <v>2605.5790000000002</v>
      </c>
      <c r="W60" s="1">
        <v>2581.076</v>
      </c>
      <c r="X60" s="1">
        <v>2817.6170000000002</v>
      </c>
      <c r="Y60" s="1">
        <v>2775.4</v>
      </c>
      <c r="Z60" s="1">
        <v>2937.377</v>
      </c>
      <c r="AA60" s="1">
        <v>2262.864</v>
      </c>
      <c r="AB60" s="1">
        <v>2306.6289999999999</v>
      </c>
      <c r="AC60" s="1">
        <v>2331.3290000000002</v>
      </c>
      <c r="AE60" s="1">
        <v>3082.3939999999998</v>
      </c>
    </row>
    <row r="61" spans="1:31">
      <c r="A61" s="1" t="s">
        <v>75</v>
      </c>
      <c r="F61" s="41">
        <v>4500.8680000000004</v>
      </c>
      <c r="I61" s="1">
        <v>5822.6490000000003</v>
      </c>
      <c r="K61" s="1">
        <v>1135.1289999999999</v>
      </c>
      <c r="L61" s="1">
        <v>382.31599999999997</v>
      </c>
      <c r="M61" s="1">
        <v>2675.0050000000001</v>
      </c>
      <c r="N61" s="1">
        <v>2433.7159999999999</v>
      </c>
      <c r="O61" s="1">
        <v>2472.1170000000002</v>
      </c>
      <c r="P61" s="1">
        <v>2878.107</v>
      </c>
      <c r="Q61" s="1">
        <v>2489.9119999999998</v>
      </c>
      <c r="R61" s="1">
        <v>2604.4409999999998</v>
      </c>
      <c r="S61" s="1">
        <v>2806.8440000000001</v>
      </c>
      <c r="T61" s="1">
        <v>2726.0259999999998</v>
      </c>
      <c r="U61" s="1">
        <v>2565.2869999999998</v>
      </c>
      <c r="V61" s="1">
        <v>2654.7809999999999</v>
      </c>
      <c r="W61" s="1">
        <v>3087.067</v>
      </c>
      <c r="X61" s="1">
        <v>2882.6030000000001</v>
      </c>
      <c r="Y61" s="1">
        <v>2262.5329999999999</v>
      </c>
      <c r="Z61" s="1">
        <v>6217.9629999999997</v>
      </c>
      <c r="AA61" s="1">
        <v>4072.183</v>
      </c>
      <c r="AB61" s="1">
        <v>4382.5619999999999</v>
      </c>
      <c r="AC61" s="1">
        <v>6966.21</v>
      </c>
      <c r="AE61" s="1">
        <v>5500.2759999999998</v>
      </c>
    </row>
    <row r="62" spans="1:31">
      <c r="A62" s="1" t="s">
        <v>76</v>
      </c>
      <c r="F62" s="41">
        <v>198.43</v>
      </c>
      <c r="I62" s="1">
        <v>173.11699999999999</v>
      </c>
      <c r="K62" s="1">
        <v>217.44800000000001</v>
      </c>
      <c r="L62" s="1">
        <v>199.42699999999999</v>
      </c>
      <c r="M62" s="1">
        <v>6.5910000000000002</v>
      </c>
      <c r="N62" s="1">
        <v>8.4179999999999993</v>
      </c>
      <c r="O62" s="1">
        <v>166.958</v>
      </c>
      <c r="P62" s="1">
        <v>0</v>
      </c>
      <c r="Q62" s="1">
        <v>70.653999999999996</v>
      </c>
      <c r="R62" s="1">
        <v>76.516000000000005</v>
      </c>
      <c r="S62" s="1">
        <v>132.53800000000001</v>
      </c>
      <c r="T62" s="1">
        <v>142.15600000000001</v>
      </c>
      <c r="U62" s="1">
        <v>113.76</v>
      </c>
      <c r="V62" s="1">
        <v>116.83199999999999</v>
      </c>
      <c r="W62" s="1">
        <v>74.031999999999996</v>
      </c>
      <c r="X62" s="1">
        <v>5.2030000000000003</v>
      </c>
      <c r="Y62" s="1">
        <v>1.131</v>
      </c>
      <c r="Z62" s="1">
        <v>48.534999999999997</v>
      </c>
      <c r="AA62" s="1">
        <v>26.19</v>
      </c>
      <c r="AB62" s="1">
        <v>39.338999999999999</v>
      </c>
      <c r="AC62" s="1">
        <v>0</v>
      </c>
      <c r="AE62" s="1">
        <v>0</v>
      </c>
    </row>
    <row r="63" spans="1:31">
      <c r="A63" s="1" t="s">
        <v>77</v>
      </c>
      <c r="F63" s="41">
        <v>0</v>
      </c>
      <c r="I63" s="1">
        <v>0</v>
      </c>
      <c r="K63" s="1">
        <v>0</v>
      </c>
      <c r="L63" s="1">
        <v>0</v>
      </c>
      <c r="M63" s="1">
        <v>0</v>
      </c>
      <c r="N63" s="1">
        <v>0</v>
      </c>
      <c r="O63" s="1">
        <v>0</v>
      </c>
      <c r="P63" s="1">
        <v>0</v>
      </c>
      <c r="Q63" s="1">
        <v>0</v>
      </c>
      <c r="R63" s="1">
        <v>0</v>
      </c>
      <c r="S63" s="1">
        <v>0</v>
      </c>
      <c r="T63" s="1">
        <v>0</v>
      </c>
      <c r="U63" s="1">
        <v>0</v>
      </c>
      <c r="V63" s="1">
        <v>0</v>
      </c>
      <c r="W63" s="1">
        <v>0</v>
      </c>
      <c r="X63" s="1">
        <v>0</v>
      </c>
      <c r="Y63" s="1">
        <v>0</v>
      </c>
      <c r="Z63" s="1">
        <v>0</v>
      </c>
      <c r="AA63" s="1">
        <v>0</v>
      </c>
      <c r="AB63" s="1">
        <v>0</v>
      </c>
      <c r="AC63" s="1">
        <v>0</v>
      </c>
      <c r="AE63" s="1">
        <v>0</v>
      </c>
    </row>
    <row r="64" spans="1:31">
      <c r="A64" s="23" t="s">
        <v>78</v>
      </c>
      <c r="B64" s="23"/>
      <c r="C64" s="23"/>
      <c r="D64" s="23"/>
      <c r="E64" s="23"/>
      <c r="F64" s="44">
        <v>0</v>
      </c>
      <c r="G64" s="23"/>
      <c r="H64" s="23"/>
      <c r="I64" s="23">
        <v>0</v>
      </c>
      <c r="J64" s="23"/>
      <c r="K64" s="23">
        <v>0</v>
      </c>
      <c r="L64" s="23">
        <v>0</v>
      </c>
      <c r="M64" s="23">
        <v>0</v>
      </c>
      <c r="N64" s="23">
        <v>0</v>
      </c>
      <c r="O64" s="23">
        <v>0</v>
      </c>
      <c r="P64" s="23">
        <v>0</v>
      </c>
      <c r="Q64" s="23">
        <v>0</v>
      </c>
      <c r="R64" s="23">
        <v>0</v>
      </c>
      <c r="S64" s="23">
        <v>0</v>
      </c>
      <c r="T64" s="23">
        <v>0</v>
      </c>
      <c r="U64" s="23">
        <v>0</v>
      </c>
      <c r="V64" s="23">
        <v>0</v>
      </c>
      <c r="W64" s="23">
        <v>0</v>
      </c>
      <c r="X64" s="23">
        <v>0</v>
      </c>
      <c r="Y64" s="23">
        <v>0</v>
      </c>
      <c r="Z64" s="23">
        <v>0</v>
      </c>
      <c r="AA64" s="23">
        <v>18.073</v>
      </c>
      <c r="AB64" s="23">
        <v>0</v>
      </c>
      <c r="AC64" s="23">
        <v>0</v>
      </c>
      <c r="AD64" s="23"/>
      <c r="AE64" s="23">
        <v>0</v>
      </c>
    </row>
    <row r="65" spans="1:31">
      <c r="A65" s="45" t="s">
        <v>79</v>
      </c>
      <c r="B65" s="45"/>
      <c r="C65" s="45"/>
      <c r="D65" s="45"/>
      <c r="E65" s="45"/>
      <c r="F65" s="46">
        <v>0</v>
      </c>
      <c r="G65" s="45"/>
      <c r="H65" s="45"/>
      <c r="I65" s="45">
        <v>0</v>
      </c>
      <c r="J65" s="45"/>
      <c r="K65" s="45">
        <v>0</v>
      </c>
      <c r="L65" s="45"/>
      <c r="M65" s="45">
        <v>0</v>
      </c>
      <c r="N65" s="45">
        <v>0</v>
      </c>
      <c r="O65" s="45">
        <v>0</v>
      </c>
      <c r="P65" s="45">
        <v>0</v>
      </c>
      <c r="Q65" s="45">
        <v>0</v>
      </c>
      <c r="R65" s="45">
        <v>0</v>
      </c>
      <c r="S65" s="45">
        <v>0</v>
      </c>
      <c r="T65" s="45">
        <v>0</v>
      </c>
      <c r="U65" s="45">
        <v>0</v>
      </c>
      <c r="V65" s="45">
        <v>0</v>
      </c>
      <c r="W65" s="45">
        <v>0</v>
      </c>
      <c r="X65" s="23">
        <v>0</v>
      </c>
      <c r="Y65" s="23"/>
      <c r="Z65" s="23"/>
      <c r="AA65" s="23"/>
      <c r="AB65" s="23"/>
      <c r="AC65" s="23"/>
      <c r="AD65" s="23"/>
      <c r="AE65" s="23"/>
    </row>
    <row r="67" spans="1:31">
      <c r="I67" s="19" t="s">
        <v>99</v>
      </c>
      <c r="J67" s="19" t="s">
        <v>100</v>
      </c>
      <c r="K67" s="19"/>
      <c r="L67" s="19" t="s">
        <v>101</v>
      </c>
      <c r="M67" s="19"/>
      <c r="N67" s="19"/>
      <c r="O67" s="19" t="s">
        <v>99</v>
      </c>
      <c r="P67" s="19" t="s">
        <v>99</v>
      </c>
      <c r="Q67" s="19" t="s">
        <v>99</v>
      </c>
      <c r="R67" s="19" t="s">
        <v>99</v>
      </c>
      <c r="S67" s="19"/>
      <c r="T67" s="19"/>
      <c r="U67" s="19"/>
      <c r="V67" s="19"/>
      <c r="W67" s="19"/>
    </row>
    <row r="68" spans="1:31">
      <c r="I68" s="1" t="s">
        <v>102</v>
      </c>
      <c r="J68" s="1" t="s">
        <v>103</v>
      </c>
      <c r="L68" s="1" t="s">
        <v>104</v>
      </c>
      <c r="O68" s="1" t="s">
        <v>102</v>
      </c>
      <c r="P68" s="1" t="s">
        <v>102</v>
      </c>
      <c r="Q68" s="1" t="s">
        <v>102</v>
      </c>
      <c r="R68" s="1" t="s">
        <v>102</v>
      </c>
    </row>
    <row r="69" spans="1:31">
      <c r="I69" s="1" t="s">
        <v>105</v>
      </c>
      <c r="J69" s="1" t="s">
        <v>106</v>
      </c>
      <c r="O69" s="1" t="s">
        <v>105</v>
      </c>
      <c r="P69" s="1" t="s">
        <v>105</v>
      </c>
      <c r="Q69" s="1" t="s">
        <v>105</v>
      </c>
      <c r="R69" s="1" t="s">
        <v>105</v>
      </c>
    </row>
    <row r="70" spans="1:31">
      <c r="J70" s="1" t="s">
        <v>107</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abColor indexed="62"/>
  </sheetPr>
  <dimension ref="A1:AE70"/>
  <sheetViews>
    <sheetView showZeros="0" zoomScale="112" zoomScaleNormal="112" workbookViewId="0">
      <pane xSplit="1" ySplit="5" topLeftCell="U33" activePane="bottomRight" state="frozen"/>
      <selection pane="topRight" activeCell="B52" sqref="B52"/>
      <selection pane="bottomLeft" activeCell="B52" sqref="B52"/>
      <selection pane="bottomRight" activeCell="AE42" sqref="AE42:AE53"/>
    </sheetView>
  </sheetViews>
  <sheetFormatPr defaultColWidth="9.85546875" defaultRowHeight="12.75"/>
  <cols>
    <col min="1" max="1" width="23.42578125" style="43" customWidth="1"/>
    <col min="2" max="23" width="12.42578125" style="1" customWidth="1"/>
    <col min="24" max="29" width="10.85546875" style="1" customWidth="1"/>
    <col min="30" max="31" width="12.42578125" style="1" customWidth="1"/>
    <col min="32" max="45" width="10.85546875" style="1" customWidth="1"/>
    <col min="46" max="16384" width="9.85546875" style="1"/>
  </cols>
  <sheetData>
    <row r="1" spans="1:31">
      <c r="A1" s="7" t="s">
        <v>94</v>
      </c>
      <c r="B1"/>
      <c r="C1"/>
      <c r="D1"/>
      <c r="E1"/>
      <c r="F1"/>
      <c r="G1"/>
      <c r="H1"/>
      <c r="I1"/>
      <c r="J1"/>
      <c r="K1"/>
      <c r="L1"/>
      <c r="M1"/>
      <c r="N1"/>
      <c r="O1"/>
      <c r="P1"/>
      <c r="Q1"/>
      <c r="R1"/>
      <c r="S1"/>
      <c r="T1"/>
      <c r="U1"/>
      <c r="V1"/>
      <c r="W1"/>
      <c r="AB1" s="1">
        <v>1000</v>
      </c>
    </row>
    <row r="2" spans="1:31">
      <c r="A2" s="9"/>
      <c r="B2" s="9"/>
      <c r="C2" s="9"/>
      <c r="D2" s="9"/>
      <c r="E2" s="9"/>
      <c r="F2" s="9"/>
    </row>
    <row r="3" spans="1:31">
      <c r="A3" s="1" t="s">
        <v>130</v>
      </c>
      <c r="B3" s="9"/>
      <c r="C3" s="9"/>
      <c r="D3" s="9"/>
      <c r="E3" s="9"/>
      <c r="F3" s="9"/>
    </row>
    <row r="4" spans="1:31" s="32" customFormat="1">
      <c r="B4" s="32">
        <v>1984</v>
      </c>
      <c r="C4" s="32">
        <v>1985</v>
      </c>
      <c r="D4" s="32">
        <v>1986</v>
      </c>
      <c r="E4" s="32">
        <v>1991</v>
      </c>
      <c r="F4" s="32">
        <v>1992</v>
      </c>
      <c r="G4" s="32">
        <v>1993</v>
      </c>
      <c r="H4" s="32">
        <v>1994</v>
      </c>
      <c r="I4" s="32">
        <v>1995</v>
      </c>
      <c r="J4" s="32">
        <v>1996</v>
      </c>
      <c r="K4" s="32">
        <v>1997</v>
      </c>
      <c r="L4" s="32">
        <v>2000</v>
      </c>
      <c r="M4" s="39">
        <v>2001</v>
      </c>
      <c r="N4" s="39">
        <v>2002</v>
      </c>
      <c r="O4" s="39">
        <v>2003</v>
      </c>
      <c r="P4" s="39">
        <v>2004</v>
      </c>
      <c r="Q4" s="39">
        <v>2005</v>
      </c>
      <c r="R4" s="39">
        <v>2006</v>
      </c>
      <c r="S4" s="39">
        <v>2007</v>
      </c>
      <c r="T4" s="39">
        <v>2008</v>
      </c>
      <c r="U4" s="39">
        <v>2009</v>
      </c>
      <c r="V4" s="39">
        <v>2010</v>
      </c>
      <c r="W4" s="39">
        <v>2011</v>
      </c>
      <c r="X4" s="32" t="s">
        <v>111</v>
      </c>
      <c r="Y4" s="32" t="s">
        <v>112</v>
      </c>
      <c r="Z4" s="32" t="s">
        <v>113</v>
      </c>
      <c r="AA4" s="32" t="s">
        <v>114</v>
      </c>
      <c r="AB4" s="95" t="s">
        <v>115</v>
      </c>
      <c r="AC4" s="95" t="s">
        <v>116</v>
      </c>
      <c r="AD4" s="96">
        <v>2018</v>
      </c>
      <c r="AE4" s="96">
        <v>2019</v>
      </c>
    </row>
    <row r="5" spans="1:31">
      <c r="B5" s="8" t="s">
        <v>96</v>
      </c>
      <c r="C5" s="8" t="s">
        <v>96</v>
      </c>
      <c r="D5" s="8" t="s">
        <v>96</v>
      </c>
      <c r="E5" s="8" t="s">
        <v>96</v>
      </c>
      <c r="F5" s="8" t="s">
        <v>96</v>
      </c>
      <c r="G5" s="8" t="s">
        <v>96</v>
      </c>
      <c r="H5" s="8" t="s">
        <v>96</v>
      </c>
      <c r="I5" s="8" t="s">
        <v>96</v>
      </c>
      <c r="J5" s="8" t="s">
        <v>96</v>
      </c>
      <c r="K5" s="8" t="s">
        <v>96</v>
      </c>
      <c r="L5" s="8" t="s">
        <v>96</v>
      </c>
      <c r="M5" s="8" t="s">
        <v>96</v>
      </c>
      <c r="N5" s="8" t="s">
        <v>96</v>
      </c>
      <c r="O5" s="8" t="s">
        <v>96</v>
      </c>
      <c r="P5" s="8" t="s">
        <v>96</v>
      </c>
      <c r="Q5" s="8" t="s">
        <v>96</v>
      </c>
      <c r="R5" s="8" t="s">
        <v>96</v>
      </c>
      <c r="S5" s="8" t="s">
        <v>96</v>
      </c>
      <c r="T5" s="8" t="s">
        <v>96</v>
      </c>
      <c r="U5" s="8" t="s">
        <v>96</v>
      </c>
      <c r="V5" s="8" t="s">
        <v>96</v>
      </c>
      <c r="W5" s="8" t="s">
        <v>96</v>
      </c>
      <c r="X5" s="8" t="s">
        <v>96</v>
      </c>
      <c r="Y5" s="8" t="s">
        <v>96</v>
      </c>
      <c r="Z5" s="8" t="s">
        <v>96</v>
      </c>
      <c r="AA5" s="8" t="s">
        <v>96</v>
      </c>
      <c r="AB5" s="8" t="s">
        <v>96</v>
      </c>
      <c r="AC5" s="8" t="s">
        <v>96</v>
      </c>
      <c r="AD5" s="8" t="s">
        <v>96</v>
      </c>
      <c r="AE5" s="8" t="s">
        <v>96</v>
      </c>
    </row>
    <row r="6" spans="1:31">
      <c r="A6" s="23" t="s">
        <v>24</v>
      </c>
      <c r="B6" s="23">
        <f>1123948+774975</f>
        <v>1898923</v>
      </c>
      <c r="C6" s="23">
        <f>1237823+884519</f>
        <v>2122342</v>
      </c>
      <c r="D6" s="23">
        <f>1361459+951835</f>
        <v>2313294</v>
      </c>
      <c r="E6" s="23">
        <v>3604057.4369999999</v>
      </c>
      <c r="F6" s="48">
        <f>+F7+F25+F40+F54+F65</f>
        <v>3723608.2909999997</v>
      </c>
      <c r="G6" s="23">
        <v>4153965.43</v>
      </c>
      <c r="H6" s="23">
        <v>4304768.3650000002</v>
      </c>
      <c r="I6" s="48">
        <f>+I7+I25+I40+I54+I65</f>
        <v>4390465.6669999994</v>
      </c>
      <c r="J6" s="23">
        <v>4836048.3310000002</v>
      </c>
      <c r="K6" s="48">
        <f t="shared" ref="K6:U6" si="0">+K7+K25+K40+K54+K65</f>
        <v>5211166.3877000008</v>
      </c>
      <c r="L6" s="48">
        <f t="shared" si="0"/>
        <v>6423100.7999999989</v>
      </c>
      <c r="M6" s="48">
        <f t="shared" si="0"/>
        <v>6960824.4690000014</v>
      </c>
      <c r="N6" s="48">
        <f t="shared" si="0"/>
        <v>7191773.7750000004</v>
      </c>
      <c r="O6" s="48">
        <f t="shared" si="0"/>
        <v>7282357.0540000005</v>
      </c>
      <c r="P6" s="48">
        <f t="shared" si="0"/>
        <v>7717216.4139999989</v>
      </c>
      <c r="Q6" s="48">
        <f t="shared" si="0"/>
        <v>8365568.4239999987</v>
      </c>
      <c r="R6" s="48">
        <f t="shared" si="0"/>
        <v>8550279.7739999983</v>
      </c>
      <c r="S6" s="48">
        <f t="shared" si="0"/>
        <v>8964730.6689999998</v>
      </c>
      <c r="T6" s="48">
        <f t="shared" si="0"/>
        <v>9718925.9930000007</v>
      </c>
      <c r="U6" s="48">
        <f t="shared" si="0"/>
        <v>8863831.7979999986</v>
      </c>
      <c r="V6" s="48">
        <f t="shared" ref="V6:W6" si="1">+V7+V25+V40+V54+V65</f>
        <v>11337142.858000001</v>
      </c>
      <c r="W6" s="48">
        <f t="shared" si="1"/>
        <v>11783769.738000002</v>
      </c>
      <c r="X6" s="48">
        <f t="shared" ref="X6:Y6" si="2">+X7+X25+X40+X54+X65</f>
        <v>11970565.113</v>
      </c>
      <c r="Y6" s="48">
        <f t="shared" si="2"/>
        <v>11642963.959000001</v>
      </c>
      <c r="Z6" s="48">
        <f t="shared" ref="Z6:AA6" si="3">+Z7+Z25+Z40+Z54+Z65</f>
        <v>12103996.17</v>
      </c>
      <c r="AA6" s="48">
        <f t="shared" si="3"/>
        <v>12273194.308</v>
      </c>
      <c r="AB6" s="48">
        <f t="shared" ref="AB6:AE6" si="4">+AB7+AB25+AB40+AB54+AB65</f>
        <v>13190690.443000002</v>
      </c>
      <c r="AC6" s="48">
        <f t="shared" si="4"/>
        <v>13920788.512000002</v>
      </c>
      <c r="AD6" s="48">
        <f t="shared" si="4"/>
        <v>0</v>
      </c>
      <c r="AE6" s="48">
        <f t="shared" si="4"/>
        <v>14399673.136</v>
      </c>
    </row>
    <row r="7" spans="1:31">
      <c r="A7" s="1" t="s">
        <v>25</v>
      </c>
      <c r="B7" s="47">
        <f>SUM(B8:B24)</f>
        <v>757117</v>
      </c>
      <c r="C7" s="47">
        <f t="shared" ref="C7:U7" si="5">SUM(C8:C24)</f>
        <v>840925</v>
      </c>
      <c r="D7" s="47">
        <f t="shared" si="5"/>
        <v>941532</v>
      </c>
      <c r="E7" s="47">
        <f t="shared" si="5"/>
        <v>1465471.787</v>
      </c>
      <c r="F7" s="47">
        <f t="shared" si="5"/>
        <v>1527873.6980000001</v>
      </c>
      <c r="G7" s="47">
        <f t="shared" si="5"/>
        <v>1673537.199</v>
      </c>
      <c r="H7" s="47">
        <f t="shared" si="5"/>
        <v>1679426.4129999999</v>
      </c>
      <c r="I7" s="47">
        <f t="shared" si="5"/>
        <v>1775180.99</v>
      </c>
      <c r="J7" s="47">
        <f t="shared" si="5"/>
        <v>1872206.0269999995</v>
      </c>
      <c r="K7" s="47">
        <f t="shared" si="5"/>
        <v>2062870.8123999999</v>
      </c>
      <c r="L7" s="47">
        <f t="shared" si="5"/>
        <v>2545154.3709999993</v>
      </c>
      <c r="M7" s="47">
        <f t="shared" si="5"/>
        <v>2742216.3130000005</v>
      </c>
      <c r="N7" s="47">
        <f t="shared" si="5"/>
        <v>2926197.602</v>
      </c>
      <c r="O7" s="47">
        <f t="shared" si="5"/>
        <v>3047681.1650000005</v>
      </c>
      <c r="P7" s="47">
        <f t="shared" si="5"/>
        <v>3358959.3249999993</v>
      </c>
      <c r="Q7" s="47">
        <f t="shared" si="5"/>
        <v>3517854.1440000003</v>
      </c>
      <c r="R7" s="47">
        <f t="shared" si="5"/>
        <v>3487173.5239999997</v>
      </c>
      <c r="S7" s="47">
        <f t="shared" si="5"/>
        <v>3625793.3419999997</v>
      </c>
      <c r="T7" s="47">
        <f t="shared" si="5"/>
        <v>4000663.5710000005</v>
      </c>
      <c r="U7" s="47">
        <f t="shared" si="5"/>
        <v>3611518.0409999993</v>
      </c>
      <c r="V7" s="47">
        <f t="shared" ref="V7:W7" si="6">SUM(V8:V24)</f>
        <v>4740123.8020000001</v>
      </c>
      <c r="W7" s="47">
        <f t="shared" si="6"/>
        <v>4932653.307000001</v>
      </c>
      <c r="X7" s="47">
        <f t="shared" ref="X7:Y7" si="7">SUM(X8:X24)</f>
        <v>4993253.4979999997</v>
      </c>
      <c r="Y7" s="47">
        <f t="shared" si="7"/>
        <v>4673158.4350000005</v>
      </c>
      <c r="Z7" s="47">
        <f t="shared" ref="Z7:AA7" si="8">SUM(Z8:Z24)</f>
        <v>4792561.5180000002</v>
      </c>
      <c r="AA7" s="47">
        <f t="shared" si="8"/>
        <v>5061106.824</v>
      </c>
      <c r="AB7" s="47">
        <f t="shared" ref="AB7:AE7" si="9">SUM(AB8:AB24)</f>
        <v>5497890.9020000007</v>
      </c>
      <c r="AC7" s="47">
        <f t="shared" si="9"/>
        <v>5776182.6520000007</v>
      </c>
      <c r="AD7" s="47">
        <f t="shared" si="9"/>
        <v>0</v>
      </c>
      <c r="AE7" s="47">
        <f t="shared" si="9"/>
        <v>6119653.0800000001</v>
      </c>
    </row>
    <row r="8" spans="1:31">
      <c r="A8" s="7" t="s">
        <v>97</v>
      </c>
    </row>
    <row r="9" spans="1:31">
      <c r="A9" s="1" t="s">
        <v>26</v>
      </c>
      <c r="B9" s="1">
        <f>36139+25389</f>
        <v>61528</v>
      </c>
      <c r="C9" s="1">
        <f>39358+30139</f>
        <v>69497</v>
      </c>
      <c r="D9" s="1">
        <f>44038+32537</f>
        <v>76575</v>
      </c>
      <c r="E9" s="1">
        <v>112309.96799999999</v>
      </c>
      <c r="F9" s="41">
        <v>128753.25199999999</v>
      </c>
      <c r="G9" s="1">
        <v>134729.89799999999</v>
      </c>
      <c r="H9" s="1">
        <v>135241.26999999999</v>
      </c>
      <c r="I9" s="1">
        <v>156649.60699999999</v>
      </c>
      <c r="J9" s="1">
        <v>173623.92</v>
      </c>
      <c r="K9" s="1">
        <v>187142.66399999999</v>
      </c>
      <c r="L9" s="1">
        <v>233698.06</v>
      </c>
      <c r="M9" s="1">
        <v>246998.06200000001</v>
      </c>
      <c r="N9" s="1">
        <v>213672.05900000001</v>
      </c>
      <c r="O9" s="1">
        <v>219987.67800000001</v>
      </c>
      <c r="P9" s="1">
        <v>344189.05800000002</v>
      </c>
      <c r="Q9" s="1">
        <v>256081.86</v>
      </c>
      <c r="R9" s="1">
        <v>276619.33199999999</v>
      </c>
      <c r="S9" s="1">
        <v>305542.14899999998</v>
      </c>
      <c r="T9" s="1">
        <v>349177.83399999997</v>
      </c>
      <c r="U9" s="1">
        <v>317702.77399999998</v>
      </c>
      <c r="V9" s="1">
        <v>333868.47899999999</v>
      </c>
      <c r="W9" s="1">
        <v>381187.13900000002</v>
      </c>
      <c r="X9" s="1">
        <v>369607.13199999998</v>
      </c>
      <c r="Y9" s="1">
        <v>386544.7</v>
      </c>
      <c r="Z9" s="1">
        <v>405985.83399999997</v>
      </c>
      <c r="AA9" s="1">
        <v>437112.92</v>
      </c>
      <c r="AB9" s="1">
        <v>382432.723</v>
      </c>
      <c r="AC9" s="1">
        <v>418677.23800000001</v>
      </c>
      <c r="AE9" s="1">
        <v>415022.85100000002</v>
      </c>
    </row>
    <row r="10" spans="1:31">
      <c r="A10" s="1" t="s">
        <v>27</v>
      </c>
      <c r="B10" s="1">
        <f>19512+5995</f>
        <v>25507</v>
      </c>
      <c r="C10" s="1">
        <f>22456+7691</f>
        <v>30147</v>
      </c>
      <c r="D10" s="1">
        <f>23894+8492</f>
        <v>32386</v>
      </c>
      <c r="E10" s="1">
        <v>40354.447999999997</v>
      </c>
      <c r="F10" s="41">
        <v>42746.135000000002</v>
      </c>
      <c r="G10" s="1">
        <v>47553.472000000002</v>
      </c>
      <c r="H10" s="1">
        <v>51120.58</v>
      </c>
      <c r="I10" s="1">
        <v>50187.644999999997</v>
      </c>
      <c r="J10" s="1">
        <v>52321.703999999998</v>
      </c>
      <c r="K10" s="1">
        <v>60009.419000000002</v>
      </c>
      <c r="L10" s="1">
        <v>82197.945999999996</v>
      </c>
      <c r="M10" s="1">
        <v>92072.082999999999</v>
      </c>
      <c r="N10" s="1">
        <v>86784.373999999996</v>
      </c>
      <c r="O10" s="1">
        <v>87621.307000000001</v>
      </c>
      <c r="P10" s="1">
        <v>98473.195000000007</v>
      </c>
      <c r="Q10" s="1">
        <v>101910.72100000001</v>
      </c>
      <c r="R10" s="1">
        <v>118674.442</v>
      </c>
      <c r="S10" s="1">
        <v>125662.584</v>
      </c>
      <c r="T10" s="1">
        <v>134144.95800000001</v>
      </c>
      <c r="U10" s="1">
        <v>115238.79399999999</v>
      </c>
      <c r="V10" s="1">
        <v>170062.41</v>
      </c>
      <c r="W10" s="1">
        <v>179734.24799999999</v>
      </c>
      <c r="X10" s="1">
        <v>258148.49</v>
      </c>
      <c r="Y10" s="1">
        <v>195484.59899999999</v>
      </c>
      <c r="Z10" s="1">
        <v>197809.26800000001</v>
      </c>
      <c r="AA10" s="1">
        <v>185602.02499999999</v>
      </c>
      <c r="AB10" s="1">
        <v>186760.67</v>
      </c>
      <c r="AC10" s="1">
        <v>196275.106</v>
      </c>
      <c r="AE10" s="1">
        <v>202480.98300000001</v>
      </c>
    </row>
    <row r="11" spans="1:31">
      <c r="A11" s="1" t="s">
        <v>28</v>
      </c>
      <c r="D11" s="1">
        <f>8834+439</f>
        <v>9273</v>
      </c>
      <c r="E11" s="1">
        <v>12135.057000000001</v>
      </c>
      <c r="F11" s="41">
        <v>12772.491</v>
      </c>
      <c r="I11" s="1">
        <v>16077.117</v>
      </c>
      <c r="J11" s="1">
        <v>13575.155000000001</v>
      </c>
      <c r="K11" s="1">
        <v>13903.581</v>
      </c>
      <c r="L11" s="1">
        <v>18110.8</v>
      </c>
      <c r="M11" s="1">
        <v>25058.768</v>
      </c>
      <c r="N11" s="1">
        <v>28030.178</v>
      </c>
      <c r="O11" s="1">
        <v>30393.091</v>
      </c>
      <c r="P11" s="1">
        <v>32401.892</v>
      </c>
      <c r="Q11" s="1">
        <f>2365.9+35080.394</f>
        <v>37446.294000000002</v>
      </c>
      <c r="R11" s="1">
        <v>38556.146000000001</v>
      </c>
      <c r="S11" s="1">
        <v>42340.915999999997</v>
      </c>
      <c r="T11" s="1">
        <v>47226.487999999998</v>
      </c>
      <c r="U11" s="1">
        <v>47805.29</v>
      </c>
      <c r="V11" s="1">
        <v>46479.72</v>
      </c>
      <c r="W11" s="1">
        <v>46219.199000000001</v>
      </c>
      <c r="X11" s="1">
        <v>50060.85</v>
      </c>
      <c r="Y11" s="1">
        <v>3008.95</v>
      </c>
      <c r="Z11" s="1">
        <v>52183.91</v>
      </c>
      <c r="AA11" s="1">
        <v>52376.260999999999</v>
      </c>
      <c r="AB11" s="1">
        <v>53131.67</v>
      </c>
      <c r="AC11" s="1">
        <v>3001.9810000000002</v>
      </c>
      <c r="AE11" s="1">
        <v>55785.646000000001</v>
      </c>
    </row>
    <row r="12" spans="1:31">
      <c r="A12" s="1" t="s">
        <v>29</v>
      </c>
      <c r="B12" s="1">
        <f>27961+14685</f>
        <v>42646</v>
      </c>
      <c r="C12" s="1">
        <f>31353+16763</f>
        <v>48116</v>
      </c>
      <c r="D12" s="1">
        <f>34341+16079</f>
        <v>50420</v>
      </c>
      <c r="E12" s="1">
        <v>130910.371</v>
      </c>
      <c r="F12" s="41">
        <v>146506.44699999999</v>
      </c>
      <c r="G12" s="1">
        <v>115890.774</v>
      </c>
      <c r="H12" s="1">
        <v>129690.689</v>
      </c>
      <c r="I12" s="1">
        <v>136436.636</v>
      </c>
      <c r="J12" s="1">
        <v>132746.674</v>
      </c>
      <c r="K12" s="1">
        <v>141166.209</v>
      </c>
      <c r="L12" s="1">
        <v>164206.41</v>
      </c>
      <c r="M12" s="1">
        <v>176648.72399999999</v>
      </c>
      <c r="N12" s="1">
        <v>170631.56599999999</v>
      </c>
      <c r="O12" s="1">
        <v>182432.69099999999</v>
      </c>
      <c r="P12" s="1">
        <v>201360.26699999999</v>
      </c>
      <c r="Q12" s="1">
        <v>241084.019</v>
      </c>
      <c r="R12" s="1">
        <v>227423.50700000001</v>
      </c>
      <c r="S12" s="1">
        <v>243179.065</v>
      </c>
      <c r="T12" s="1">
        <v>258507.867</v>
      </c>
      <c r="U12" s="1">
        <v>492087.11</v>
      </c>
      <c r="V12" s="1">
        <v>491760.19900000002</v>
      </c>
      <c r="W12" s="1">
        <v>501148.58</v>
      </c>
      <c r="X12" s="1">
        <v>514688.95500000002</v>
      </c>
      <c r="Y12" s="1">
        <v>573231.79700000002</v>
      </c>
      <c r="Z12" s="1">
        <v>579846.73600000003</v>
      </c>
      <c r="AA12" s="1">
        <v>666425.73800000001</v>
      </c>
      <c r="AB12" s="1">
        <v>776781.35400000005</v>
      </c>
      <c r="AC12" s="1">
        <v>853310.92</v>
      </c>
      <c r="AE12" s="1">
        <v>938959.35400000005</v>
      </c>
    </row>
    <row r="13" spans="1:31">
      <c r="A13" s="1" t="s">
        <v>30</v>
      </c>
      <c r="B13" s="1">
        <f>57599+6266</f>
        <v>63865</v>
      </c>
      <c r="C13" s="1">
        <f>63184+6263</f>
        <v>69447</v>
      </c>
      <c r="D13" s="1">
        <f>69767+8807</f>
        <v>78574</v>
      </c>
      <c r="E13" s="1">
        <v>111066.71</v>
      </c>
      <c r="F13" s="41">
        <v>108858.08900000001</v>
      </c>
      <c r="G13" s="1">
        <v>115296.435</v>
      </c>
      <c r="H13" s="1">
        <v>123226.04700000001</v>
      </c>
      <c r="I13" s="1">
        <v>132378.53599999999</v>
      </c>
      <c r="J13" s="1">
        <v>142379.89799999999</v>
      </c>
      <c r="K13" s="1">
        <v>151873.73000000001</v>
      </c>
      <c r="L13" s="1">
        <v>198576.94200000001</v>
      </c>
      <c r="M13" s="1">
        <v>224362.731</v>
      </c>
      <c r="N13" s="1">
        <v>281551.777</v>
      </c>
      <c r="O13" s="1">
        <v>312991.48499999999</v>
      </c>
      <c r="P13" s="1">
        <v>281393.33500000002</v>
      </c>
      <c r="Q13" s="1">
        <v>285456.09299999999</v>
      </c>
      <c r="R13" s="1">
        <v>306073.50699999998</v>
      </c>
      <c r="S13" s="1">
        <v>323929.37199999997</v>
      </c>
      <c r="T13" s="1">
        <v>342866.79800000001</v>
      </c>
      <c r="U13" s="1">
        <v>249159.86799999999</v>
      </c>
      <c r="V13" s="1">
        <v>369832.25900000002</v>
      </c>
      <c r="W13" s="1">
        <v>402540.97200000001</v>
      </c>
      <c r="X13" s="1">
        <v>340941.56400000001</v>
      </c>
      <c r="Y13" s="1">
        <v>354697.03700000001</v>
      </c>
      <c r="Z13" s="1">
        <v>322110.27500000002</v>
      </c>
      <c r="AA13" s="1">
        <v>323854.94799999997</v>
      </c>
      <c r="AB13" s="1">
        <v>335281.07299999997</v>
      </c>
      <c r="AC13" s="1">
        <v>365059.85700000002</v>
      </c>
      <c r="AE13" s="1">
        <v>403465.07500000001</v>
      </c>
    </row>
    <row r="14" spans="1:31">
      <c r="A14" s="1" t="s">
        <v>31</v>
      </c>
      <c r="B14" s="1">
        <f>46168+9766</f>
        <v>55934</v>
      </c>
      <c r="C14" s="1">
        <f>53420+11934</f>
        <v>65354</v>
      </c>
      <c r="D14" s="1">
        <f>61741+11483</f>
        <v>73224</v>
      </c>
      <c r="E14" s="1">
        <v>117941.413</v>
      </c>
      <c r="F14" s="41">
        <v>127251.792</v>
      </c>
      <c r="G14" s="1">
        <v>136540.405</v>
      </c>
      <c r="H14" s="1">
        <v>137222.41899999999</v>
      </c>
      <c r="I14" s="1">
        <v>154052.56400000001</v>
      </c>
      <c r="J14" s="1">
        <v>152609.12</v>
      </c>
      <c r="K14" s="1">
        <v>202183.63099999999</v>
      </c>
      <c r="L14" s="1">
        <v>268823.63299999997</v>
      </c>
      <c r="M14" s="1">
        <v>287737.891</v>
      </c>
      <c r="N14" s="1">
        <v>272340.55300000001</v>
      </c>
      <c r="O14" s="1">
        <v>286156.49800000002</v>
      </c>
      <c r="P14" s="1">
        <v>254736.084</v>
      </c>
      <c r="Q14" s="1">
        <v>271171.29399999999</v>
      </c>
      <c r="R14" s="1">
        <v>319202.16899999999</v>
      </c>
      <c r="S14" s="1">
        <v>360059.201</v>
      </c>
      <c r="T14" s="1">
        <v>381794.62800000003</v>
      </c>
      <c r="U14" s="1">
        <v>396942.67599999998</v>
      </c>
      <c r="V14" s="1">
        <v>596834.53899999999</v>
      </c>
      <c r="W14" s="1">
        <v>645199.83900000004</v>
      </c>
      <c r="X14" s="1">
        <v>671930.90500000003</v>
      </c>
      <c r="Y14" s="1">
        <v>646912.19700000004</v>
      </c>
      <c r="Z14" s="1">
        <v>627835.80099999998</v>
      </c>
      <c r="AA14" s="1">
        <v>700192.13699999999</v>
      </c>
      <c r="AB14" s="1">
        <v>746811.64500000002</v>
      </c>
      <c r="AC14" s="1">
        <v>854828.67</v>
      </c>
      <c r="AE14" s="1">
        <v>909217.47499999998</v>
      </c>
    </row>
    <row r="15" spans="1:31">
      <c r="A15" s="1" t="s">
        <v>32</v>
      </c>
      <c r="B15" s="1">
        <f>33282+37443</f>
        <v>70725</v>
      </c>
      <c r="C15" s="1">
        <f>34335+40065</f>
        <v>74400</v>
      </c>
      <c r="D15" s="1">
        <f>35008+34527</f>
        <v>69535</v>
      </c>
      <c r="E15" s="1">
        <v>98086.171000000002</v>
      </c>
      <c r="F15" s="41">
        <v>111503.07399999999</v>
      </c>
      <c r="G15" s="1">
        <v>126083.829</v>
      </c>
      <c r="H15" s="1">
        <v>129737.056</v>
      </c>
      <c r="I15" s="1">
        <v>150429.93900000001</v>
      </c>
      <c r="J15" s="1">
        <v>156041.739</v>
      </c>
      <c r="K15" s="1">
        <v>164526.014</v>
      </c>
      <c r="L15" s="1">
        <v>200807.54699999999</v>
      </c>
      <c r="M15" s="1">
        <v>200392.283</v>
      </c>
      <c r="N15" s="1">
        <v>197400.736</v>
      </c>
      <c r="O15" s="1">
        <v>203865.86799999999</v>
      </c>
      <c r="P15" s="1">
        <v>241999.66699999999</v>
      </c>
      <c r="Q15" s="1">
        <v>261019.25700000001</v>
      </c>
      <c r="R15" s="1">
        <v>280874.75699999998</v>
      </c>
      <c r="S15" s="1">
        <v>271523.24</v>
      </c>
      <c r="T15" s="1">
        <v>346184.10600000003</v>
      </c>
      <c r="U15" s="1">
        <v>150581.359</v>
      </c>
      <c r="V15" s="1">
        <v>366964.80499999999</v>
      </c>
      <c r="W15" s="1">
        <v>355384.13799999998</v>
      </c>
      <c r="X15" s="1">
        <v>371073.08600000001</v>
      </c>
      <c r="Y15" s="1">
        <v>364739.62800000003</v>
      </c>
      <c r="Z15" s="1">
        <v>376071.79300000001</v>
      </c>
      <c r="AA15" s="1">
        <v>381390.06900000002</v>
      </c>
      <c r="AB15" s="1">
        <v>347181.03700000001</v>
      </c>
      <c r="AC15" s="1">
        <v>418434.17700000003</v>
      </c>
      <c r="AE15" s="1">
        <v>452765.27600000001</v>
      </c>
    </row>
    <row r="16" spans="1:31">
      <c r="A16" s="1" t="s">
        <v>33</v>
      </c>
      <c r="B16" s="1">
        <v>18452</v>
      </c>
      <c r="C16" s="1">
        <f>0+24701</f>
        <v>24701</v>
      </c>
      <c r="D16" s="1">
        <f>0+25127</f>
        <v>25127</v>
      </c>
      <c r="E16" s="1">
        <v>44519.891000000003</v>
      </c>
      <c r="F16" s="41">
        <v>17893.824000000001</v>
      </c>
      <c r="G16" s="1">
        <v>47489.167999999998</v>
      </c>
      <c r="H16" s="1">
        <v>52096.421999999999</v>
      </c>
      <c r="I16" s="1">
        <v>61598.938999999998</v>
      </c>
      <c r="J16" s="1">
        <v>76803.149000000005</v>
      </c>
      <c r="K16" s="1">
        <v>86206.505999999994</v>
      </c>
      <c r="L16" s="1">
        <v>124225.08900000001</v>
      </c>
      <c r="M16" s="1">
        <v>131607.03899999999</v>
      </c>
      <c r="N16" s="1">
        <v>147259.14600000001</v>
      </c>
      <c r="O16" s="1">
        <v>161427.73499999999</v>
      </c>
      <c r="P16" s="1">
        <v>144710.997</v>
      </c>
      <c r="Q16" s="1">
        <v>147146.245</v>
      </c>
      <c r="R16" s="1">
        <v>125455.875</v>
      </c>
      <c r="S16" s="1">
        <v>127925.969</v>
      </c>
      <c r="T16" s="1">
        <v>140518.60200000001</v>
      </c>
      <c r="U16" s="1">
        <v>139544.26300000001</v>
      </c>
      <c r="V16" s="1">
        <v>160103.361</v>
      </c>
      <c r="W16" s="1">
        <v>164566.04300000001</v>
      </c>
      <c r="X16" s="1">
        <v>174750.99900000001</v>
      </c>
      <c r="Y16" s="1">
        <v>168885.45</v>
      </c>
      <c r="Z16" s="1">
        <v>170166.26699999999</v>
      </c>
      <c r="AA16" s="1">
        <v>168650.323</v>
      </c>
      <c r="AB16" s="1">
        <v>174990.29500000001</v>
      </c>
      <c r="AC16" s="1">
        <v>169669.79500000001</v>
      </c>
      <c r="AE16" s="1">
        <v>167905.22200000001</v>
      </c>
    </row>
    <row r="17" spans="1:31">
      <c r="A17" s="1" t="s">
        <v>34</v>
      </c>
      <c r="B17" s="1">
        <f>622+32980</f>
        <v>33602</v>
      </c>
      <c r="C17" s="1">
        <f>633+35123</f>
        <v>35756</v>
      </c>
      <c r="D17" s="1">
        <f>922+37361</f>
        <v>38283</v>
      </c>
      <c r="E17" s="1">
        <v>46191.555999999997</v>
      </c>
      <c r="F17" s="41">
        <v>45348.779000000002</v>
      </c>
      <c r="G17" s="1">
        <v>50876.451000000001</v>
      </c>
      <c r="H17" s="1">
        <v>55812.771999999997</v>
      </c>
      <c r="I17" s="1">
        <v>60552.599000000002</v>
      </c>
      <c r="J17" s="1">
        <v>62886.432999999997</v>
      </c>
      <c r="K17" s="1">
        <v>60973.728999999999</v>
      </c>
      <c r="L17" s="1">
        <v>82536.778000000006</v>
      </c>
      <c r="M17" s="1">
        <v>97253.472999999998</v>
      </c>
      <c r="N17" s="1">
        <v>105930.822</v>
      </c>
      <c r="O17" s="1">
        <v>108574.29300000001</v>
      </c>
      <c r="P17" s="1">
        <v>119033.039</v>
      </c>
      <c r="Q17" s="1">
        <v>121364.99</v>
      </c>
      <c r="R17" s="1">
        <v>114596.829</v>
      </c>
      <c r="S17" s="1">
        <v>129318.515</v>
      </c>
      <c r="T17" s="1">
        <v>148589.41200000001</v>
      </c>
      <c r="U17" s="1">
        <v>131416.49299999999</v>
      </c>
      <c r="V17" s="1">
        <v>164467.785</v>
      </c>
      <c r="W17" s="1">
        <v>161323.33199999999</v>
      </c>
      <c r="X17" s="1">
        <v>160514.09400000001</v>
      </c>
      <c r="Y17" s="1">
        <v>157805.73000000001</v>
      </c>
      <c r="Z17" s="1">
        <v>160502.57800000001</v>
      </c>
      <c r="AA17" s="1">
        <v>167376.16200000001</v>
      </c>
      <c r="AB17" s="1">
        <v>178259.644</v>
      </c>
      <c r="AC17" s="1">
        <v>181908.73</v>
      </c>
      <c r="AE17" s="1">
        <v>154132.571</v>
      </c>
    </row>
    <row r="18" spans="1:31">
      <c r="A18" s="1" t="s">
        <v>35</v>
      </c>
      <c r="B18" s="1">
        <f>59075+54195</f>
        <v>113270</v>
      </c>
      <c r="C18" s="1">
        <f>65449+60394</f>
        <v>125843</v>
      </c>
      <c r="D18" s="1">
        <f>71379+73448</f>
        <v>144827</v>
      </c>
      <c r="E18" s="1">
        <v>236508.14600000001</v>
      </c>
      <c r="F18" s="41">
        <v>257045.647</v>
      </c>
      <c r="G18" s="1">
        <v>300443.26400000002</v>
      </c>
      <c r="H18" s="1">
        <v>222730.91399999999</v>
      </c>
      <c r="I18" s="1">
        <v>225451.948</v>
      </c>
      <c r="J18" s="1">
        <v>189727.71</v>
      </c>
      <c r="K18" s="1">
        <v>210440.41200000001</v>
      </c>
      <c r="L18" s="1">
        <v>237141.81599999999</v>
      </c>
      <c r="M18" s="1">
        <v>248865.215</v>
      </c>
      <c r="N18" s="1">
        <v>331325.71899999998</v>
      </c>
      <c r="O18" s="1">
        <v>327438.70600000001</v>
      </c>
      <c r="P18" s="1">
        <v>352494.98200000002</v>
      </c>
      <c r="Q18" s="1">
        <v>361368.52799999999</v>
      </c>
      <c r="R18" s="1">
        <v>269483.01899999997</v>
      </c>
      <c r="S18" s="1">
        <v>289153.59700000001</v>
      </c>
      <c r="T18" s="1">
        <v>302385.90899999999</v>
      </c>
      <c r="U18" s="1">
        <v>329676.21799999999</v>
      </c>
      <c r="V18" s="1">
        <v>341920.761</v>
      </c>
      <c r="W18" s="1">
        <v>354889.86800000002</v>
      </c>
      <c r="X18" s="1">
        <v>337934.41800000001</v>
      </c>
      <c r="Y18" s="1">
        <v>355691.90299999999</v>
      </c>
      <c r="Z18" s="1">
        <v>348143.647</v>
      </c>
      <c r="AA18" s="1">
        <v>372853.66100000002</v>
      </c>
      <c r="AB18" s="1">
        <v>387975.43400000001</v>
      </c>
      <c r="AC18" s="1">
        <v>378114.17</v>
      </c>
      <c r="AE18" s="1">
        <v>401245.745</v>
      </c>
    </row>
    <row r="19" spans="1:31">
      <c r="A19" s="1" t="s">
        <v>36</v>
      </c>
      <c r="B19" s="1">
        <v>32880</v>
      </c>
      <c r="C19" s="1">
        <f>0+32948</f>
        <v>32948</v>
      </c>
      <c r="D19" s="1">
        <f>0+38863</f>
        <v>38863</v>
      </c>
      <c r="E19" s="1">
        <v>63391.436000000002</v>
      </c>
      <c r="F19" s="41">
        <v>65902.106</v>
      </c>
      <c r="G19" s="1">
        <v>72201.626000000004</v>
      </c>
      <c r="H19" s="1">
        <v>76456.929999999993</v>
      </c>
      <c r="I19" s="1">
        <v>80754.455000000002</v>
      </c>
      <c r="J19" s="1">
        <v>84846.841</v>
      </c>
      <c r="K19" s="1">
        <v>90585.176999999996</v>
      </c>
      <c r="L19" s="1">
        <v>115401.82</v>
      </c>
      <c r="M19" s="1">
        <v>130996.63499999999</v>
      </c>
      <c r="N19" s="1">
        <v>137672.166</v>
      </c>
      <c r="O19" s="1">
        <v>157503.79300000001</v>
      </c>
      <c r="P19" s="1">
        <v>148089.864</v>
      </c>
      <c r="Q19" s="1">
        <v>159160.36900000001</v>
      </c>
      <c r="R19" s="1">
        <v>185753.647</v>
      </c>
      <c r="S19" s="1">
        <v>186278.11</v>
      </c>
      <c r="T19" s="1">
        <v>202811.51199999999</v>
      </c>
      <c r="U19" s="1">
        <v>165470.35200000001</v>
      </c>
      <c r="V19" s="1">
        <v>199212.554</v>
      </c>
      <c r="W19" s="1">
        <v>195428.70600000001</v>
      </c>
      <c r="X19" s="1">
        <v>199351.39</v>
      </c>
      <c r="Y19" s="1">
        <v>188961.25399999999</v>
      </c>
      <c r="Z19" s="1">
        <v>188748.65100000001</v>
      </c>
      <c r="AA19" s="1">
        <v>190889.74900000001</v>
      </c>
      <c r="AB19" s="1">
        <v>190127.14</v>
      </c>
      <c r="AC19" s="1">
        <v>171386.595</v>
      </c>
      <c r="AE19" s="1">
        <v>173754.78200000001</v>
      </c>
    </row>
    <row r="20" spans="1:31">
      <c r="A20" s="1" t="s">
        <v>37</v>
      </c>
      <c r="B20" s="1">
        <f>35559+15449</f>
        <v>51008</v>
      </c>
      <c r="C20" s="1">
        <f>40105+17674</f>
        <v>57779</v>
      </c>
      <c r="D20" s="1">
        <f>45871+21328</f>
        <v>67199</v>
      </c>
      <c r="E20" s="1">
        <v>88983.525999999998</v>
      </c>
      <c r="F20" s="41">
        <v>91966.176000000007</v>
      </c>
      <c r="G20" s="1">
        <v>88541.47</v>
      </c>
      <c r="H20" s="1">
        <v>93265.426000000007</v>
      </c>
      <c r="I20" s="1">
        <v>106389.514</v>
      </c>
      <c r="J20" s="1">
        <v>103870.954</v>
      </c>
      <c r="K20" s="1">
        <v>115654.27499999999</v>
      </c>
      <c r="L20" s="1">
        <v>143186.26699999999</v>
      </c>
      <c r="M20" s="1">
        <v>144879.11900000001</v>
      </c>
      <c r="N20" s="1">
        <v>132900.95800000001</v>
      </c>
      <c r="O20" s="1">
        <v>137131.845</v>
      </c>
      <c r="P20" s="1">
        <v>143111.04699999999</v>
      </c>
      <c r="Q20" s="1">
        <v>150774.16500000001</v>
      </c>
      <c r="R20" s="1">
        <v>158995.63</v>
      </c>
      <c r="S20" s="1">
        <v>162866.97700000001</v>
      </c>
      <c r="T20" s="1">
        <v>188689.913</v>
      </c>
      <c r="U20" s="1">
        <v>145215.709</v>
      </c>
      <c r="V20" s="1">
        <v>197454.64799999999</v>
      </c>
      <c r="W20" s="1">
        <v>199356.30600000001</v>
      </c>
      <c r="X20" s="1">
        <v>201412.68400000001</v>
      </c>
      <c r="Y20" s="1">
        <v>204301.323</v>
      </c>
      <c r="Z20" s="1">
        <v>242851.49400000001</v>
      </c>
      <c r="AA20" s="1">
        <v>262198.55699999997</v>
      </c>
      <c r="AB20" s="1">
        <v>267289.495</v>
      </c>
      <c r="AC20" s="1">
        <v>270399.348</v>
      </c>
      <c r="AE20" s="1">
        <v>275880.84700000001</v>
      </c>
    </row>
    <row r="21" spans="1:31" s="11" customFormat="1">
      <c r="A21" s="1" t="s">
        <v>38</v>
      </c>
      <c r="B21" s="1">
        <f>6161+15041</f>
        <v>21202</v>
      </c>
      <c r="C21" s="1">
        <f>6115+16954</f>
        <v>23069</v>
      </c>
      <c r="D21" s="1">
        <f>31788+17238</f>
        <v>49026</v>
      </c>
      <c r="E21" s="1">
        <v>77537.225000000006</v>
      </c>
      <c r="F21" s="41">
        <v>70315.607000000004</v>
      </c>
      <c r="G21" s="1">
        <v>86556.928</v>
      </c>
      <c r="H21" s="1">
        <v>95207.275999999998</v>
      </c>
      <c r="I21" s="1">
        <v>89304.763000000006</v>
      </c>
      <c r="J21" s="1">
        <v>105193.265</v>
      </c>
      <c r="K21" s="1">
        <v>115957.30528</v>
      </c>
      <c r="L21" s="1">
        <v>122763.982</v>
      </c>
      <c r="M21" s="1">
        <v>154463.70600000001</v>
      </c>
      <c r="N21" s="1">
        <v>160584.85399999999</v>
      </c>
      <c r="O21" s="1">
        <v>171455.864</v>
      </c>
      <c r="P21" s="1">
        <v>177181.17199999999</v>
      </c>
      <c r="Q21" s="1">
        <v>180034.658</v>
      </c>
      <c r="R21" s="1">
        <v>190619.614</v>
      </c>
      <c r="S21" s="1">
        <v>196837.05900000001</v>
      </c>
      <c r="T21" s="1">
        <v>204951.33</v>
      </c>
      <c r="U21" s="1">
        <v>204673.253</v>
      </c>
      <c r="V21" s="1">
        <v>228193.06700000001</v>
      </c>
      <c r="W21" s="1">
        <v>259728.33799999999</v>
      </c>
      <c r="X21" s="1">
        <v>260926.93</v>
      </c>
      <c r="Y21" s="1">
        <v>216081.97700000001</v>
      </c>
      <c r="Z21" s="1">
        <v>214883.83600000001</v>
      </c>
      <c r="AA21" s="1">
        <v>210872.033</v>
      </c>
      <c r="AB21" s="1">
        <v>231428.508</v>
      </c>
      <c r="AC21" s="1">
        <v>244160.20600000001</v>
      </c>
      <c r="AD21" s="1"/>
      <c r="AE21" s="1">
        <v>238241.924</v>
      </c>
    </row>
    <row r="22" spans="1:31">
      <c r="A22" s="1" t="s">
        <v>39</v>
      </c>
      <c r="B22" s="1">
        <f>66984+39670</f>
        <v>106654</v>
      </c>
      <c r="C22" s="1">
        <f>69581+46064</f>
        <v>115645</v>
      </c>
      <c r="D22" s="1">
        <f>64766+53200</f>
        <v>117966</v>
      </c>
      <c r="E22" s="1">
        <v>174638.304</v>
      </c>
      <c r="F22" s="41">
        <v>191756.05</v>
      </c>
      <c r="G22" s="1">
        <v>237034.99600000001</v>
      </c>
      <c r="H22" s="1">
        <v>254160.174</v>
      </c>
      <c r="I22" s="1">
        <v>219739.65299999999</v>
      </c>
      <c r="J22" s="1">
        <v>287021.84100000001</v>
      </c>
      <c r="K22" s="1">
        <v>312017.65100000001</v>
      </c>
      <c r="L22" s="1">
        <v>377622.45299999998</v>
      </c>
      <c r="M22" s="1">
        <v>392781.33299999998</v>
      </c>
      <c r="N22" s="1">
        <v>464222.02100000001</v>
      </c>
      <c r="O22" s="1">
        <v>455780.82699999999</v>
      </c>
      <c r="P22" s="1">
        <v>625287.81799999997</v>
      </c>
      <c r="Q22" s="1">
        <v>740503.88199999998</v>
      </c>
      <c r="R22" s="1">
        <v>655865.43900000001</v>
      </c>
      <c r="S22" s="1">
        <v>638669.14099999995</v>
      </c>
      <c r="T22" s="1">
        <v>713183.06799999997</v>
      </c>
      <c r="U22" s="1">
        <v>476044.54499999998</v>
      </c>
      <c r="V22" s="1">
        <v>788942.92599999998</v>
      </c>
      <c r="W22" s="1">
        <v>793685.10600000003</v>
      </c>
      <c r="X22" s="1">
        <v>770393.79799999995</v>
      </c>
      <c r="Y22" s="1">
        <v>539868.76399999997</v>
      </c>
      <c r="Z22" s="1">
        <v>582176.61399999994</v>
      </c>
      <c r="AA22" s="1">
        <v>606377.63800000004</v>
      </c>
      <c r="AB22" s="1">
        <v>911633.93299999996</v>
      </c>
      <c r="AC22" s="1">
        <v>910414.05599999998</v>
      </c>
      <c r="AE22" s="1">
        <v>996579.43299999996</v>
      </c>
    </row>
    <row r="23" spans="1:31">
      <c r="A23" s="1" t="s">
        <v>40</v>
      </c>
      <c r="B23" s="1">
        <f>2997+42808</f>
        <v>45805</v>
      </c>
      <c r="C23" s="1">
        <f>6137+47956</f>
        <v>54093</v>
      </c>
      <c r="D23" s="1">
        <f>5340+49662</f>
        <v>55002</v>
      </c>
      <c r="E23" s="1">
        <v>88027.642000000007</v>
      </c>
      <c r="F23" s="41">
        <v>81650.581000000006</v>
      </c>
      <c r="G23" s="1">
        <v>80710.066000000006</v>
      </c>
      <c r="H23" s="1">
        <v>85382.858999999997</v>
      </c>
      <c r="I23" s="1">
        <v>91112.153000000006</v>
      </c>
      <c r="J23" s="1">
        <v>85808.119000000006</v>
      </c>
      <c r="K23" s="1">
        <v>95356.936000000002</v>
      </c>
      <c r="L23" s="1">
        <v>115907.462</v>
      </c>
      <c r="M23" s="1">
        <v>119929.96</v>
      </c>
      <c r="N23" s="1">
        <v>124084.79300000001</v>
      </c>
      <c r="O23" s="1">
        <v>126251.82399999999</v>
      </c>
      <c r="P23" s="1">
        <v>119594.287</v>
      </c>
      <c r="Q23" s="1">
        <v>128628.56299999999</v>
      </c>
      <c r="R23" s="1">
        <v>144642.43700000001</v>
      </c>
      <c r="S23" s="1">
        <v>145961.815</v>
      </c>
      <c r="T23" s="1">
        <v>160162.31</v>
      </c>
      <c r="U23" s="1">
        <v>164716.04800000001</v>
      </c>
      <c r="V23" s="1">
        <v>177019.005</v>
      </c>
      <c r="W23" s="1">
        <v>185441.212</v>
      </c>
      <c r="X23" s="1">
        <v>204733.785</v>
      </c>
      <c r="Y23" s="1">
        <v>216258.08499999999</v>
      </c>
      <c r="Z23" s="1">
        <v>224786.83499999999</v>
      </c>
      <c r="AA23" s="1">
        <v>236068.42800000001</v>
      </c>
      <c r="AB23" s="1">
        <v>238689.20600000001</v>
      </c>
      <c r="AC23" s="1">
        <v>251133.633</v>
      </c>
      <c r="AE23" s="1">
        <v>244688.06200000001</v>
      </c>
    </row>
    <row r="24" spans="1:31">
      <c r="A24" s="23" t="s">
        <v>41</v>
      </c>
      <c r="B24" s="23">
        <f>12179+1860</f>
        <v>14039</v>
      </c>
      <c r="C24" s="23">
        <f>12200+1930</f>
        <v>14130</v>
      </c>
      <c r="D24" s="23">
        <f>13606+1646</f>
        <v>15252</v>
      </c>
      <c r="E24" s="23">
        <v>22869.922999999999</v>
      </c>
      <c r="F24" s="44">
        <v>27603.648000000001</v>
      </c>
      <c r="G24" s="23">
        <v>33588.417000000001</v>
      </c>
      <c r="H24" s="23">
        <v>38075.578999999998</v>
      </c>
      <c r="I24" s="23">
        <v>44064.921999999999</v>
      </c>
      <c r="J24" s="23">
        <v>52749.504999999997</v>
      </c>
      <c r="K24" s="23">
        <v>54873.573120000001</v>
      </c>
      <c r="L24" s="23">
        <v>59947.366000000002</v>
      </c>
      <c r="M24" s="23">
        <v>68169.290999999997</v>
      </c>
      <c r="N24" s="23">
        <v>71805.88</v>
      </c>
      <c r="O24" s="23">
        <v>78667.66</v>
      </c>
      <c r="P24" s="23">
        <v>74902.620999999999</v>
      </c>
      <c r="Q24" s="23">
        <v>74703.206000000006</v>
      </c>
      <c r="R24" s="23">
        <v>74337.173999999999</v>
      </c>
      <c r="S24" s="23">
        <v>76545.631999999998</v>
      </c>
      <c r="T24" s="23">
        <v>79468.835999999996</v>
      </c>
      <c r="U24" s="23">
        <v>85243.289000000004</v>
      </c>
      <c r="V24" s="23">
        <v>107007.284</v>
      </c>
      <c r="W24" s="23">
        <v>106820.281</v>
      </c>
      <c r="X24" s="23">
        <v>106784.41800000001</v>
      </c>
      <c r="Y24" s="23">
        <v>100685.041</v>
      </c>
      <c r="Z24" s="23">
        <v>98457.979000000007</v>
      </c>
      <c r="AA24" s="23">
        <v>98866.175000000003</v>
      </c>
      <c r="AB24" s="23">
        <v>89117.074999999997</v>
      </c>
      <c r="AC24" s="23">
        <v>89408.17</v>
      </c>
      <c r="AD24" s="23"/>
      <c r="AE24" s="23">
        <v>89527.834000000003</v>
      </c>
    </row>
    <row r="25" spans="1:31">
      <c r="A25" s="7" t="s">
        <v>42</v>
      </c>
      <c r="B25" s="47">
        <f>SUM(B27:B39)</f>
        <v>0</v>
      </c>
      <c r="C25" s="47">
        <f t="shared" ref="C25:AC25" si="10">SUM(C27:C39)</f>
        <v>0</v>
      </c>
      <c r="D25" s="47">
        <f t="shared" si="10"/>
        <v>0</v>
      </c>
      <c r="E25" s="47">
        <f t="shared" si="10"/>
        <v>0</v>
      </c>
      <c r="F25" s="47">
        <f t="shared" si="10"/>
        <v>635052.52999999991</v>
      </c>
      <c r="G25" s="47">
        <f t="shared" si="10"/>
        <v>0</v>
      </c>
      <c r="H25" s="47">
        <f t="shared" si="10"/>
        <v>0</v>
      </c>
      <c r="I25" s="47">
        <f t="shared" si="10"/>
        <v>787894.21300000011</v>
      </c>
      <c r="J25" s="47">
        <f t="shared" si="10"/>
        <v>0</v>
      </c>
      <c r="K25" s="47">
        <f t="shared" si="10"/>
        <v>1037171.5985100002</v>
      </c>
      <c r="L25" s="47">
        <f t="shared" si="10"/>
        <v>1377643.3760000002</v>
      </c>
      <c r="M25" s="47">
        <f t="shared" si="10"/>
        <v>1521987.2590000001</v>
      </c>
      <c r="N25" s="47">
        <f t="shared" si="10"/>
        <v>1448629.0619999999</v>
      </c>
      <c r="O25" s="47">
        <f t="shared" si="10"/>
        <v>1473628.0859999999</v>
      </c>
      <c r="P25" s="47">
        <f t="shared" si="10"/>
        <v>1529437.6</v>
      </c>
      <c r="Q25" s="47">
        <f t="shared" si="10"/>
        <v>1630389.568</v>
      </c>
      <c r="R25" s="47">
        <f t="shared" si="10"/>
        <v>1730332.7040000004</v>
      </c>
      <c r="S25" s="47">
        <f t="shared" si="10"/>
        <v>1861342.6569999999</v>
      </c>
      <c r="T25" s="47">
        <f t="shared" si="10"/>
        <v>1936038.4890000003</v>
      </c>
      <c r="U25" s="47">
        <f t="shared" si="10"/>
        <v>1976071.4859999998</v>
      </c>
      <c r="V25" s="47">
        <f t="shared" si="10"/>
        <v>2312380.9469999997</v>
      </c>
      <c r="W25" s="47">
        <f t="shared" si="10"/>
        <v>2468526.5130000003</v>
      </c>
      <c r="X25" s="47">
        <f t="shared" si="10"/>
        <v>2599685.2829999998</v>
      </c>
      <c r="Y25" s="47">
        <f t="shared" si="10"/>
        <v>2598320.1839999999</v>
      </c>
      <c r="Z25" s="47">
        <f t="shared" si="10"/>
        <v>2717718.1690000002</v>
      </c>
      <c r="AA25" s="47">
        <f t="shared" si="10"/>
        <v>2826894.7820000001</v>
      </c>
      <c r="AB25" s="47">
        <f t="shared" si="10"/>
        <v>3058304.844</v>
      </c>
      <c r="AC25" s="47">
        <f t="shared" si="10"/>
        <v>3218738.6540000006</v>
      </c>
      <c r="AD25" s="47">
        <f t="shared" ref="AD25:AE25" si="11">SUM(AD27:AD39)</f>
        <v>0</v>
      </c>
      <c r="AE25" s="47">
        <f t="shared" si="11"/>
        <v>3345881.8289999999</v>
      </c>
    </row>
    <row r="26" spans="1:31">
      <c r="A26" s="7" t="s">
        <v>97</v>
      </c>
      <c r="X26" s="1">
        <v>0</v>
      </c>
      <c r="AB26" s="1">
        <v>0</v>
      </c>
      <c r="AC26" s="1">
        <v>0</v>
      </c>
    </row>
    <row r="27" spans="1:31">
      <c r="A27" s="1" t="s">
        <v>43</v>
      </c>
      <c r="F27" s="41">
        <v>9767.8410000000003</v>
      </c>
      <c r="I27" s="1">
        <v>15874.365</v>
      </c>
      <c r="K27" s="1">
        <v>18366.294000000002</v>
      </c>
      <c r="L27" s="1">
        <v>18427.026999999998</v>
      </c>
      <c r="M27" s="1">
        <v>19379.079000000002</v>
      </c>
      <c r="N27" s="1">
        <v>21041.85</v>
      </c>
      <c r="O27" s="1">
        <v>23887.829000000002</v>
      </c>
      <c r="P27" s="1">
        <v>23952.064999999999</v>
      </c>
      <c r="Q27" s="1">
        <v>27672.453000000001</v>
      </c>
      <c r="R27" s="1">
        <v>28013.920999999998</v>
      </c>
      <c r="S27" s="1">
        <v>29883.547999999999</v>
      </c>
      <c r="T27" s="1">
        <v>32704.958999999999</v>
      </c>
      <c r="U27" s="1">
        <v>41353.192999999999</v>
      </c>
      <c r="V27" s="1">
        <v>44551.159</v>
      </c>
      <c r="W27" s="1">
        <v>41111.608</v>
      </c>
      <c r="X27" s="1">
        <v>42514.743999999999</v>
      </c>
      <c r="Y27" s="1">
        <v>43873.601000000002</v>
      </c>
      <c r="Z27" s="1">
        <v>47595.716999999997</v>
      </c>
      <c r="AA27" s="1">
        <v>53666.749000000003</v>
      </c>
      <c r="AB27" s="1">
        <v>56671.665999999997</v>
      </c>
      <c r="AC27" s="1">
        <v>58716.057000000001</v>
      </c>
      <c r="AE27" s="1">
        <v>50640.817999999999</v>
      </c>
    </row>
    <row r="28" spans="1:31">
      <c r="A28" s="1" t="s">
        <v>44</v>
      </c>
      <c r="F28" s="41">
        <v>49903.353999999999</v>
      </c>
      <c r="I28" s="1">
        <v>58261.266000000003</v>
      </c>
      <c r="K28" s="1">
        <v>70875.350999999995</v>
      </c>
      <c r="L28" s="1">
        <v>82394.31</v>
      </c>
      <c r="M28" s="1">
        <v>83564.058000000005</v>
      </c>
      <c r="N28" s="1">
        <v>86381.142000000007</v>
      </c>
      <c r="O28" s="1">
        <v>90814.187000000005</v>
      </c>
      <c r="P28" s="1">
        <v>107209.764</v>
      </c>
      <c r="Q28" s="1">
        <v>116333.784</v>
      </c>
      <c r="R28" s="1">
        <v>129728.408</v>
      </c>
      <c r="S28" s="1">
        <v>135774.601</v>
      </c>
      <c r="T28" s="1">
        <v>143916.29300000001</v>
      </c>
      <c r="U28" s="1">
        <v>141758.027</v>
      </c>
      <c r="V28" s="1">
        <v>154579.53200000001</v>
      </c>
      <c r="W28" s="1">
        <v>162028.511</v>
      </c>
      <c r="X28" s="1">
        <v>170008.962</v>
      </c>
      <c r="Y28" s="1">
        <v>178201.671</v>
      </c>
      <c r="Z28" s="1">
        <v>165177.84599999999</v>
      </c>
      <c r="AA28" s="1">
        <v>155027.19899999999</v>
      </c>
      <c r="AB28" s="1">
        <v>153739.492</v>
      </c>
      <c r="AC28" s="1">
        <v>164362.60800000001</v>
      </c>
      <c r="AE28" s="1">
        <v>168640.609</v>
      </c>
    </row>
    <row r="29" spans="1:31">
      <c r="A29" s="1" t="s">
        <v>45</v>
      </c>
      <c r="F29" s="41">
        <v>90091.841</v>
      </c>
      <c r="I29" s="1">
        <v>96809.934999999998</v>
      </c>
      <c r="K29" s="1">
        <v>217021.15100000001</v>
      </c>
      <c r="L29" s="1">
        <v>329370.83100000001</v>
      </c>
      <c r="M29" s="1">
        <v>386276.06099999999</v>
      </c>
      <c r="N29" s="1">
        <v>328039.73700000002</v>
      </c>
      <c r="O29" s="1">
        <v>327640.43699999998</v>
      </c>
      <c r="P29" s="1">
        <v>345318.52899999998</v>
      </c>
      <c r="Q29" s="1">
        <v>351197.973</v>
      </c>
      <c r="R29" s="1">
        <v>364639.79399999999</v>
      </c>
      <c r="S29" s="1">
        <v>394332.55099999998</v>
      </c>
      <c r="T29" s="1">
        <v>403165.91499999998</v>
      </c>
      <c r="U29" s="1">
        <v>343217.66499999998</v>
      </c>
      <c r="V29" s="1">
        <v>475274.897</v>
      </c>
      <c r="W29" s="1">
        <v>518269.35200000001</v>
      </c>
      <c r="X29" s="1">
        <v>567101.52800000005</v>
      </c>
      <c r="Y29" s="1">
        <v>579259.79</v>
      </c>
      <c r="Z29" s="1">
        <v>574328.25800000003</v>
      </c>
      <c r="AA29" s="1">
        <v>552701.35199999996</v>
      </c>
      <c r="AB29" s="1">
        <v>597529.75399999996</v>
      </c>
      <c r="AC29" s="1">
        <v>641341.64899999998</v>
      </c>
      <c r="AE29" s="1">
        <v>662334.495</v>
      </c>
    </row>
    <row r="30" spans="1:31">
      <c r="A30" s="1" t="s">
        <v>46</v>
      </c>
      <c r="F30" s="41">
        <v>46156.341</v>
      </c>
      <c r="I30" s="1">
        <v>66354.654999999999</v>
      </c>
      <c r="K30" s="1">
        <v>80918.235000000001</v>
      </c>
      <c r="L30" s="1">
        <v>92611.718999999997</v>
      </c>
      <c r="M30" s="1">
        <v>105525.00199999999</v>
      </c>
      <c r="N30" s="1">
        <v>130868.867</v>
      </c>
      <c r="O30" s="1">
        <v>122046.899</v>
      </c>
      <c r="P30" s="1">
        <v>82235.769</v>
      </c>
      <c r="Q30" s="1">
        <v>133606.81700000001</v>
      </c>
      <c r="R30" s="1">
        <v>138027.25700000001</v>
      </c>
      <c r="S30" s="1">
        <v>150247.18900000001</v>
      </c>
      <c r="T30" s="1">
        <v>172198.905</v>
      </c>
      <c r="U30" s="1">
        <v>183705.87899999999</v>
      </c>
      <c r="V30" s="1">
        <v>193183.375</v>
      </c>
      <c r="W30" s="1">
        <v>220001.61799999999</v>
      </c>
      <c r="X30" s="1">
        <v>262081.35</v>
      </c>
      <c r="Y30" s="1">
        <v>193990.13099999999</v>
      </c>
      <c r="Z30" s="1">
        <v>205482.3</v>
      </c>
      <c r="AA30" s="1">
        <v>219167.546</v>
      </c>
      <c r="AB30" s="1">
        <v>220191.04199999999</v>
      </c>
      <c r="AC30" s="1">
        <v>238116.93</v>
      </c>
      <c r="AE30" s="1">
        <v>360004.11800000002</v>
      </c>
    </row>
    <row r="31" spans="1:31">
      <c r="A31" s="1" t="s">
        <v>47</v>
      </c>
      <c r="F31" s="41">
        <v>24892.323</v>
      </c>
      <c r="I31" s="1">
        <v>33519.017</v>
      </c>
      <c r="K31" s="1">
        <v>30914.162</v>
      </c>
      <c r="L31" s="1">
        <v>24568.404999999999</v>
      </c>
      <c r="M31" s="1">
        <v>25251.102999999999</v>
      </c>
      <c r="N31" s="1">
        <v>25257.019</v>
      </c>
      <c r="O31" s="1">
        <v>29541.216</v>
      </c>
      <c r="P31" s="1">
        <v>32603.992999999999</v>
      </c>
      <c r="Q31" s="1">
        <v>34427.065999999999</v>
      </c>
      <c r="R31" s="1">
        <v>35666.165000000001</v>
      </c>
      <c r="S31" s="1">
        <v>39448.875</v>
      </c>
      <c r="T31" s="1">
        <v>41483.582000000002</v>
      </c>
      <c r="U31" s="1">
        <v>42700.597000000002</v>
      </c>
      <c r="V31" s="1">
        <v>48581.866999999998</v>
      </c>
      <c r="W31" s="1">
        <v>47679.678999999996</v>
      </c>
      <c r="X31" s="1">
        <v>45261.46</v>
      </c>
      <c r="Y31" s="1">
        <v>42710.57</v>
      </c>
      <c r="Z31" s="1">
        <v>43636.665000000001</v>
      </c>
      <c r="AA31" s="1">
        <v>47400.482000000004</v>
      </c>
      <c r="AB31" s="1">
        <v>53806.618000000002</v>
      </c>
      <c r="AC31" s="1">
        <v>65209.012000000002</v>
      </c>
      <c r="AE31" s="1">
        <v>68306.271999999997</v>
      </c>
    </row>
    <row r="32" spans="1:31">
      <c r="A32" s="1" t="s">
        <v>48</v>
      </c>
      <c r="F32" s="41">
        <v>17463.911</v>
      </c>
      <c r="I32" s="1">
        <v>22712.353999999999</v>
      </c>
      <c r="K32" s="1">
        <v>21996.569</v>
      </c>
      <c r="L32" s="1">
        <v>26605.583999999999</v>
      </c>
      <c r="M32" s="1">
        <v>29280.667000000001</v>
      </c>
      <c r="N32" s="1">
        <v>28788.309000000001</v>
      </c>
      <c r="O32" s="1">
        <v>31332.524000000001</v>
      </c>
      <c r="P32" s="1">
        <v>36886.26</v>
      </c>
      <c r="Q32" s="1">
        <v>38395.932000000001</v>
      </c>
      <c r="R32" s="1">
        <v>39294.591</v>
      </c>
      <c r="S32" s="1">
        <v>42809.135000000002</v>
      </c>
      <c r="T32" s="1">
        <v>45559.489000000001</v>
      </c>
      <c r="U32" s="1">
        <v>49683.81</v>
      </c>
      <c r="V32" s="1">
        <v>53393.383000000002</v>
      </c>
      <c r="W32" s="1">
        <v>53275.116999999998</v>
      </c>
      <c r="X32" s="1">
        <v>53649.000999999997</v>
      </c>
      <c r="Y32" s="1">
        <v>58068.44</v>
      </c>
      <c r="Z32" s="1">
        <v>59282.686000000002</v>
      </c>
      <c r="AA32" s="1">
        <v>60110.58</v>
      </c>
      <c r="AB32" s="1">
        <v>60760.453000000001</v>
      </c>
      <c r="AC32" s="1">
        <v>60490.387000000002</v>
      </c>
      <c r="AE32" s="1">
        <v>66344.615999999995</v>
      </c>
    </row>
    <row r="33" spans="1:31">
      <c r="A33" s="1" t="s">
        <v>49</v>
      </c>
      <c r="F33" s="41">
        <v>16460.416000000001</v>
      </c>
      <c r="I33" s="1">
        <v>24885.248</v>
      </c>
      <c r="K33" s="1">
        <v>25581.245999999999</v>
      </c>
      <c r="L33" s="1">
        <v>30016.91</v>
      </c>
      <c r="M33" s="1">
        <v>34432.807999999997</v>
      </c>
      <c r="N33" s="1">
        <v>34305.474999999999</v>
      </c>
      <c r="O33" s="1">
        <v>35557.249000000003</v>
      </c>
      <c r="P33" s="1">
        <v>35412.427000000003</v>
      </c>
      <c r="Q33" s="1">
        <v>35235.402000000002</v>
      </c>
      <c r="R33" s="1">
        <v>37051.328000000001</v>
      </c>
      <c r="S33" s="1">
        <v>37107.315999999999</v>
      </c>
      <c r="T33" s="1">
        <v>38562.118000000002</v>
      </c>
      <c r="U33" s="1">
        <v>43347.074999999997</v>
      </c>
      <c r="V33" s="1">
        <v>46885.347000000002</v>
      </c>
      <c r="W33" s="1">
        <v>47262.906000000003</v>
      </c>
      <c r="X33" s="1">
        <v>49807.595000000001</v>
      </c>
      <c r="Y33" s="1">
        <v>52204.34</v>
      </c>
      <c r="Z33" s="1">
        <v>55077.432000000001</v>
      </c>
      <c r="AA33" s="1">
        <v>58653.133999999998</v>
      </c>
      <c r="AB33" s="1">
        <v>65250.519</v>
      </c>
      <c r="AC33" s="1">
        <v>69681.823000000004</v>
      </c>
      <c r="AE33" s="1">
        <v>73919.991999999998</v>
      </c>
    </row>
    <row r="34" spans="1:31">
      <c r="A34" s="1" t="s">
        <v>50</v>
      </c>
      <c r="F34" s="41">
        <v>28800.406999999999</v>
      </c>
      <c r="I34" s="1">
        <v>38725.17</v>
      </c>
      <c r="K34" s="1">
        <v>41892.455999999998</v>
      </c>
      <c r="L34" s="1">
        <v>43160.955999999998</v>
      </c>
      <c r="M34" s="1">
        <v>48947.17</v>
      </c>
      <c r="N34" s="1">
        <v>44058.697999999997</v>
      </c>
      <c r="O34" s="1">
        <v>46442.137999999999</v>
      </c>
      <c r="P34" s="1">
        <v>53720.313999999998</v>
      </c>
      <c r="Q34" s="1">
        <v>57850.190999999999</v>
      </c>
      <c r="R34" s="1">
        <v>56726.417000000001</v>
      </c>
      <c r="S34" s="1">
        <v>54518.12</v>
      </c>
      <c r="T34" s="1">
        <v>55384.211000000003</v>
      </c>
      <c r="U34" s="1">
        <v>59197.957999999999</v>
      </c>
      <c r="V34" s="1">
        <v>66758.399999999994</v>
      </c>
      <c r="W34" s="1">
        <v>63927.027999999998</v>
      </c>
      <c r="X34" s="1">
        <v>60471.237000000001</v>
      </c>
      <c r="Y34" s="1">
        <v>58954.067999999999</v>
      </c>
      <c r="Z34" s="1">
        <v>58136.525000000001</v>
      </c>
      <c r="AA34" s="1">
        <v>57908.586000000003</v>
      </c>
      <c r="AB34" s="1">
        <v>62433.186999999998</v>
      </c>
      <c r="AC34" s="1">
        <v>72745.702999999994</v>
      </c>
      <c r="AE34" s="1">
        <v>71647.292000000001</v>
      </c>
    </row>
    <row r="35" spans="1:31">
      <c r="A35" s="1" t="s">
        <v>51</v>
      </c>
      <c r="F35" s="41">
        <v>89252.633000000002</v>
      </c>
      <c r="I35" s="1">
        <v>110743.54</v>
      </c>
      <c r="K35" s="1">
        <v>157506.68351</v>
      </c>
      <c r="L35" s="1">
        <v>184894.16500000001</v>
      </c>
      <c r="M35" s="1">
        <v>198917.86300000001</v>
      </c>
      <c r="N35" s="1">
        <v>229890.274</v>
      </c>
      <c r="O35" s="1">
        <v>236137.587</v>
      </c>
      <c r="P35" s="1">
        <v>254261.81299999999</v>
      </c>
      <c r="Q35" s="1">
        <v>254162.41500000001</v>
      </c>
      <c r="R35" s="1">
        <v>254139.965</v>
      </c>
      <c r="S35" s="1">
        <v>286953.51799999998</v>
      </c>
      <c r="T35" s="1">
        <v>251535.81599999999</v>
      </c>
      <c r="U35" s="1">
        <v>290282.07699999999</v>
      </c>
      <c r="V35" s="1">
        <v>296633.34299999999</v>
      </c>
      <c r="W35" s="1">
        <v>386808.63400000002</v>
      </c>
      <c r="X35" s="1">
        <v>381281.79700000002</v>
      </c>
      <c r="Y35" s="1">
        <v>407098.37199999997</v>
      </c>
      <c r="Z35" s="1">
        <v>422958.29399999999</v>
      </c>
      <c r="AA35" s="1">
        <v>461583.65100000001</v>
      </c>
      <c r="AB35" s="1">
        <v>492533.42</v>
      </c>
      <c r="AC35" s="1">
        <v>527044.76699999999</v>
      </c>
      <c r="AE35" s="1">
        <v>502534.3</v>
      </c>
    </row>
    <row r="36" spans="1:31">
      <c r="A36" s="1" t="s">
        <v>52</v>
      </c>
      <c r="F36" s="41">
        <v>72205.868000000002</v>
      </c>
      <c r="I36" s="1">
        <v>92766.581000000006</v>
      </c>
      <c r="K36" s="1">
        <v>101954.69500000001</v>
      </c>
      <c r="L36" s="1">
        <v>130611.35</v>
      </c>
      <c r="M36" s="1">
        <v>137227.68799999999</v>
      </c>
      <c r="N36" s="1">
        <v>122944.663</v>
      </c>
      <c r="O36" s="1">
        <v>107068.56600000001</v>
      </c>
      <c r="P36" s="1">
        <v>110700.834</v>
      </c>
      <c r="Q36" s="1">
        <v>118478.761</v>
      </c>
      <c r="R36" s="1">
        <v>136459.49</v>
      </c>
      <c r="S36" s="1">
        <v>140474.095</v>
      </c>
      <c r="T36" s="1">
        <v>151450.18799999999</v>
      </c>
      <c r="U36" s="1">
        <v>114614.58199999999</v>
      </c>
      <c r="V36" s="1">
        <v>163063.37899999999</v>
      </c>
      <c r="W36" s="1">
        <v>199649.288</v>
      </c>
      <c r="X36" s="1">
        <v>201744.31299999999</v>
      </c>
      <c r="Y36" s="1">
        <v>195810.53700000001</v>
      </c>
      <c r="Z36" s="1">
        <v>200853.079</v>
      </c>
      <c r="AA36" s="1">
        <v>215665.397</v>
      </c>
      <c r="AB36" s="1">
        <v>263834.96799999999</v>
      </c>
      <c r="AC36" s="1">
        <v>263395.28899999999</v>
      </c>
      <c r="AE36" s="1">
        <v>318255.25799999997</v>
      </c>
    </row>
    <row r="37" spans="1:31">
      <c r="A37" s="1" t="s">
        <v>53</v>
      </c>
      <c r="F37" s="41">
        <v>143156.891</v>
      </c>
      <c r="I37" s="1">
        <v>174685.04199999999</v>
      </c>
      <c r="K37" s="1">
        <v>212089.10399999999</v>
      </c>
      <c r="L37" s="1">
        <v>349624.255</v>
      </c>
      <c r="M37" s="1">
        <v>375017.08100000001</v>
      </c>
      <c r="N37" s="1">
        <v>333449.41899999999</v>
      </c>
      <c r="O37" s="1">
        <v>343108.26400000002</v>
      </c>
      <c r="P37" s="1">
        <v>361872.47899999999</v>
      </c>
      <c r="Q37" s="1">
        <v>368748.69199999998</v>
      </c>
      <c r="R37" s="1">
        <v>411723.40399999998</v>
      </c>
      <c r="S37" s="1">
        <v>440842.38799999998</v>
      </c>
      <c r="T37" s="1">
        <v>478157.32</v>
      </c>
      <c r="U37" s="1">
        <v>542228.95900000003</v>
      </c>
      <c r="V37" s="1">
        <v>555673.68299999996</v>
      </c>
      <c r="W37" s="1">
        <v>594577.13699999999</v>
      </c>
      <c r="X37" s="1">
        <v>648372.14800000004</v>
      </c>
      <c r="Y37" s="1">
        <v>635467.66099999996</v>
      </c>
      <c r="Z37" s="1">
        <v>732170.55599999998</v>
      </c>
      <c r="AA37" s="1">
        <v>797287.38199999998</v>
      </c>
      <c r="AB37" s="1">
        <v>875941.43299999996</v>
      </c>
      <c r="AC37" s="1">
        <v>905276.1</v>
      </c>
      <c r="AE37" s="1">
        <v>805346.80200000003</v>
      </c>
    </row>
    <row r="38" spans="1:31">
      <c r="A38" s="1" t="s">
        <v>54</v>
      </c>
      <c r="F38" s="41">
        <v>38601.523000000001</v>
      </c>
      <c r="I38" s="1">
        <v>43206.756000000001</v>
      </c>
      <c r="K38" s="1">
        <v>48988.05</v>
      </c>
      <c r="L38" s="1">
        <v>53585.635000000002</v>
      </c>
      <c r="M38" s="1">
        <v>58972.724999999999</v>
      </c>
      <c r="N38" s="1">
        <v>44998.360999999997</v>
      </c>
      <c r="O38" s="1">
        <v>57592.962</v>
      </c>
      <c r="P38" s="1">
        <v>61036.02</v>
      </c>
      <c r="Q38" s="1">
        <v>68994.896999999997</v>
      </c>
      <c r="R38" s="1">
        <v>73645.816999999995</v>
      </c>
      <c r="S38" s="1">
        <v>79192.876000000004</v>
      </c>
      <c r="T38" s="1">
        <v>90633.442999999999</v>
      </c>
      <c r="U38" s="1">
        <v>91701.611000000004</v>
      </c>
      <c r="V38" s="1">
        <v>174958.77499999999</v>
      </c>
      <c r="W38" s="1">
        <v>90955.464000000007</v>
      </c>
      <c r="X38" s="1">
        <v>82038.100000000006</v>
      </c>
      <c r="Y38" s="1">
        <v>111840.13800000001</v>
      </c>
      <c r="Z38" s="1">
        <v>110514.003</v>
      </c>
      <c r="AA38" s="1">
        <v>105200.06200000001</v>
      </c>
      <c r="AB38" s="1">
        <v>113047.863</v>
      </c>
      <c r="AC38" s="1">
        <v>111065.379</v>
      </c>
      <c r="AE38" s="1">
        <v>133820.05100000001</v>
      </c>
    </row>
    <row r="39" spans="1:31">
      <c r="A39" s="23" t="s">
        <v>55</v>
      </c>
      <c r="B39" s="23"/>
      <c r="C39" s="23"/>
      <c r="D39" s="23"/>
      <c r="E39" s="23"/>
      <c r="F39" s="44">
        <v>8299.1810000000005</v>
      </c>
      <c r="G39" s="23"/>
      <c r="H39" s="23"/>
      <c r="I39" s="23">
        <v>9350.2839999999997</v>
      </c>
      <c r="J39" s="23"/>
      <c r="K39" s="23">
        <v>9067.6020000000008</v>
      </c>
      <c r="L39" s="23">
        <v>11772.228999999999</v>
      </c>
      <c r="M39" s="23">
        <v>19195.954000000002</v>
      </c>
      <c r="N39" s="23">
        <v>18605.248</v>
      </c>
      <c r="O39" s="23">
        <v>22458.227999999999</v>
      </c>
      <c r="P39" s="23">
        <v>24227.332999999999</v>
      </c>
      <c r="Q39" s="23">
        <v>25285.185000000001</v>
      </c>
      <c r="R39" s="23">
        <v>25216.147000000001</v>
      </c>
      <c r="S39" s="23">
        <v>29758.445</v>
      </c>
      <c r="T39" s="23">
        <v>31286.25</v>
      </c>
      <c r="U39" s="23">
        <v>32280.053</v>
      </c>
      <c r="V39" s="23">
        <v>38843.807000000001</v>
      </c>
      <c r="W39" s="23">
        <v>42980.171000000002</v>
      </c>
      <c r="X39" s="23">
        <v>35353.048000000003</v>
      </c>
      <c r="Y39" s="23">
        <v>40840.864999999998</v>
      </c>
      <c r="Z39" s="23">
        <v>42504.807999999997</v>
      </c>
      <c r="AA39" s="23">
        <v>42522.661999999997</v>
      </c>
      <c r="AB39" s="23">
        <v>42564.428999999996</v>
      </c>
      <c r="AC39" s="23">
        <v>41292.949999999997</v>
      </c>
      <c r="AD39" s="23"/>
      <c r="AE39" s="23">
        <v>64087.205999999998</v>
      </c>
    </row>
    <row r="40" spans="1:31">
      <c r="A40" s="7" t="s">
        <v>56</v>
      </c>
      <c r="B40" s="47">
        <f>SUM(B42:B53)</f>
        <v>0</v>
      </c>
      <c r="C40" s="47">
        <f t="shared" ref="C40:AC40" si="12">SUM(C42:C53)</f>
        <v>0</v>
      </c>
      <c r="D40" s="47">
        <f t="shared" si="12"/>
        <v>0</v>
      </c>
      <c r="E40" s="47">
        <f t="shared" si="12"/>
        <v>0</v>
      </c>
      <c r="F40" s="47">
        <f t="shared" si="12"/>
        <v>1117943.8079999997</v>
      </c>
      <c r="G40" s="47">
        <f t="shared" si="12"/>
        <v>0</v>
      </c>
      <c r="H40" s="47">
        <f t="shared" si="12"/>
        <v>0</v>
      </c>
      <c r="I40" s="47">
        <f t="shared" si="12"/>
        <v>1350077.7949999999</v>
      </c>
      <c r="J40" s="47">
        <f t="shared" si="12"/>
        <v>0</v>
      </c>
      <c r="K40" s="47">
        <f t="shared" si="12"/>
        <v>1529185.3045899998</v>
      </c>
      <c r="L40" s="47">
        <f t="shared" si="12"/>
        <v>1804201.44</v>
      </c>
      <c r="M40" s="47">
        <f t="shared" si="12"/>
        <v>1931164.7920000001</v>
      </c>
      <c r="N40" s="47">
        <f t="shared" si="12"/>
        <v>2020542.0109999999</v>
      </c>
      <c r="O40" s="47">
        <f t="shared" si="12"/>
        <v>2063358.3199999998</v>
      </c>
      <c r="P40" s="47">
        <f t="shared" si="12"/>
        <v>2093558.0820000004</v>
      </c>
      <c r="Q40" s="47">
        <f t="shared" si="12"/>
        <v>2236582.5349999997</v>
      </c>
      <c r="R40" s="47">
        <f t="shared" si="12"/>
        <v>2326919.9509999999</v>
      </c>
      <c r="S40" s="47">
        <f t="shared" si="12"/>
        <v>2428283.4010000001</v>
      </c>
      <c r="T40" s="47">
        <f t="shared" si="12"/>
        <v>2682389.3420000002</v>
      </c>
      <c r="U40" s="47">
        <f t="shared" si="12"/>
        <v>2773494.1710000001</v>
      </c>
      <c r="V40" s="47">
        <f t="shared" si="12"/>
        <v>3096439.4820000003</v>
      </c>
      <c r="W40" s="47">
        <f t="shared" si="12"/>
        <v>3082788.7690000003</v>
      </c>
      <c r="X40" s="47">
        <f t="shared" si="12"/>
        <v>3180217.9070000001</v>
      </c>
      <c r="Y40" s="47">
        <f t="shared" si="12"/>
        <v>3267903.2520000003</v>
      </c>
      <c r="Z40" s="47">
        <f t="shared" si="12"/>
        <v>3332816.8509999998</v>
      </c>
      <c r="AA40" s="47">
        <f t="shared" si="12"/>
        <v>3390190.2420000001</v>
      </c>
      <c r="AB40" s="47">
        <f t="shared" si="12"/>
        <v>3418640.5150000001</v>
      </c>
      <c r="AC40" s="47">
        <f t="shared" si="12"/>
        <v>3537145.6530000004</v>
      </c>
      <c r="AD40" s="47">
        <f t="shared" ref="AD40:AE40" si="13">SUM(AD42:AD53)</f>
        <v>0</v>
      </c>
      <c r="AE40" s="47">
        <f t="shared" si="13"/>
        <v>3628791.0830000001</v>
      </c>
    </row>
    <row r="41" spans="1:31">
      <c r="A41" s="7" t="s">
        <v>97</v>
      </c>
      <c r="X41" s="1">
        <v>0</v>
      </c>
      <c r="AB41" s="1">
        <v>0</v>
      </c>
      <c r="AC41" s="1">
        <v>0</v>
      </c>
    </row>
    <row r="42" spans="1:31">
      <c r="A42" s="1" t="s">
        <v>57</v>
      </c>
      <c r="F42" s="41">
        <v>188066.34599999999</v>
      </c>
      <c r="I42" s="1">
        <v>247737.495</v>
      </c>
      <c r="K42" s="1">
        <v>279950.72100000002</v>
      </c>
      <c r="L42" s="1">
        <v>332856.81400000001</v>
      </c>
      <c r="M42" s="1">
        <v>367090.66899999999</v>
      </c>
      <c r="N42" s="1">
        <v>406112.04599999997</v>
      </c>
      <c r="O42" s="1">
        <v>422899.99800000002</v>
      </c>
      <c r="P42" s="1">
        <v>387482.88500000001</v>
      </c>
      <c r="Q42" s="1">
        <v>417472.10499999998</v>
      </c>
      <c r="R42" s="1">
        <v>446028.22200000001</v>
      </c>
      <c r="S42" s="1">
        <v>472646.092</v>
      </c>
      <c r="T42" s="1">
        <v>497881.359</v>
      </c>
      <c r="U42" s="1">
        <v>534909.88199999998</v>
      </c>
      <c r="V42" s="1">
        <v>621909.45400000003</v>
      </c>
      <c r="W42" s="1">
        <v>613016.69999999995</v>
      </c>
      <c r="X42" s="1">
        <v>663711.36499999999</v>
      </c>
      <c r="Y42" s="1">
        <v>715146.99</v>
      </c>
      <c r="Z42" s="1">
        <v>709634.36</v>
      </c>
      <c r="AA42" s="1">
        <v>728747.12600000005</v>
      </c>
      <c r="AB42" s="1">
        <v>678770.42599999998</v>
      </c>
      <c r="AC42" s="1">
        <v>690236.81900000002</v>
      </c>
      <c r="AE42" s="1">
        <v>622865.06200000003</v>
      </c>
    </row>
    <row r="43" spans="1:31">
      <c r="A43" s="1" t="s">
        <v>58</v>
      </c>
      <c r="F43" s="41">
        <v>112942.984</v>
      </c>
      <c r="I43" s="1">
        <v>140991.34</v>
      </c>
      <c r="K43" s="1">
        <v>161409.356</v>
      </c>
      <c r="L43" s="1">
        <v>200363.18700000001</v>
      </c>
      <c r="M43" s="1">
        <v>220501.69699999999</v>
      </c>
      <c r="N43" s="1">
        <v>209990.283</v>
      </c>
      <c r="O43" s="1">
        <v>220662.603</v>
      </c>
      <c r="P43" s="1">
        <v>243855.785</v>
      </c>
      <c r="Q43" s="1">
        <v>265541.14899999998</v>
      </c>
      <c r="R43" s="1">
        <v>269251.908</v>
      </c>
      <c r="S43" s="1">
        <v>262382.027</v>
      </c>
      <c r="T43" s="1">
        <v>277001.37199999997</v>
      </c>
      <c r="U43" s="1">
        <v>308656.288</v>
      </c>
      <c r="V43" s="1">
        <v>344611.5</v>
      </c>
      <c r="W43" s="1">
        <v>355404.12800000003</v>
      </c>
      <c r="X43" s="1">
        <v>356632.49699999997</v>
      </c>
      <c r="Y43" s="1">
        <v>333764.69199999998</v>
      </c>
      <c r="Z43" s="1">
        <v>334395.17099999997</v>
      </c>
      <c r="AA43" s="1">
        <v>316223.83500000002</v>
      </c>
      <c r="AB43" s="1">
        <v>325028.04200000002</v>
      </c>
      <c r="AC43" s="1">
        <v>352513.478</v>
      </c>
      <c r="AE43" s="1">
        <v>309810.897</v>
      </c>
    </row>
    <row r="44" spans="1:31">
      <c r="A44" s="1" t="s">
        <v>59</v>
      </c>
      <c r="F44" s="41">
        <v>76569.616999999998</v>
      </c>
      <c r="I44" s="1">
        <v>106604.856</v>
      </c>
      <c r="K44" s="1">
        <v>129070.284</v>
      </c>
      <c r="L44" s="1">
        <v>144240.37400000001</v>
      </c>
      <c r="M44" s="1">
        <v>154353.50599999999</v>
      </c>
      <c r="N44" s="1">
        <v>124544.554</v>
      </c>
      <c r="O44" s="1">
        <v>125770.609</v>
      </c>
      <c r="P44" s="1">
        <v>130329.886</v>
      </c>
      <c r="Q44" s="1">
        <v>137189.247</v>
      </c>
      <c r="R44" s="1">
        <v>145628.334</v>
      </c>
      <c r="S44" s="1">
        <v>158402.04999999999</v>
      </c>
      <c r="T44" s="1">
        <v>170251.35399999999</v>
      </c>
      <c r="U44" s="1">
        <v>186242.26199999999</v>
      </c>
      <c r="V44" s="1">
        <v>201250.07500000001</v>
      </c>
      <c r="W44" s="1">
        <v>199659.35699999999</v>
      </c>
      <c r="X44" s="1">
        <v>194044.323</v>
      </c>
      <c r="Y44" s="1">
        <v>206273.85800000001</v>
      </c>
      <c r="Z44" s="1">
        <v>211435.807</v>
      </c>
      <c r="AA44" s="1">
        <v>213436.84700000001</v>
      </c>
      <c r="AB44" s="1">
        <v>227767.641</v>
      </c>
      <c r="AC44" s="1">
        <v>225066.22500000001</v>
      </c>
      <c r="AE44" s="1">
        <v>225868.11199999999</v>
      </c>
    </row>
    <row r="45" spans="1:31">
      <c r="A45" s="1" t="s">
        <v>60</v>
      </c>
      <c r="F45" s="41">
        <v>52565.790999999997</v>
      </c>
      <c r="I45" s="1">
        <v>57930.981</v>
      </c>
      <c r="K45" s="1">
        <v>63739.669590000005</v>
      </c>
      <c r="L45" s="1">
        <v>68119.566999999995</v>
      </c>
      <c r="M45" s="1">
        <v>78542.718999999997</v>
      </c>
      <c r="N45" s="1">
        <v>84300.481</v>
      </c>
      <c r="O45" s="1">
        <v>89786.013000000006</v>
      </c>
      <c r="P45" s="1">
        <v>99219.313999999998</v>
      </c>
      <c r="Q45" s="1">
        <v>97529.607000000004</v>
      </c>
      <c r="R45" s="1">
        <v>110292.451</v>
      </c>
      <c r="S45" s="1">
        <v>122644.814</v>
      </c>
      <c r="T45" s="1">
        <v>135795.054</v>
      </c>
      <c r="U45" s="1">
        <v>132350.579</v>
      </c>
      <c r="V45" s="1">
        <v>148206.40700000001</v>
      </c>
      <c r="W45" s="1">
        <v>158261.75200000001</v>
      </c>
      <c r="X45" s="1">
        <v>168487.52799999999</v>
      </c>
      <c r="Y45" s="1">
        <v>169045.682</v>
      </c>
      <c r="Z45" s="1">
        <v>169953.61300000001</v>
      </c>
      <c r="AA45" s="1">
        <v>174274.16099999999</v>
      </c>
      <c r="AB45" s="1">
        <v>177286.58900000001</v>
      </c>
      <c r="AC45" s="1">
        <v>167974.91399999999</v>
      </c>
      <c r="AE45" s="1">
        <v>207732.77299999999</v>
      </c>
    </row>
    <row r="46" spans="1:31">
      <c r="A46" s="1" t="s">
        <v>61</v>
      </c>
      <c r="F46" s="41">
        <v>177148.78599999999</v>
      </c>
      <c r="I46" s="1">
        <v>223579.96799999999</v>
      </c>
      <c r="K46" s="1">
        <v>235208.033</v>
      </c>
      <c r="L46" s="1">
        <v>288802.8</v>
      </c>
      <c r="M46" s="1">
        <v>317497.79700000002</v>
      </c>
      <c r="N46" s="1">
        <v>361291.20299999998</v>
      </c>
      <c r="O46" s="1">
        <v>349789.53899999999</v>
      </c>
      <c r="P46" s="1">
        <v>364553.22899999999</v>
      </c>
      <c r="Q46" s="1">
        <v>387739.64399999997</v>
      </c>
      <c r="R46" s="1">
        <v>393471.7</v>
      </c>
      <c r="S46" s="1">
        <v>413307.21600000001</v>
      </c>
      <c r="T46" s="1">
        <v>505324.65600000002</v>
      </c>
      <c r="U46" s="1">
        <v>503561.50099999999</v>
      </c>
      <c r="V46" s="1">
        <v>543393.46900000004</v>
      </c>
      <c r="W46" s="1">
        <v>543138.07299999997</v>
      </c>
      <c r="X46" s="1">
        <v>537835.74300000002</v>
      </c>
      <c r="Y46" s="1">
        <v>570498.473</v>
      </c>
      <c r="Z46" s="1">
        <v>570658.93299999996</v>
      </c>
      <c r="AA46" s="1">
        <v>625789.027</v>
      </c>
      <c r="AB46" s="1">
        <v>613760.799</v>
      </c>
      <c r="AC46" s="1">
        <v>659615.75600000005</v>
      </c>
      <c r="AE46" s="1">
        <v>751393.46200000006</v>
      </c>
    </row>
    <row r="47" spans="1:31">
      <c r="A47" s="1" t="s">
        <v>62</v>
      </c>
      <c r="F47" s="41">
        <v>80871.569000000003</v>
      </c>
      <c r="I47" s="1">
        <v>104845.999</v>
      </c>
      <c r="K47" s="1">
        <v>122194.549</v>
      </c>
      <c r="L47" s="1">
        <v>169545.878</v>
      </c>
      <c r="M47" s="1">
        <v>159563.70199999999</v>
      </c>
      <c r="N47" s="1">
        <v>157206.51</v>
      </c>
      <c r="O47" s="1">
        <v>163308.27499999999</v>
      </c>
      <c r="P47" s="1">
        <v>169462.076</v>
      </c>
      <c r="Q47" s="1">
        <v>178731.09299999999</v>
      </c>
      <c r="R47" s="1">
        <v>186655.87100000001</v>
      </c>
      <c r="S47" s="1">
        <v>196108.53599999999</v>
      </c>
      <c r="T47" s="1">
        <v>199701.15700000001</v>
      </c>
      <c r="U47" s="1">
        <v>221280.386</v>
      </c>
      <c r="V47" s="1">
        <v>234990.97200000001</v>
      </c>
      <c r="W47" s="1">
        <v>246969.976</v>
      </c>
      <c r="X47" s="1">
        <v>266817.92099999997</v>
      </c>
      <c r="Y47" s="1">
        <v>271370.17</v>
      </c>
      <c r="Z47" s="1">
        <v>277753.30300000001</v>
      </c>
      <c r="AA47" s="1">
        <v>274167.00199999998</v>
      </c>
      <c r="AB47" s="1">
        <v>285470.41600000003</v>
      </c>
      <c r="AC47" s="1">
        <v>308295.94500000001</v>
      </c>
      <c r="AE47" s="1">
        <v>302904.15999999997</v>
      </c>
    </row>
    <row r="48" spans="1:31">
      <c r="A48" s="1" t="s">
        <v>63</v>
      </c>
      <c r="F48" s="41">
        <v>53843.964999999997</v>
      </c>
      <c r="I48" s="1">
        <v>69274.271999999997</v>
      </c>
      <c r="K48" s="1">
        <v>122195.86</v>
      </c>
      <c r="L48" s="1">
        <v>102350.997</v>
      </c>
      <c r="M48" s="1">
        <v>109139.70299999999</v>
      </c>
      <c r="N48" s="1">
        <v>106991.66899999999</v>
      </c>
      <c r="O48" s="1">
        <v>95721.232999999993</v>
      </c>
      <c r="P48" s="1">
        <v>100497.78200000001</v>
      </c>
      <c r="Q48" s="1">
        <v>142125.97500000001</v>
      </c>
      <c r="R48" s="1">
        <v>152221.05900000001</v>
      </c>
      <c r="S48" s="1">
        <v>154174.46900000001</v>
      </c>
      <c r="T48" s="1">
        <v>179704.18900000001</v>
      </c>
      <c r="U48" s="1">
        <v>192957.829</v>
      </c>
      <c r="V48" s="1">
        <v>184766.427</v>
      </c>
      <c r="W48" s="1">
        <v>185236.353</v>
      </c>
      <c r="X48" s="1">
        <v>192429.22399999999</v>
      </c>
      <c r="Y48" s="1">
        <v>201002.61600000001</v>
      </c>
      <c r="Z48" s="1">
        <v>207381.005</v>
      </c>
      <c r="AA48" s="1">
        <v>212292.75899999999</v>
      </c>
      <c r="AB48" s="1">
        <v>216808.18</v>
      </c>
      <c r="AC48" s="1">
        <v>227677.728</v>
      </c>
      <c r="AE48" s="1">
        <v>230704.25899999999</v>
      </c>
    </row>
    <row r="49" spans="1:31">
      <c r="A49" s="1" t="s">
        <v>64</v>
      </c>
      <c r="F49" s="41">
        <v>56674.739000000001</v>
      </c>
      <c r="I49" s="1">
        <v>56800.576999999997</v>
      </c>
      <c r="K49" s="1">
        <v>64696.686999999998</v>
      </c>
      <c r="L49" s="1">
        <v>74544.933000000005</v>
      </c>
      <c r="M49" s="1">
        <v>73179.141000000003</v>
      </c>
      <c r="N49" s="1">
        <v>92500.785999999993</v>
      </c>
      <c r="O49" s="1">
        <v>94015.354999999996</v>
      </c>
      <c r="P49" s="1">
        <v>90410.324999999997</v>
      </c>
      <c r="Q49" s="1">
        <v>95321.195999999996</v>
      </c>
      <c r="R49" s="1">
        <v>82104.895999999993</v>
      </c>
      <c r="S49" s="1">
        <v>90227.865000000005</v>
      </c>
      <c r="T49" s="1">
        <v>94450.664999999994</v>
      </c>
      <c r="U49" s="1">
        <v>88580.228000000003</v>
      </c>
      <c r="V49" s="1">
        <v>133111.32999999999</v>
      </c>
      <c r="W49" s="1">
        <v>115222.478</v>
      </c>
      <c r="X49" s="1">
        <v>126205.91800000001</v>
      </c>
      <c r="Y49" s="1">
        <v>126039.22500000001</v>
      </c>
      <c r="Z49" s="1">
        <v>131720.52600000001</v>
      </c>
      <c r="AA49" s="1">
        <v>135791.503</v>
      </c>
      <c r="AB49" s="1">
        <v>126297.38099999999</v>
      </c>
      <c r="AC49" s="1">
        <v>114949.361</v>
      </c>
      <c r="AE49" s="1">
        <v>123487.211</v>
      </c>
    </row>
    <row r="50" spans="1:31">
      <c r="A50" s="1" t="s">
        <v>65</v>
      </c>
      <c r="F50" s="41">
        <v>22797.785</v>
      </c>
      <c r="I50" s="1">
        <v>25289.227999999999</v>
      </c>
      <c r="K50" s="1">
        <v>24502.214</v>
      </c>
      <c r="L50" s="1">
        <v>28464.511999999999</v>
      </c>
      <c r="M50" s="1">
        <v>30179.916000000001</v>
      </c>
      <c r="N50" s="1">
        <v>34356.745999999999</v>
      </c>
      <c r="O50" s="1">
        <v>39409.671999999999</v>
      </c>
      <c r="P50" s="1">
        <v>40990.839999999997</v>
      </c>
      <c r="Q50" s="1">
        <v>42426.409</v>
      </c>
      <c r="R50" s="1">
        <v>41861.748</v>
      </c>
      <c r="S50" s="1">
        <v>41717.150999999998</v>
      </c>
      <c r="T50" s="1">
        <v>44863.038999999997</v>
      </c>
      <c r="U50" s="1">
        <v>49895.839</v>
      </c>
      <c r="V50" s="1">
        <v>56259.834000000003</v>
      </c>
      <c r="W50" s="1">
        <v>62222.822</v>
      </c>
      <c r="X50" s="1">
        <v>65617.172999999995</v>
      </c>
      <c r="Y50" s="1">
        <v>69716.722999999998</v>
      </c>
      <c r="Z50" s="1">
        <v>70574.516000000003</v>
      </c>
      <c r="AA50" s="1">
        <v>72451.125</v>
      </c>
      <c r="AB50" s="1">
        <v>72198.501999999993</v>
      </c>
      <c r="AC50" s="1">
        <v>71647.827000000005</v>
      </c>
      <c r="AE50" s="1">
        <v>79078.34</v>
      </c>
    </row>
    <row r="51" spans="1:31">
      <c r="A51" s="1" t="s">
        <v>66</v>
      </c>
      <c r="F51" s="41">
        <v>145160.5</v>
      </c>
      <c r="I51" s="1">
        <v>174513.13200000001</v>
      </c>
      <c r="K51" s="1">
        <v>176620.49400000001</v>
      </c>
      <c r="L51" s="1">
        <v>215516.65299999999</v>
      </c>
      <c r="M51" s="1">
        <v>228655.00399999999</v>
      </c>
      <c r="N51" s="1">
        <v>242333.353</v>
      </c>
      <c r="O51" s="1">
        <v>252345.83600000001</v>
      </c>
      <c r="P51" s="1">
        <v>256886.46400000001</v>
      </c>
      <c r="Q51" s="1">
        <v>255613.149</v>
      </c>
      <c r="R51" s="1">
        <v>278284.02100000001</v>
      </c>
      <c r="S51" s="1">
        <v>274065.52399999998</v>
      </c>
      <c r="T51" s="1">
        <v>294724.245</v>
      </c>
      <c r="U51" s="1">
        <v>295876.43199999997</v>
      </c>
      <c r="V51" s="1">
        <v>318889.06</v>
      </c>
      <c r="W51" s="1">
        <v>299712.21500000003</v>
      </c>
      <c r="X51" s="1">
        <v>298524.67700000003</v>
      </c>
      <c r="Y51" s="1">
        <v>301380.54700000002</v>
      </c>
      <c r="Z51" s="1">
        <v>340637.674</v>
      </c>
      <c r="AA51" s="1">
        <v>333403.41100000002</v>
      </c>
      <c r="AB51" s="1">
        <v>389775.87300000002</v>
      </c>
      <c r="AC51" s="1">
        <v>420358.08100000001</v>
      </c>
      <c r="AE51" s="1">
        <v>411064.26400000002</v>
      </c>
    </row>
    <row r="52" spans="1:31">
      <c r="A52" s="1" t="s">
        <v>67</v>
      </c>
      <c r="F52" s="41">
        <v>20126.365000000002</v>
      </c>
      <c r="I52" s="1">
        <v>24122</v>
      </c>
      <c r="K52" s="1">
        <v>24136.804</v>
      </c>
      <c r="L52" s="1">
        <v>30328.781999999999</v>
      </c>
      <c r="M52" s="1">
        <v>32763.034</v>
      </c>
      <c r="N52" s="1">
        <v>34907.379000000001</v>
      </c>
      <c r="O52" s="1">
        <v>36950.067999999999</v>
      </c>
      <c r="P52" s="1">
        <v>36361.964999999997</v>
      </c>
      <c r="Q52" s="1">
        <v>37478.175000000003</v>
      </c>
      <c r="R52" s="1">
        <v>41659.379999999997</v>
      </c>
      <c r="S52" s="1">
        <v>44406.841999999997</v>
      </c>
      <c r="T52" s="1">
        <v>46976.578999999998</v>
      </c>
      <c r="U52" s="1">
        <v>38965.529000000002</v>
      </c>
      <c r="V52" s="1">
        <v>48342.044999999998</v>
      </c>
      <c r="W52" s="1">
        <v>49975.462</v>
      </c>
      <c r="X52" s="1">
        <v>53761.733999999997</v>
      </c>
      <c r="Y52" s="1">
        <v>48689.161</v>
      </c>
      <c r="Z52" s="1">
        <v>48710.252999999997</v>
      </c>
      <c r="AA52" s="1">
        <v>45374.578000000001</v>
      </c>
      <c r="AB52" s="1">
        <v>47869.243000000002</v>
      </c>
      <c r="AC52" s="1">
        <v>50766.796999999999</v>
      </c>
      <c r="AE52" s="1">
        <v>52730.089</v>
      </c>
    </row>
    <row r="53" spans="1:31">
      <c r="A53" s="23" t="s">
        <v>68</v>
      </c>
      <c r="B53" s="23"/>
      <c r="C53" s="23"/>
      <c r="D53" s="23"/>
      <c r="E53" s="23"/>
      <c r="F53" s="44">
        <v>131175.361</v>
      </c>
      <c r="G53" s="23"/>
      <c r="H53" s="23"/>
      <c r="I53" s="23">
        <v>118387.947</v>
      </c>
      <c r="J53" s="23"/>
      <c r="K53" s="23">
        <v>125460.633</v>
      </c>
      <c r="L53" s="23">
        <v>149066.943</v>
      </c>
      <c r="M53" s="23">
        <v>159697.90400000001</v>
      </c>
      <c r="N53" s="23">
        <v>166007.00099999999</v>
      </c>
      <c r="O53" s="23">
        <v>172699.11900000001</v>
      </c>
      <c r="P53" s="23">
        <v>173507.53099999999</v>
      </c>
      <c r="Q53" s="23">
        <v>179414.78599999999</v>
      </c>
      <c r="R53" s="23">
        <v>179460.361</v>
      </c>
      <c r="S53" s="23">
        <v>198200.815</v>
      </c>
      <c r="T53" s="23">
        <v>235715.67300000001</v>
      </c>
      <c r="U53" s="23">
        <v>220217.416</v>
      </c>
      <c r="V53" s="23">
        <v>260708.90900000001</v>
      </c>
      <c r="W53" s="23">
        <v>253969.45300000001</v>
      </c>
      <c r="X53" s="23">
        <v>256149.804</v>
      </c>
      <c r="Y53" s="23">
        <v>254975.11499999999</v>
      </c>
      <c r="Z53" s="23">
        <v>259961.69</v>
      </c>
      <c r="AA53" s="23">
        <v>258238.86799999999</v>
      </c>
      <c r="AB53" s="23">
        <v>257607.42300000001</v>
      </c>
      <c r="AC53" s="23">
        <v>248042.72200000001</v>
      </c>
      <c r="AD53" s="23"/>
      <c r="AE53" s="23">
        <v>311152.45400000003</v>
      </c>
    </row>
    <row r="54" spans="1:31">
      <c r="A54" s="7" t="s">
        <v>69</v>
      </c>
      <c r="B54" s="47">
        <f>SUM(B56:B64)</f>
        <v>0</v>
      </c>
      <c r="C54" s="47">
        <f t="shared" ref="C54:AC54" si="14">SUM(C56:C64)</f>
        <v>0</v>
      </c>
      <c r="D54" s="47">
        <f t="shared" si="14"/>
        <v>0</v>
      </c>
      <c r="E54" s="47">
        <f t="shared" si="14"/>
        <v>0</v>
      </c>
      <c r="F54" s="47">
        <f t="shared" si="14"/>
        <v>435753.45199999993</v>
      </c>
      <c r="G54" s="47">
        <f t="shared" si="14"/>
        <v>0</v>
      </c>
      <c r="H54" s="47">
        <f t="shared" si="14"/>
        <v>0</v>
      </c>
      <c r="I54" s="47">
        <f t="shared" si="14"/>
        <v>467203.46699999995</v>
      </c>
      <c r="J54" s="47">
        <f t="shared" si="14"/>
        <v>0</v>
      </c>
      <c r="K54" s="47">
        <f t="shared" si="14"/>
        <v>570595.83200000005</v>
      </c>
      <c r="L54" s="47">
        <f t="shared" si="14"/>
        <v>691033.18800000008</v>
      </c>
      <c r="M54" s="47">
        <f t="shared" si="14"/>
        <v>760586.05299999996</v>
      </c>
      <c r="N54" s="47">
        <f t="shared" si="14"/>
        <v>789778.7</v>
      </c>
      <c r="O54" s="47">
        <f t="shared" si="14"/>
        <v>692576.4530000001</v>
      </c>
      <c r="P54" s="47">
        <f t="shared" si="14"/>
        <v>727013.75599999994</v>
      </c>
      <c r="Q54" s="47">
        <f t="shared" si="14"/>
        <v>977843.32599999988</v>
      </c>
      <c r="R54" s="47">
        <f t="shared" si="14"/>
        <v>1002934.7920000001</v>
      </c>
      <c r="S54" s="47">
        <f t="shared" si="14"/>
        <v>1045593.9990000001</v>
      </c>
      <c r="T54" s="47">
        <f t="shared" si="14"/>
        <v>1096459.402</v>
      </c>
      <c r="U54" s="47">
        <f t="shared" si="14"/>
        <v>499058.783</v>
      </c>
      <c r="V54" s="47">
        <f t="shared" si="14"/>
        <v>1183856.6269999999</v>
      </c>
      <c r="W54" s="47">
        <f t="shared" si="14"/>
        <v>1295404.4350000001</v>
      </c>
      <c r="X54" s="47">
        <f t="shared" si="14"/>
        <v>1192848.446</v>
      </c>
      <c r="Y54" s="47">
        <f t="shared" si="14"/>
        <v>1100352.3090000001</v>
      </c>
      <c r="Z54" s="47">
        <f t="shared" si="14"/>
        <v>1258140.726</v>
      </c>
      <c r="AA54" s="47">
        <f t="shared" si="14"/>
        <v>992630.86</v>
      </c>
      <c r="AB54" s="47">
        <f t="shared" si="14"/>
        <v>1213248.882</v>
      </c>
      <c r="AC54" s="47">
        <f t="shared" si="14"/>
        <v>1386244.2830000001</v>
      </c>
      <c r="AD54" s="47">
        <f t="shared" ref="AD54:AE54" si="15">SUM(AD56:AD64)</f>
        <v>0</v>
      </c>
      <c r="AE54" s="47">
        <f t="shared" si="15"/>
        <v>1302648.635</v>
      </c>
    </row>
    <row r="55" spans="1:31">
      <c r="A55" s="7" t="s">
        <v>97</v>
      </c>
      <c r="X55" s="1">
        <v>0</v>
      </c>
      <c r="AB55" s="1">
        <v>0</v>
      </c>
      <c r="AC55" s="1">
        <v>0</v>
      </c>
    </row>
    <row r="56" spans="1:31">
      <c r="A56" s="1" t="s">
        <v>70</v>
      </c>
      <c r="F56" s="41">
        <v>21809.792000000001</v>
      </c>
      <c r="I56" s="1">
        <v>28965.792000000001</v>
      </c>
      <c r="K56" s="1">
        <v>28031.117999999999</v>
      </c>
      <c r="L56" s="1">
        <v>41946.936000000002</v>
      </c>
      <c r="M56" s="1">
        <v>33773.131000000001</v>
      </c>
      <c r="N56" s="1">
        <v>190614.37899999999</v>
      </c>
      <c r="O56" s="1">
        <v>197837.69699999999</v>
      </c>
      <c r="P56" s="1">
        <v>193447.90299999999</v>
      </c>
      <c r="Q56" s="1">
        <v>204151.39199999999</v>
      </c>
      <c r="R56" s="1">
        <v>210181.601</v>
      </c>
      <c r="S56" s="1">
        <v>221581.40400000001</v>
      </c>
      <c r="T56" s="1">
        <v>268222.89299999998</v>
      </c>
      <c r="U56" s="1">
        <v>76940.722999999998</v>
      </c>
      <c r="V56" s="1">
        <v>68248.895000000004</v>
      </c>
      <c r="W56" s="1">
        <v>85995.573999999993</v>
      </c>
      <c r="X56" s="1">
        <v>116963.155</v>
      </c>
      <c r="Y56" s="1">
        <v>125726.94899999999</v>
      </c>
      <c r="Z56" s="1">
        <v>110691.19899999999</v>
      </c>
      <c r="AA56" s="1">
        <v>93819.827000000005</v>
      </c>
      <c r="AB56" s="1">
        <v>102030.23299999999</v>
      </c>
      <c r="AC56" s="1">
        <v>101301.09600000001</v>
      </c>
      <c r="AE56" s="1">
        <v>132401.84400000001</v>
      </c>
    </row>
    <row r="57" spans="1:31">
      <c r="A57" s="1" t="s">
        <v>71</v>
      </c>
      <c r="F57" s="41">
        <v>27166.539000000001</v>
      </c>
      <c r="I57" s="1">
        <v>31700.738000000001</v>
      </c>
      <c r="K57" s="1">
        <v>37841.107000000004</v>
      </c>
      <c r="L57" s="1">
        <v>36617.837</v>
      </c>
      <c r="M57" s="1">
        <v>39679.076000000001</v>
      </c>
      <c r="N57" s="1">
        <v>42486.8</v>
      </c>
      <c r="O57" s="1">
        <v>45513.870999999999</v>
      </c>
      <c r="P57" s="1">
        <v>47645.807999999997</v>
      </c>
      <c r="Q57" s="1">
        <v>49133.987999999998</v>
      </c>
      <c r="R57" s="1">
        <v>51410.66</v>
      </c>
      <c r="S57" s="1">
        <v>52478.718000000001</v>
      </c>
      <c r="T57" s="1">
        <v>53773.197999999997</v>
      </c>
      <c r="U57" s="1">
        <v>56763.586000000003</v>
      </c>
      <c r="V57" s="1">
        <v>67329.441999999995</v>
      </c>
      <c r="W57" s="1">
        <v>68669.832999999999</v>
      </c>
      <c r="X57" s="1">
        <v>71183.490999999995</v>
      </c>
      <c r="Y57" s="1">
        <v>68246.947</v>
      </c>
      <c r="Z57" s="1">
        <v>68823.013999999996</v>
      </c>
      <c r="AA57" s="1">
        <v>69313.429999999993</v>
      </c>
      <c r="AB57" s="1">
        <v>68500.73</v>
      </c>
      <c r="AC57" s="1">
        <v>68500.577999999994</v>
      </c>
      <c r="AE57" s="1">
        <v>67695.426000000007</v>
      </c>
    </row>
    <row r="58" spans="1:31" s="11" customFormat="1">
      <c r="A58" s="1" t="s">
        <v>72</v>
      </c>
      <c r="B58" s="1"/>
      <c r="C58" s="1"/>
      <c r="D58" s="1"/>
      <c r="E58" s="1"/>
      <c r="F58" s="41">
        <v>91616.986999999994</v>
      </c>
      <c r="G58" s="1"/>
      <c r="H58" s="1"/>
      <c r="I58" s="1">
        <v>47319.457000000002</v>
      </c>
      <c r="J58" s="1"/>
      <c r="K58" s="1">
        <v>56355.713000000003</v>
      </c>
      <c r="L58" s="1">
        <v>97436.187999999995</v>
      </c>
      <c r="M58" s="1">
        <v>124114.41899999999</v>
      </c>
      <c r="N58" s="1">
        <v>157153.68799999999</v>
      </c>
      <c r="O58" s="1">
        <v>181458.24100000001</v>
      </c>
      <c r="P58" s="1">
        <v>205822.86600000001</v>
      </c>
      <c r="Q58" s="1">
        <v>391390.14</v>
      </c>
      <c r="R58" s="1">
        <v>393998.92</v>
      </c>
      <c r="S58" s="1">
        <v>405285.48599999998</v>
      </c>
      <c r="T58" s="1">
        <v>345404.00099999999</v>
      </c>
      <c r="U58" s="1">
        <v>38648.993000000002</v>
      </c>
      <c r="V58" s="1">
        <v>478418.57500000001</v>
      </c>
      <c r="W58" s="1">
        <v>556211.05200000003</v>
      </c>
      <c r="X58" s="1">
        <v>432716.03499999997</v>
      </c>
      <c r="Y58" s="1">
        <v>477081.06900000002</v>
      </c>
      <c r="Z58" s="1">
        <v>511200.02399999998</v>
      </c>
      <c r="AA58" s="1">
        <v>360033.96</v>
      </c>
      <c r="AB58" s="1">
        <v>550143.95700000005</v>
      </c>
      <c r="AC58" s="1">
        <v>479476.97700000001</v>
      </c>
      <c r="AD58" s="1"/>
      <c r="AE58" s="1">
        <v>358049.31300000002</v>
      </c>
    </row>
    <row r="59" spans="1:31">
      <c r="A59" s="1" t="s">
        <v>73</v>
      </c>
      <c r="F59" s="41">
        <v>11748.178</v>
      </c>
      <c r="I59" s="1">
        <v>14891.739</v>
      </c>
      <c r="K59" s="1">
        <v>15344.83</v>
      </c>
      <c r="L59" s="1">
        <v>17041.084999999999</v>
      </c>
      <c r="M59" s="1">
        <v>18241.859</v>
      </c>
      <c r="N59" s="1">
        <v>16309.343999999999</v>
      </c>
      <c r="O59" s="1">
        <v>17137.955999999998</v>
      </c>
      <c r="P59" s="1">
        <v>16990.34</v>
      </c>
      <c r="Q59" s="1">
        <v>18093.905999999999</v>
      </c>
      <c r="R59" s="1">
        <v>18621.103999999999</v>
      </c>
      <c r="S59" s="1">
        <v>19738.098000000002</v>
      </c>
      <c r="T59" s="1">
        <v>22221.172999999999</v>
      </c>
      <c r="U59" s="1">
        <v>11981.098</v>
      </c>
      <c r="V59" s="1">
        <v>11341.779</v>
      </c>
      <c r="W59" s="1">
        <v>12124.554</v>
      </c>
      <c r="X59" s="1">
        <v>9180.768</v>
      </c>
      <c r="Y59" s="1">
        <v>8914.0439999999999</v>
      </c>
      <c r="Z59" s="1">
        <v>9765.9110000000001</v>
      </c>
      <c r="AA59" s="1">
        <v>11215.928</v>
      </c>
      <c r="AB59" s="1">
        <v>11673.883</v>
      </c>
      <c r="AC59" s="1">
        <v>10642.875</v>
      </c>
      <c r="AE59" s="1">
        <v>16447.798999999999</v>
      </c>
    </row>
    <row r="60" spans="1:31">
      <c r="A60" s="1" t="s">
        <v>74</v>
      </c>
      <c r="F60" s="41">
        <v>64248.826999999997</v>
      </c>
      <c r="I60" s="1">
        <v>87310.23</v>
      </c>
      <c r="K60" s="1">
        <v>120370.045</v>
      </c>
      <c r="L60" s="1">
        <v>168108.329</v>
      </c>
      <c r="M60" s="1">
        <v>184645.69399999999</v>
      </c>
      <c r="N60" s="1">
        <v>70008.494999999995</v>
      </c>
      <c r="O60" s="1">
        <v>73321.248999999996</v>
      </c>
      <c r="P60" s="1">
        <v>74780.262000000002</v>
      </c>
      <c r="Q60" s="1">
        <v>110091.762</v>
      </c>
      <c r="R60" s="1">
        <v>115550.24</v>
      </c>
      <c r="S60" s="1">
        <v>118806.026</v>
      </c>
      <c r="T60" s="1">
        <v>138188.106</v>
      </c>
      <c r="U60" s="1">
        <v>70910.665999999997</v>
      </c>
      <c r="V60" s="1">
        <v>213374.114</v>
      </c>
      <c r="W60" s="1">
        <v>205484.47200000001</v>
      </c>
      <c r="X60" s="1">
        <v>212780.88699999999</v>
      </c>
      <c r="Y60" s="1">
        <v>88236.539000000004</v>
      </c>
      <c r="Z60" s="1">
        <v>218333.40599999999</v>
      </c>
      <c r="AA60" s="1">
        <v>114456.287</v>
      </c>
      <c r="AB60" s="1">
        <v>117876.89599999999</v>
      </c>
      <c r="AC60" s="1">
        <v>352676.05599999998</v>
      </c>
      <c r="AE60" s="1">
        <v>326810.19300000003</v>
      </c>
    </row>
    <row r="61" spans="1:31">
      <c r="A61" s="1" t="s">
        <v>75</v>
      </c>
      <c r="F61" s="41">
        <v>112969.186</v>
      </c>
      <c r="I61" s="1">
        <v>128485.1</v>
      </c>
      <c r="K61" s="1">
        <v>150496.21400000001</v>
      </c>
      <c r="L61" s="1">
        <v>164153.42800000001</v>
      </c>
      <c r="M61" s="1">
        <v>210622.315</v>
      </c>
      <c r="N61" s="1">
        <v>223232.55600000001</v>
      </c>
      <c r="O61" s="1">
        <v>102558.81299999999</v>
      </c>
      <c r="P61" s="1">
        <v>105887.014</v>
      </c>
      <c r="Q61" s="1">
        <v>119509.73</v>
      </c>
      <c r="R61" s="1">
        <v>124618.05499999999</v>
      </c>
      <c r="S61" s="1">
        <v>140372.74799999999</v>
      </c>
      <c r="T61" s="1">
        <v>175042.78899999999</v>
      </c>
      <c r="U61" s="1">
        <v>155877.96</v>
      </c>
      <c r="V61" s="1">
        <v>236694.193</v>
      </c>
      <c r="W61" s="1">
        <v>246795.052</v>
      </c>
      <c r="X61" s="1">
        <v>226641.541</v>
      </c>
      <c r="Y61" s="1">
        <v>211535.40299999999</v>
      </c>
      <c r="Z61" s="1">
        <v>211385.00700000001</v>
      </c>
      <c r="AA61" s="1">
        <v>216916.24</v>
      </c>
      <c r="AB61" s="1">
        <v>221507.44099999999</v>
      </c>
      <c r="AC61" s="1">
        <v>225510.337</v>
      </c>
      <c r="AE61" s="1">
        <v>247645.19399999999</v>
      </c>
    </row>
    <row r="62" spans="1:31">
      <c r="A62" s="1" t="s">
        <v>76</v>
      </c>
      <c r="F62" s="41">
        <v>81742.524000000005</v>
      </c>
      <c r="I62" s="1">
        <v>102466.772</v>
      </c>
      <c r="K62" s="1">
        <v>133541.035</v>
      </c>
      <c r="L62" s="1">
        <v>130477.446</v>
      </c>
      <c r="M62" s="1">
        <v>110947.124</v>
      </c>
      <c r="N62" s="1">
        <v>49284.961000000003</v>
      </c>
      <c r="O62" s="1">
        <v>39220.027999999998</v>
      </c>
      <c r="P62" s="1">
        <v>39411.885000000002</v>
      </c>
      <c r="Q62" s="1">
        <v>41169.587</v>
      </c>
      <c r="R62" s="1">
        <v>39274.175000000003</v>
      </c>
      <c r="S62" s="1">
        <v>39596.332999999999</v>
      </c>
      <c r="T62" s="1">
        <v>41681.892</v>
      </c>
      <c r="U62" s="1">
        <v>40677.805999999997</v>
      </c>
      <c r="V62" s="1">
        <v>43102.286999999997</v>
      </c>
      <c r="W62" s="1">
        <v>42123.324000000001</v>
      </c>
      <c r="X62" s="1">
        <v>40266.514000000003</v>
      </c>
      <c r="Y62" s="1">
        <v>40910.241999999998</v>
      </c>
      <c r="Z62" s="1">
        <v>44917.955000000002</v>
      </c>
      <c r="AA62" s="1">
        <v>44716.286999999997</v>
      </c>
      <c r="AB62" s="1">
        <v>46883.646999999997</v>
      </c>
      <c r="AC62" s="1">
        <v>50826.855000000003</v>
      </c>
      <c r="AE62" s="1">
        <v>59194.964</v>
      </c>
    </row>
    <row r="63" spans="1:31">
      <c r="A63" s="1" t="s">
        <v>77</v>
      </c>
      <c r="F63" s="41">
        <v>4270.8429999999998</v>
      </c>
      <c r="I63" s="1">
        <v>4167.5119999999997</v>
      </c>
      <c r="K63" s="1">
        <v>5015.2950000000001</v>
      </c>
      <c r="L63" s="1">
        <v>5664.7420000000002</v>
      </c>
      <c r="M63" s="1">
        <v>6304.3850000000002</v>
      </c>
      <c r="N63" s="1">
        <v>6643.9279999999999</v>
      </c>
      <c r="O63" s="1">
        <v>7250.6130000000003</v>
      </c>
      <c r="P63" s="1">
        <v>6703.5829999999996</v>
      </c>
      <c r="Q63" s="1">
        <v>6073.7830000000004</v>
      </c>
      <c r="R63" s="1">
        <v>5812.4859999999999</v>
      </c>
      <c r="S63" s="1">
        <v>6134.4350000000004</v>
      </c>
      <c r="T63" s="1">
        <v>7980.4189999999999</v>
      </c>
      <c r="U63" s="1">
        <v>7617.3860000000004</v>
      </c>
      <c r="V63" s="1">
        <v>8800.4349999999995</v>
      </c>
      <c r="W63" s="1">
        <v>9838.0580000000009</v>
      </c>
      <c r="X63" s="1">
        <v>11410.576999999999</v>
      </c>
      <c r="Y63" s="1">
        <v>11682.379000000001</v>
      </c>
      <c r="Z63" s="1">
        <v>11166.282999999999</v>
      </c>
      <c r="AA63" s="1">
        <v>11322.915999999999</v>
      </c>
      <c r="AB63" s="1">
        <v>11976.587</v>
      </c>
      <c r="AC63" s="1">
        <v>12006.404</v>
      </c>
      <c r="AE63" s="1">
        <v>10969.17</v>
      </c>
    </row>
    <row r="64" spans="1:31">
      <c r="A64" s="23" t="s">
        <v>78</v>
      </c>
      <c r="B64" s="23"/>
      <c r="C64" s="23"/>
      <c r="D64" s="23"/>
      <c r="E64" s="23"/>
      <c r="F64" s="44">
        <v>20180.576000000001</v>
      </c>
      <c r="G64" s="23"/>
      <c r="H64" s="23"/>
      <c r="I64" s="23">
        <v>21896.127</v>
      </c>
      <c r="J64" s="23"/>
      <c r="K64" s="23">
        <v>23600.474999999999</v>
      </c>
      <c r="L64" s="23">
        <v>29587.197</v>
      </c>
      <c r="M64" s="23">
        <v>32258.05</v>
      </c>
      <c r="N64" s="23">
        <v>34044.548999999999</v>
      </c>
      <c r="O64" s="23">
        <v>28277.985000000001</v>
      </c>
      <c r="P64" s="23">
        <v>36324.095000000001</v>
      </c>
      <c r="Q64" s="23">
        <v>38229.038</v>
      </c>
      <c r="R64" s="23">
        <v>43467.550999999999</v>
      </c>
      <c r="S64" s="23">
        <v>41600.750999999997</v>
      </c>
      <c r="T64" s="23">
        <v>43944.930999999997</v>
      </c>
      <c r="U64" s="23">
        <v>39640.565000000002</v>
      </c>
      <c r="V64" s="23">
        <v>56546.906999999999</v>
      </c>
      <c r="W64" s="23">
        <v>68162.516000000003</v>
      </c>
      <c r="X64" s="23">
        <v>71705.478000000003</v>
      </c>
      <c r="Y64" s="23">
        <v>68018.736999999994</v>
      </c>
      <c r="Z64" s="23">
        <v>71857.926999999996</v>
      </c>
      <c r="AA64" s="23">
        <v>70835.985000000001</v>
      </c>
      <c r="AB64" s="23">
        <v>82655.508000000002</v>
      </c>
      <c r="AC64" s="23">
        <v>85303.104999999996</v>
      </c>
      <c r="AD64" s="23"/>
      <c r="AE64" s="23">
        <v>83434.732000000004</v>
      </c>
    </row>
    <row r="65" spans="1:31">
      <c r="A65" s="45" t="s">
        <v>79</v>
      </c>
      <c r="B65" s="45"/>
      <c r="C65" s="45"/>
      <c r="D65" s="45"/>
      <c r="E65" s="45"/>
      <c r="F65" s="46">
        <v>6984.8029999999999</v>
      </c>
      <c r="G65" s="45"/>
      <c r="H65" s="45"/>
      <c r="I65" s="45">
        <v>10109.201999999999</v>
      </c>
      <c r="J65" s="45"/>
      <c r="K65" s="45">
        <v>11342.840199999999</v>
      </c>
      <c r="L65" s="45">
        <v>5068.4250000000002</v>
      </c>
      <c r="M65" s="45">
        <v>4870.0519999999997</v>
      </c>
      <c r="N65" s="45">
        <v>6626.4</v>
      </c>
      <c r="O65" s="45">
        <v>5113.03</v>
      </c>
      <c r="P65" s="45">
        <v>8247.6509999999998</v>
      </c>
      <c r="Q65" s="45">
        <v>2898.8510000000001</v>
      </c>
      <c r="R65" s="45">
        <v>2918.8029999999999</v>
      </c>
      <c r="S65" s="45">
        <v>3717.27</v>
      </c>
      <c r="T65" s="45">
        <v>3375.1889999999999</v>
      </c>
      <c r="U65" s="45">
        <v>3689.317</v>
      </c>
      <c r="V65" s="45">
        <v>4342</v>
      </c>
      <c r="W65" s="45">
        <v>4396.7139999999999</v>
      </c>
      <c r="X65" s="23">
        <v>4559.9790000000003</v>
      </c>
      <c r="Y65" s="23">
        <v>3229.779</v>
      </c>
      <c r="Z65" s="23">
        <v>2758.9059999999999</v>
      </c>
      <c r="AA65" s="23">
        <v>2371.6</v>
      </c>
      <c r="AB65" s="23">
        <v>2605.3000000000002</v>
      </c>
      <c r="AC65" s="23">
        <v>2477.27</v>
      </c>
      <c r="AD65" s="23"/>
      <c r="AE65" s="23">
        <v>2698.509</v>
      </c>
    </row>
    <row r="66" spans="1:31">
      <c r="F66" s="41"/>
    </row>
    <row r="67" spans="1:31">
      <c r="I67" s="19" t="s">
        <v>99</v>
      </c>
      <c r="J67" s="19" t="s">
        <v>100</v>
      </c>
      <c r="K67" s="19"/>
      <c r="L67" s="19" t="s">
        <v>101</v>
      </c>
      <c r="M67" s="19"/>
      <c r="N67" s="19"/>
      <c r="O67" s="19" t="s">
        <v>99</v>
      </c>
      <c r="P67" s="19" t="s">
        <v>99</v>
      </c>
      <c r="Q67" s="19" t="s">
        <v>99</v>
      </c>
      <c r="R67" s="19" t="s">
        <v>99</v>
      </c>
      <c r="S67" s="19"/>
      <c r="T67" s="19"/>
      <c r="U67" s="19"/>
      <c r="V67" s="19"/>
      <c r="W67" s="19"/>
    </row>
    <row r="68" spans="1:31">
      <c r="I68" s="1" t="s">
        <v>102</v>
      </c>
      <c r="J68" s="1" t="s">
        <v>103</v>
      </c>
      <c r="L68" s="1" t="s">
        <v>104</v>
      </c>
      <c r="O68" s="1" t="s">
        <v>102</v>
      </c>
      <c r="P68" s="1" t="s">
        <v>102</v>
      </c>
      <c r="Q68" s="1" t="s">
        <v>102</v>
      </c>
      <c r="R68" s="1" t="s">
        <v>102</v>
      </c>
    </row>
    <row r="69" spans="1:31">
      <c r="I69" s="1" t="s">
        <v>105</v>
      </c>
      <c r="J69" s="1" t="s">
        <v>106</v>
      </c>
      <c r="O69" s="1" t="s">
        <v>105</v>
      </c>
      <c r="P69" s="1" t="s">
        <v>105</v>
      </c>
      <c r="Q69" s="1" t="s">
        <v>105</v>
      </c>
      <c r="R69" s="1" t="s">
        <v>105</v>
      </c>
    </row>
    <row r="70" spans="1:31">
      <c r="J70" s="1" t="s">
        <v>107</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C9207C4D8AB6E4A9864D320D8693611" ma:contentTypeVersion="11" ma:contentTypeDescription="Create a new document." ma:contentTypeScope="" ma:versionID="1ae8a50db7085f5ae1dcf34ff77a61f1">
  <xsd:schema xmlns:xsd="http://www.w3.org/2001/XMLSchema" xmlns:xs="http://www.w3.org/2001/XMLSchema" xmlns:p="http://schemas.microsoft.com/office/2006/metadata/properties" xmlns:ns2="d3553cee-4ecc-4eb5-80d8-f24f98131822" xmlns:ns3="fc2f2499-f938-4cc0-a2cd-f3e7b3a200ae" targetNamespace="http://schemas.microsoft.com/office/2006/metadata/properties" ma:root="true" ma:fieldsID="17b6e3ff09c248479d51477e5c5657c0" ns2:_="" ns3:_="">
    <xsd:import namespace="d3553cee-4ecc-4eb5-80d8-f24f98131822"/>
    <xsd:import namespace="fc2f2499-f938-4cc0-a2cd-f3e7b3a200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53cee-4ecc-4eb5-80d8-f24f98131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f2499-f938-4cc0-a2cd-f3e7b3a200a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04EF59-FAFF-40FF-9CB0-EBE3C6984773}">
  <ds:schemaRefs>
    <ds:schemaRef ds:uri="http://purl.org/dc/elements/1.1/"/>
    <ds:schemaRef ds:uri="http://schemas.openxmlformats.org/package/2006/metadata/core-properties"/>
    <ds:schemaRef ds:uri="http://www.w3.org/XML/1998/namespace"/>
    <ds:schemaRef ds:uri="d3553cee-4ecc-4eb5-80d8-f24f98131822"/>
    <ds:schemaRef ds:uri="http://schemas.microsoft.com/office/2006/documentManagement/types"/>
    <ds:schemaRef ds:uri="http://purl.org/dc/terms/"/>
    <ds:schemaRef ds:uri="fc2f2499-f938-4cc0-a2cd-f3e7b3a200a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F6395105-4932-477D-AA97-2BD1C10E86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553cee-4ecc-4eb5-80d8-f24f98131822"/>
    <ds:schemaRef ds:uri="fc2f2499-f938-4cc0-a2cd-f3e7b3a200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77DF3A-1404-4A2C-BEA8-9B8B4927E7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5</vt:i4>
      </vt:variant>
    </vt:vector>
  </HeadingPairs>
  <TitlesOfParts>
    <vt:vector size="29" baseType="lpstr">
      <vt:lpstr>TABLE 96</vt:lpstr>
      <vt:lpstr>TABLE 97</vt:lpstr>
      <vt:lpstr>T E&amp;G 4YR</vt:lpstr>
      <vt:lpstr>T E&amp;G 2YR</vt:lpstr>
      <vt:lpstr>Instruction-4YR</vt:lpstr>
      <vt:lpstr>INSTRUCTION-2YR</vt:lpstr>
      <vt:lpstr>RESEARCH 4yr</vt:lpstr>
      <vt:lpstr>RESEARCH 2yr</vt:lpstr>
      <vt:lpstr>PUBLIC SERVICE 4yr</vt:lpstr>
      <vt:lpstr>PUBLIC SERVICE 2yr</vt:lpstr>
      <vt:lpstr>ASptISptSSv 4yr</vt:lpstr>
      <vt:lpstr>ASptISptSSv 2yr</vt:lpstr>
      <vt:lpstr>ACADEMIC SUPP 4yr</vt:lpstr>
      <vt:lpstr>ACADEMIC SUPP 2yr</vt:lpstr>
      <vt:lpstr>STU SERVICES 4yr</vt:lpstr>
      <vt:lpstr>STU SERVICES 2yr</vt:lpstr>
      <vt:lpstr>INST SUPPORT 4yr</vt:lpstr>
      <vt:lpstr>INST SUPPORT 2yr</vt:lpstr>
      <vt:lpstr>SCHOLAR FELLOW 4yr</vt:lpstr>
      <vt:lpstr>SCHOLAR FELLOW 2yr</vt:lpstr>
      <vt:lpstr>All Other 4yr</vt:lpstr>
      <vt:lpstr>All Other 2yr</vt:lpstr>
      <vt:lpstr>PLANT OPER MAIN 4yr</vt:lpstr>
      <vt:lpstr>PLANT OPER MAIN 2yr</vt:lpstr>
      <vt:lpstr>DATA</vt:lpstr>
      <vt:lpstr>'TABLE 96'!Print_Area</vt:lpstr>
      <vt:lpstr>'TABLE 97'!Print_Area</vt:lpstr>
      <vt:lpstr>T_80</vt:lpstr>
      <vt:lpstr>T_81</vt:lpstr>
    </vt:vector>
  </TitlesOfParts>
  <Manager/>
  <Company>SREB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jmarks</dc:creator>
  <cp:keywords/>
  <dc:description/>
  <cp:lastModifiedBy>Susan Lounsbury</cp:lastModifiedBy>
  <cp:revision/>
  <dcterms:created xsi:type="dcterms:W3CDTF">1999-02-08T20:50:59Z</dcterms:created>
  <dcterms:modified xsi:type="dcterms:W3CDTF">2021-12-03T08:47:01Z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0x0101008C9207C4D8AB6E4A9864D320D8693611</vt:lpwstr>
  </property>
  <property fmtid="{D5CDD505-2E9C-101B-9397-08002B2CF9AE}" pid="3" name="MSIP_Label_0ac9ed1e-d379-44d2-a256-c06a80f1e3a1_Enabled">
    <vt:lpwstr>true</vt:lpwstr>
  </property>
  <property fmtid="{D5CDD505-2E9C-101B-9397-08002B2CF9AE}" pid="4" name="MSIP_Label_0ac9ed1e-d379-44d2-a256-c06a80f1e3a1_SetDate">
    <vt:lpwstr>2021-06-23T03:39:27Z</vt:lpwstr>
  </property>
  <property fmtid="{D5CDD505-2E9C-101B-9397-08002B2CF9AE}" pid="5" name="MSIP_Label_0ac9ed1e-d379-44d2-a256-c06a80f1e3a1_Method">
    <vt:lpwstr>Privileged</vt:lpwstr>
  </property>
  <property fmtid="{D5CDD505-2E9C-101B-9397-08002B2CF9AE}" pid="6" name="MSIP_Label_0ac9ed1e-d379-44d2-a256-c06a80f1e3a1_Name">
    <vt:lpwstr>0ac9ed1e-d379-44d2-a256-c06a80f1e3a1</vt:lpwstr>
  </property>
  <property fmtid="{D5CDD505-2E9C-101B-9397-08002B2CF9AE}" pid="7" name="MSIP_Label_0ac9ed1e-d379-44d2-a256-c06a80f1e3a1_SiteId">
    <vt:lpwstr>eb20950b-168c-497a-9845-2b099844f3ef</vt:lpwstr>
  </property>
  <property fmtid="{D5CDD505-2E9C-101B-9397-08002B2CF9AE}" pid="8" name="MSIP_Label_0ac9ed1e-d379-44d2-a256-c06a80f1e3a1_ActionId">
    <vt:lpwstr>aeddbb17-a8cd-40ef-96be-d24aaae53838</vt:lpwstr>
  </property>
  <property fmtid="{D5CDD505-2E9C-101B-9397-08002B2CF9AE}" pid="9" name="MSIP_Label_0ac9ed1e-d379-44d2-a256-c06a80f1e3a1_ContentBits">
    <vt:lpwstr>0</vt:lpwstr>
  </property>
</Properties>
</file>