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8640" windowHeight="9480" tabRatio="651" activeTab="3"/>
  </bookViews>
  <sheets>
    <sheet name="E-learning credit hours" sheetId="1" r:id="rId1"/>
    <sheet name="FTE Pivot Table" sheetId="2" r:id="rId2"/>
    <sheet name="Overview tables" sheetId="3" r:id="rId3"/>
    <sheet name="Tables by type" sheetId="4" r:id="rId4"/>
  </sheets>
  <externalReferences>
    <externalReference r:id="rId8"/>
    <externalReference r:id="rId9"/>
    <externalReference r:id="rId10"/>
    <externalReference r:id="rId11"/>
  </externalReferences>
  <definedNames>
    <definedName name="\a">#REF!</definedName>
    <definedName name="\c">#REF!</definedName>
    <definedName name="\s">#REF!</definedName>
    <definedName name="\x">#REF!</definedName>
    <definedName name="\z">#REF!</definedName>
    <definedName name="__123Graph_D" localSheetId="0" hidden="1">'[3]Surveys In'!$AA$10:$AC$10</definedName>
    <definedName name="__123Graph_D" hidden="1">'[1]Surveys In'!$AA$10:$AC$10</definedName>
    <definedName name="__123Graph_LBL_D" localSheetId="0" hidden="1">'[3]Surveys In'!$AA$10:$AC$10</definedName>
    <definedName name="__123Graph_LBL_D" hidden="1">'[1]Surveys In'!$AA$10:$AC$10</definedName>
    <definedName name="__123Graph_X" localSheetId="0" hidden="1">'[3]Surveys In'!$AA$8:$AC$8</definedName>
    <definedName name="__123Graph_X" hidden="1">'[1]Surveys In'!$AA$8:$AC$8</definedName>
    <definedName name="_Order1" hidden="1">255</definedName>
    <definedName name="APPHEAD">#REF!</definedName>
    <definedName name="CHART" localSheetId="0">'[3]Surveys In'!$A$1:$U$38</definedName>
    <definedName name="CHART">'[1]Surveys In'!$A$1:$U$38</definedName>
    <definedName name="CHHEAD">#REF!</definedName>
    <definedName name="MEMO" localSheetId="0">'[3]Surveys In'!$A$1:$U$41</definedName>
    <definedName name="MEMO">'[1]Surveys In'!$A$1:$U$41</definedName>
    <definedName name="N" localSheetId="0">'[3]Surveys In'!$I$38</definedName>
    <definedName name="N">'[1]Surveys In'!$I$38</definedName>
    <definedName name="NEWYEAR">#REF!</definedName>
    <definedName name="PAGE_17">#REF!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16">#REF!</definedName>
    <definedName name="PAGE17">#REF!</definedName>
    <definedName name="PAGE18">#REF!</definedName>
    <definedName name="PAGE19">#REF!</definedName>
    <definedName name="PAGE2">'[2]1. Completions'!#REF!</definedName>
    <definedName name="PAGE20">#REF!</definedName>
    <definedName name="PAGE3">'[2]1. Completions'!#REF!</definedName>
    <definedName name="PAGE4">'[2]1. Completions'!#REF!</definedName>
    <definedName name="PAGE5">'[2]1. Completions'!#REF!</definedName>
    <definedName name="PAGE6">#REF!</definedName>
    <definedName name="PAGE7">#REF!</definedName>
    <definedName name="PAGE8">#REF!</definedName>
    <definedName name="PAGE9">#REF!</definedName>
    <definedName name="PART1">'[2]1. Completions'!#REF!</definedName>
    <definedName name="PART2">#REF!</definedName>
    <definedName name="PART3">#REF!</definedName>
    <definedName name="PART4A">#REF!</definedName>
    <definedName name="PART4B">#REF!</definedName>
    <definedName name="PART5">#REF!</definedName>
    <definedName name="PART6A">#REF!</definedName>
    <definedName name="PART6B">#REF!</definedName>
    <definedName name="PART6C">#REF!</definedName>
    <definedName name="PART7B">#REF!</definedName>
    <definedName name="PART7C">#REF!</definedName>
    <definedName name="PART8">#REF!</definedName>
    <definedName name="_xlnm.Print_Area" localSheetId="0">'E-learning credit hours'!#REF!</definedName>
    <definedName name="_xlnm.Print_Area" localSheetId="1">'FTE Pivot Table'!$A$1:$S$581</definedName>
    <definedName name="_xlnm.Print_Area" localSheetId="2">'Overview tables'!$A$1:$P$117</definedName>
    <definedName name="_xlnm.Print_Area" localSheetId="3">'Tables by type'!$A$1:$P$455</definedName>
    <definedName name="_xlnm.Print_Titles" localSheetId="0">'E-learning credit hours'!$A:$D</definedName>
    <definedName name="_xlnm.Print_Titles" localSheetId="1">'FTE Pivot Table'!$A:$B,'FTE Pivot Table'!$3:$5</definedName>
    <definedName name="R_" localSheetId="0">'[3]Surveys In'!$D$38</definedName>
    <definedName name="R_">'[1]Surveys In'!$D$38</definedName>
    <definedName name="RATIONALE">#REF!</definedName>
    <definedName name="RATIONALE2">#REF!</definedName>
    <definedName name="RNG_DATA_A" localSheetId="0">'[3]Surveys In'!$AA$10:$AC$10</definedName>
    <definedName name="RNG_DATA_A">'[1]Surveys In'!$AA$10:$AC$10</definedName>
    <definedName name="RNG_LABEL_Y" localSheetId="0">'[3]Surveys In'!$V$9</definedName>
    <definedName name="RNG_LABEL_Y">'[1]Surveys In'!$V$9</definedName>
    <definedName name="SALHEAD">#REF!</definedName>
  </definedNames>
  <calcPr fullCalcOnLoad="1"/>
  <pivotCaches>
    <pivotCache cacheId="4" r:id="rId5"/>
  </pivotCaches>
</workbook>
</file>

<file path=xl/comments1.xml><?xml version="1.0" encoding="utf-8"?>
<comments xmlns="http://schemas.openxmlformats.org/spreadsheetml/2006/main">
  <authors>
    <author>jmarks</author>
    <author>mloverde</author>
    <author>jennifer berg</author>
    <author>mbailey</author>
    <author>Gene Fields</author>
    <author>Jeannie Reed</author>
  </authors>
  <commentList>
    <comment ref="M3" authorId="0">
      <text>
        <r>
          <rPr>
            <b/>
            <sz val="8"/>
            <rFont val="Tahoma"/>
            <family val="0"/>
          </rPr>
          <t>jmarks:</t>
        </r>
        <r>
          <rPr>
            <sz val="8"/>
            <rFont val="Tahoma"/>
            <family val="0"/>
          </rPr>
          <t xml:space="preserve">
* Satellite, cable TV, broadcast TV/radio, closed-circuit, video tape, CD ROMS.</t>
        </r>
      </text>
    </comment>
    <comment ref="P3" authorId="0">
      <text>
        <r>
          <rPr>
            <b/>
            <sz val="8"/>
            <rFont val="Tahoma"/>
            <family val="0"/>
          </rPr>
          <t>jmarks:</t>
        </r>
        <r>
          <rPr>
            <sz val="8"/>
            <rFont val="Tahoma"/>
            <family val="0"/>
          </rPr>
          <t xml:space="preserve">
* Satellite, cable TV, broadcast TV/radio, closed-circuit, video tape, CD ROMS.</t>
        </r>
      </text>
    </comment>
    <comment ref="AA3" authorId="0">
      <text>
        <r>
          <rPr>
            <b/>
            <sz val="8"/>
            <rFont val="Tahoma"/>
            <family val="0"/>
          </rPr>
          <t>jmarks:</t>
        </r>
        <r>
          <rPr>
            <sz val="8"/>
            <rFont val="Tahoma"/>
            <family val="0"/>
          </rPr>
          <t xml:space="preserve">
* Satellite, cable TV, broadcast TV/radio, closed-circuit, video tape, CD ROMS.</t>
        </r>
      </text>
    </comment>
    <comment ref="AD3" authorId="0">
      <text>
        <r>
          <rPr>
            <b/>
            <sz val="8"/>
            <rFont val="Tahoma"/>
            <family val="0"/>
          </rPr>
          <t>jmarks:</t>
        </r>
        <r>
          <rPr>
            <sz val="8"/>
            <rFont val="Tahoma"/>
            <family val="0"/>
          </rPr>
          <t xml:space="preserve">
* Satellite, cable TV, broadcast TV/radio, closed-circuit, video tape, CD ROMS.</t>
        </r>
      </text>
    </comment>
    <comment ref="B29" authorId="1">
      <text>
        <r>
          <rPr>
            <b/>
            <sz val="8"/>
            <rFont val="Tahoma"/>
            <family val="0"/>
          </rPr>
          <t>Consolidated with Harry F. Ayers State Technical College to become Gadsden State Community College.</t>
        </r>
      </text>
    </comment>
    <comment ref="B28" authorId="1">
      <text>
        <r>
          <rPr>
            <b/>
            <sz val="8"/>
            <rFont val="Tahoma"/>
            <family val="0"/>
          </rPr>
          <t>name channged from Enterprise State Junior College</t>
        </r>
      </text>
    </comment>
    <comment ref="B39" authorId="1">
      <text>
        <r>
          <rPr>
            <b/>
            <sz val="8"/>
            <rFont val="Tahoma"/>
            <family val="0"/>
          </rPr>
          <t>Consolidated with MacArthur Technical College to become Lurleen B. Wallace Community College.</t>
        </r>
      </text>
    </comment>
    <comment ref="Q48" authorId="1">
      <text>
        <r>
          <rPr>
            <sz val="8"/>
            <rFont val="Tahoma"/>
            <family val="2"/>
          </rPr>
          <t>The University of Arkansas, Fayetteville has formal college-level programs, but have yet to report via the State data system.  We have been encouraging the institutions to report but no results yet.</t>
        </r>
      </text>
    </comment>
    <comment ref="R48" authorId="1">
      <text>
        <r>
          <rPr>
            <sz val="8"/>
            <rFont val="Tahoma"/>
            <family val="2"/>
          </rPr>
          <t>The University of Arkansas, Fayetteville has formal college-level programs, but have yet to report via the State data system.  We have been encouraging the institutions to report but no results yet.</t>
        </r>
      </text>
    </comment>
    <comment ref="Q49" authorId="1">
      <text>
        <r>
          <rPr>
            <sz val="8"/>
            <rFont val="Tahoma"/>
            <family val="2"/>
          </rPr>
          <t>The University of Arkansas, Fayetteville has formal college-level programs, but have yet to report via the State data system.  We have been encouraging the institutions to report but no results yet.</t>
        </r>
      </text>
    </comment>
    <comment ref="R49" authorId="1">
      <text>
        <r>
          <rPr>
            <sz val="8"/>
            <rFont val="Tahoma"/>
            <family val="2"/>
          </rPr>
          <t>The University of Arkansas, Fayetteville has formal college-level programs, but have yet to report via the State data system.  We have been encouraging the institutions to report but no results yet.</t>
        </r>
      </text>
    </comment>
    <comment ref="Q51" authorId="1">
      <text>
        <r>
          <rPr>
            <sz val="8"/>
            <rFont val="Tahoma"/>
            <family val="2"/>
          </rPr>
          <t>The University of Arkansas, Fayetteville has formal college-level programs, but have yet to report via the State data system.  We have been encouraging the institutions to report but no results yet.</t>
        </r>
      </text>
    </comment>
    <comment ref="R51" authorId="1">
      <text>
        <r>
          <rPr>
            <sz val="8"/>
            <rFont val="Tahoma"/>
            <family val="2"/>
          </rPr>
          <t>The University of Arkansas, Fayetteville has formal college-level programs, but have yet to report via the State data system.  We have been encouraging the institutions to report but no results yet.</t>
        </r>
      </text>
    </comment>
    <comment ref="B57" authorId="1">
      <text>
        <r>
          <rPr>
            <b/>
            <sz val="8"/>
            <color indexed="8"/>
            <rFont val="Tahoma"/>
            <family val="2"/>
          </rPr>
          <t>Formerly Westark College. Has been authorized to award bachelor's degrees.</t>
        </r>
        <r>
          <rPr>
            <sz val="8"/>
            <color indexed="8"/>
            <rFont val="Tahoma"/>
            <family val="0"/>
          </rPr>
          <t xml:space="preserve">
</t>
        </r>
      </text>
    </comment>
    <comment ref="G98" authorId="0">
      <text>
        <r>
          <rPr>
            <b/>
            <sz val="8"/>
            <rFont val="Tahoma"/>
            <family val="0"/>
          </rPr>
          <t>jmarks:</t>
        </r>
        <r>
          <rPr>
            <sz val="8"/>
            <rFont val="Tahoma"/>
            <family val="0"/>
          </rPr>
          <t xml:space="preserve">
Note: The FCCS does not have an "On-Campus"/"Off-Campus" breakdown available for this year - it will be available for next years report.</t>
        </r>
      </text>
    </comment>
    <comment ref="B175" authorId="1">
      <text>
        <r>
          <rPr>
            <b/>
            <sz val="8"/>
            <color indexed="8"/>
            <rFont val="Tahoma"/>
            <family val="0"/>
          </rPr>
          <t>met criteria for classification as a SREB Four Year 4 in 02-03</t>
        </r>
      </text>
    </comment>
    <comment ref="B176" authorId="2">
      <text>
        <r>
          <rPr>
            <b/>
            <sz val="8"/>
            <color indexed="8"/>
            <rFont val="Tahoma"/>
            <family val="0"/>
          </rPr>
          <t>Reclassified: met criteria for classification as a SREB- Four Year 4 institution in 00-01, 01-02 and 02-03</t>
        </r>
      </text>
    </comment>
    <comment ref="B184" authorId="1">
      <text>
        <r>
          <rPr>
            <b/>
            <sz val="8"/>
            <color indexed="8"/>
            <rFont val="Tahoma"/>
            <family val="0"/>
          </rPr>
          <t>Reclassified: met criteria for classification as a SREB- Four Year 5 institution in 00-01, 01-02 and 02-03</t>
        </r>
      </text>
    </comment>
    <comment ref="B191" authorId="1">
      <text>
        <r>
          <rPr>
            <b/>
            <sz val="8"/>
            <color indexed="8"/>
            <rFont val="Tahoma"/>
            <family val="0"/>
          </rPr>
          <t>met the criteria for a SREB two-year 2 in 02-03</t>
        </r>
      </text>
    </comment>
    <comment ref="G201" authorId="0">
      <text>
        <r>
          <rPr>
            <b/>
            <sz val="8"/>
            <rFont val="Tahoma"/>
            <family val="0"/>
          </rPr>
          <t>jmarks:</t>
        </r>
        <r>
          <rPr>
            <sz val="8"/>
            <rFont val="Tahoma"/>
            <family val="0"/>
          </rPr>
          <t xml:space="preserve">
The DTAE does not have an "On-Campus"/"Off-Campus" breakdown not available for this year - it may be available in future years. Quarter SCH converted to semester SCH.</t>
        </r>
      </text>
    </comment>
    <comment ref="K201" authorId="0">
      <text>
        <r>
          <rPr>
            <b/>
            <sz val="8"/>
            <rFont val="Tahoma"/>
            <family val="0"/>
          </rPr>
          <t>jmarks:</t>
        </r>
        <r>
          <rPr>
            <sz val="8"/>
            <rFont val="Tahoma"/>
            <family val="0"/>
          </rPr>
          <t xml:space="preserve">
Contains site-to-site e-learning that cannot be separately identified at this time. Quarter SCH converted to semester SCH.</t>
        </r>
      </text>
    </comment>
    <comment ref="B243" authorId="1">
      <text>
        <r>
          <rPr>
            <b/>
            <sz val="8"/>
            <rFont val="Tahoma"/>
            <family val="0"/>
          </rPr>
          <t>Lexington Community College and Central Kentucky Technical College merged to become Bluegrass Community and Technical College</t>
        </r>
      </text>
    </comment>
    <comment ref="B244" authorId="1">
      <text>
        <r>
          <rPr>
            <b/>
            <sz val="8"/>
            <rFont val="Tahoma"/>
            <family val="0"/>
          </rPr>
          <t>Jefferson Community College and Jefferson Technical College merged to become Jefferson Community and Technical College</t>
        </r>
      </text>
    </comment>
    <comment ref="B245" authorId="1">
      <text>
        <r>
          <rPr>
            <b/>
            <sz val="8"/>
            <rFont val="Tahoma"/>
            <family val="0"/>
          </rPr>
          <t>Ashland Community College merged with Ashland Technical College to become Ashland Community and Technical College</t>
        </r>
      </text>
    </comment>
    <comment ref="B246" authorId="1">
      <text>
        <r>
          <rPr>
            <b/>
            <sz val="8"/>
            <rFont val="Tahoma"/>
            <family val="0"/>
          </rPr>
          <t>Big Sandy Community and Technical College merged with Big Sandy Community and Technical College Mayo Campus to become Big Sandy Community and Technical College</t>
        </r>
      </text>
    </comment>
    <comment ref="B247" authorId="1">
      <text>
        <r>
          <rPr>
            <b/>
            <sz val="8"/>
            <rFont val="Tahoma"/>
            <family val="0"/>
          </rPr>
          <t>Elizabethtown Community College and Elizabethtown Technical College merged to become Elizabethtown Community and Technical College</t>
        </r>
      </text>
    </comment>
    <comment ref="B248" authorId="1">
      <text>
        <r>
          <rPr>
            <sz val="8"/>
            <color indexed="8"/>
            <rFont val="Tahoma"/>
            <family val="2"/>
          </rPr>
          <t>Consolidated with Hazard Technical College to become Hazard Community College. Also met criteria for a SREB Two-Year 2 in 01-02 and 02-03.</t>
        </r>
      </text>
    </comment>
    <comment ref="B249" authorId="1">
      <text>
        <r>
          <rPr>
            <sz val="8"/>
            <color indexed="8"/>
            <rFont val="Tahoma"/>
            <family val="2"/>
          </rPr>
          <t>Includes Madisonville health extension; consolidated with Madisonville Technical College to become Madisonville Community College. Also met criteria for a SREB Two-Year 2 in 02-03.</t>
        </r>
      </text>
    </comment>
    <comment ref="B250" authorId="3">
      <text>
        <r>
          <rPr>
            <sz val="8"/>
            <rFont val="Tahoma"/>
            <family val="0"/>
          </rPr>
          <t>Met criteria for a SREB Two-Year 2 (a "9")  in 04-05. Consolidated with Owensboro Technical College and renamed.</t>
        </r>
      </text>
    </comment>
    <comment ref="B251" authorId="1">
      <text>
        <r>
          <rPr>
            <b/>
            <sz val="8"/>
            <rFont val="Tahoma"/>
            <family val="0"/>
          </rPr>
          <t>Somerset Community College and Somerset Technical College merged to become Somerset Community and Technical College</t>
        </r>
      </text>
    </comment>
    <comment ref="B252" authorId="1">
      <text>
        <r>
          <rPr>
            <b/>
            <sz val="8"/>
            <rFont val="Tahoma"/>
            <family val="0"/>
          </rPr>
          <t>formerly Southeast  Community and Technical College</t>
        </r>
      </text>
    </comment>
    <comment ref="B253" authorId="1">
      <text>
        <r>
          <rPr>
            <b/>
            <sz val="8"/>
            <rFont val="Tahoma"/>
            <family val="0"/>
          </rPr>
          <t>Paducah Community College merged with West Kentucky Technical College and Rowan Technical College to become West Kentucky Community and Technical College</t>
        </r>
      </text>
    </comment>
    <comment ref="B256" authorId="1">
      <text>
        <r>
          <rPr>
            <b/>
            <sz val="8"/>
            <rFont val="Tahoma"/>
            <family val="0"/>
          </rPr>
          <t xml:space="preserve">formerly Maysville Community College </t>
        </r>
      </text>
    </comment>
    <comment ref="B257" authorId="2">
      <text>
        <r>
          <rPr>
            <b/>
            <sz val="8"/>
            <color indexed="8"/>
            <rFont val="Tahoma"/>
            <family val="0"/>
          </rPr>
          <t>includes Edgewood and Highland Heights campuses; formerly Northern Kentucky Technical College</t>
        </r>
      </text>
    </comment>
    <comment ref="B258" authorId="2">
      <text>
        <r>
          <rPr>
            <b/>
            <sz val="8"/>
            <color indexed="8"/>
            <rFont val="Tahoma"/>
            <family val="0"/>
          </rPr>
          <t>includes Bowling Green Technical College-Glasgow Campus and Kentucky Advanced Technical Institute (formerly listed as separate institutions)</t>
        </r>
      </text>
    </comment>
    <comment ref="B262" authorId="1">
      <text>
        <r>
          <rPr>
            <b/>
            <sz val="8"/>
            <rFont val="Tahoma"/>
            <family val="0"/>
          </rPr>
          <t>met criteria for classification as a SREB Four-Year 2 institution in 2003-04</t>
        </r>
      </text>
    </comment>
    <comment ref="B266" authorId="1">
      <text>
        <r>
          <rPr>
            <b/>
            <sz val="8"/>
            <color indexed="8"/>
            <rFont val="Tahoma"/>
            <family val="0"/>
          </rPr>
          <t>Reclassified: met criteria for classification as a SREB Four-Year 4 institution in 2001-02, 02-03, and 03-04.</t>
        </r>
        <r>
          <rPr>
            <sz val="8"/>
            <color indexed="8"/>
            <rFont val="Tahoma"/>
            <family val="0"/>
          </rPr>
          <t xml:space="preserve">
</t>
        </r>
      </text>
    </comment>
    <comment ref="B282" authorId="4">
      <text>
        <r>
          <rPr>
            <b/>
            <sz val="8"/>
            <rFont val="Tahoma"/>
            <family val="0"/>
          </rPr>
          <t>Gene Fields:</t>
        </r>
        <r>
          <rPr>
            <sz val="8"/>
            <rFont val="Tahoma"/>
            <family val="0"/>
          </rPr>
          <t xml:space="preserve">
Institution renamed.  No longer part of LTC.</t>
        </r>
      </text>
    </comment>
    <comment ref="B283" authorId="4">
      <text>
        <r>
          <rPr>
            <b/>
            <sz val="8"/>
            <rFont val="Tahoma"/>
            <family val="0"/>
          </rPr>
          <t>Gene Fields:</t>
        </r>
        <r>
          <rPr>
            <sz val="8"/>
            <rFont val="Tahoma"/>
            <family val="0"/>
          </rPr>
          <t xml:space="preserve">
Institution renamed.  No longer part of LTC.</t>
        </r>
      </text>
    </comment>
    <comment ref="B334" authorId="0">
      <text>
        <r>
          <rPr>
            <b/>
            <sz val="8"/>
            <color indexed="8"/>
            <rFont val="Tahoma"/>
            <family val="0"/>
          </rPr>
          <t>jmarks:</t>
        </r>
        <r>
          <rPr>
            <sz val="8"/>
            <color indexed="8"/>
            <rFont val="Tahoma"/>
            <family val="0"/>
          </rPr>
          <t xml:space="preserve">
Met criteria for Four-Year 4 in 2002-03 and 2003-04. Formerly Coppin State College.</t>
        </r>
      </text>
    </comment>
    <comment ref="B337" authorId="2">
      <text>
        <r>
          <rPr>
            <b/>
            <sz val="8"/>
            <color indexed="8"/>
            <rFont val="Tahoma"/>
            <family val="0"/>
          </rPr>
          <t>Catonsville (162098), Dundalk (162399), &amp; Essex (162478)</t>
        </r>
      </text>
    </comment>
    <comment ref="B338" authorId="2">
      <text>
        <r>
          <rPr>
            <b/>
            <sz val="8"/>
            <color indexed="8"/>
            <rFont val="Tahoma"/>
            <family val="0"/>
          </rPr>
          <t>Germantown, Rockville and Takoma Park</t>
        </r>
      </text>
    </comment>
    <comment ref="B461" authorId="2">
      <text>
        <r>
          <rPr>
            <b/>
            <sz val="8"/>
            <color indexed="8"/>
            <rFont val="Tahoma"/>
            <family val="0"/>
          </rPr>
          <t>Reclassified. Has  awarded Bachelor's degrees.</t>
        </r>
      </text>
    </comment>
    <comment ref="C488" authorId="1">
      <text>
        <r>
          <rPr>
            <sz val="9"/>
            <rFont val="Tahoma"/>
            <family val="2"/>
          </rPr>
          <t>Number was incorrect in previous list. This number verified using the HEDirectory.</t>
        </r>
      </text>
    </comment>
    <comment ref="B535" authorId="1">
      <text>
        <r>
          <rPr>
            <b/>
            <sz val="8"/>
            <color indexed="8"/>
            <rFont val="Tahoma"/>
            <family val="0"/>
          </rPr>
          <t>Formerly Lamar University -- Beaumont.</t>
        </r>
      </text>
    </comment>
    <comment ref="B541" authorId="2">
      <text>
        <r>
          <rPr>
            <b/>
            <sz val="8"/>
            <color indexed="8"/>
            <rFont val="Tahoma"/>
            <family val="2"/>
          </rPr>
          <t>Reclassified: met criteria for classification as a SREB Four-Year 3 institution in 2000-01, 2001-02, and 2002-03.</t>
        </r>
      </text>
    </comment>
    <comment ref="B572" authorId="1">
      <text>
        <r>
          <rPr>
            <b/>
            <sz val="8"/>
            <color indexed="8"/>
            <rFont val="Tahoma"/>
            <family val="0"/>
          </rPr>
          <t>Met criteria for classification as a SREB Two-Year 8 in 2002-2003.</t>
        </r>
      </text>
    </comment>
    <comment ref="B588" authorId="1">
      <text>
        <r>
          <rPr>
            <b/>
            <sz val="8"/>
            <color indexed="8"/>
            <rFont val="Tahoma"/>
            <family val="0"/>
          </rPr>
          <t>Met criteria for classification as a SREB Two-Year 9 in 2002-2003.</t>
        </r>
      </text>
    </comment>
    <comment ref="B593" authorId="1">
      <text>
        <r>
          <rPr>
            <b/>
            <sz val="8"/>
            <color indexed="8"/>
            <rFont val="Tahoma"/>
            <family val="0"/>
          </rPr>
          <t>Met criteria for classification as a SREB Two-Year 9 in 2002-2003.</t>
        </r>
      </text>
    </comment>
    <comment ref="B596" authorId="1">
      <text>
        <r>
          <rPr>
            <b/>
            <sz val="8"/>
            <color indexed="8"/>
            <rFont val="Tahoma"/>
            <family val="0"/>
          </rPr>
          <t>Formerly listed as Lamar State College- Port Arthur Campus</t>
        </r>
      </text>
    </comment>
    <comment ref="B612" authorId="1">
      <text>
        <r>
          <rPr>
            <b/>
            <sz val="8"/>
            <color indexed="8"/>
            <rFont val="Tahoma"/>
            <family val="0"/>
          </rPr>
          <t>Met criteria for classification as a SREB Two-Year 2 in 2002-2003. Formerly listed as Vernon Regional Junior College.</t>
        </r>
      </text>
    </comment>
    <comment ref="C619" authorId="0">
      <text>
        <r>
          <rPr>
            <b/>
            <sz val="8"/>
            <color indexed="8"/>
            <rFont val="Tahoma"/>
            <family val="0"/>
          </rPr>
          <t>jmarks:</t>
        </r>
        <r>
          <rPr>
            <sz val="8"/>
            <color indexed="8"/>
            <rFont val="Tahoma"/>
            <family val="0"/>
          </rPr>
          <t xml:space="preserve">
removed duplicate (bad) ID</t>
        </r>
      </text>
    </comment>
    <comment ref="B620" authorId="1">
      <text>
        <r>
          <rPr>
            <b/>
            <sz val="8"/>
            <color indexed="8"/>
            <rFont val="Tahoma"/>
            <family val="0"/>
          </rPr>
          <t>Formerly listed as Lamar State College- Orange Campus</t>
        </r>
      </text>
    </comment>
    <comment ref="B626" authorId="1">
      <text>
        <r>
          <rPr>
            <b/>
            <sz val="8"/>
            <color indexed="8"/>
            <rFont val="Tahoma"/>
            <family val="0"/>
          </rPr>
          <t>Formerly listed as Texas State Technical College-Sweetwater.</t>
        </r>
      </text>
    </comment>
    <comment ref="B679" authorId="5">
      <text>
        <r>
          <rPr>
            <b/>
            <sz val="8"/>
            <rFont val="Tahoma"/>
            <family val="0"/>
          </rPr>
          <t>Jeannie Reed:</t>
        </r>
        <r>
          <rPr>
            <sz val="8"/>
            <rFont val="Tahoma"/>
            <family val="0"/>
          </rPr>
          <t xml:space="preserve">
New</t>
        </r>
      </text>
    </comment>
    <comment ref="B682" authorId="5">
      <text>
        <r>
          <rPr>
            <b/>
            <sz val="8"/>
            <rFont val="Tahoma"/>
            <family val="0"/>
          </rPr>
          <t>Jeannie Reed:</t>
        </r>
        <r>
          <rPr>
            <sz val="8"/>
            <rFont val="Tahoma"/>
            <family val="0"/>
          </rPr>
          <t xml:space="preserve">
New</t>
        </r>
      </text>
    </comment>
    <comment ref="B686" authorId="5">
      <text>
        <r>
          <rPr>
            <b/>
            <sz val="8"/>
            <rFont val="Tahoma"/>
            <family val="0"/>
          </rPr>
          <t>Jeannie Reed:</t>
        </r>
        <r>
          <rPr>
            <sz val="8"/>
            <rFont val="Tahoma"/>
            <family val="0"/>
          </rPr>
          <t xml:space="preserve">
New</t>
        </r>
      </text>
    </comment>
    <comment ref="B242" authorId="0">
      <text>
        <r>
          <rPr>
            <sz val="8"/>
            <color indexed="8"/>
            <rFont val="Tahoma"/>
            <family val="0"/>
          </rPr>
          <t>Reclassified: Met criteria for Four-Year 5 in 2002-03, 2003-04, and 2004-05</t>
        </r>
      </text>
    </comment>
    <comment ref="B192" authorId="1">
      <text>
        <r>
          <rPr>
            <b/>
            <sz val="8"/>
            <rFont val="Tahoma"/>
            <family val="0"/>
          </rPr>
          <t>formerly Gainesville College -- offering limited baccalaureate programs</t>
        </r>
      </text>
    </comment>
    <comment ref="F666" authorId="0">
      <text>
        <r>
          <rPr>
            <b/>
            <sz val="8"/>
            <rFont val="Tahoma"/>
            <family val="0"/>
          </rPr>
          <t>jreed:</t>
        </r>
        <r>
          <rPr>
            <sz val="8"/>
            <rFont val="Tahoma"/>
            <family val="0"/>
          </rPr>
          <t xml:space="preserve">
For all WV institutions, only fall 2004 data has been reported in the 2004-05 columns because that was the first semester 50% was used as the qualifier in our data fields for degree of non-traditional delivery method.  In previous years, it was 80%</t>
        </r>
      </text>
    </comment>
    <comment ref="B13" authorId="0">
      <text>
        <r>
          <rPr>
            <b/>
            <sz val="8"/>
            <rFont val="Tahoma"/>
            <family val="0"/>
          </rPr>
          <t>jmarks:</t>
        </r>
        <r>
          <rPr>
            <sz val="8"/>
            <rFont val="Tahoma"/>
            <family val="0"/>
          </rPr>
          <t xml:space="preserve">
Fall term only! Can this be fixed?</t>
        </r>
      </text>
    </comment>
    <comment ref="A1" authorId="1">
      <text>
        <r>
          <rPr>
            <b/>
            <sz val="11"/>
            <rFont val="Tahoma"/>
            <family val="2"/>
          </rPr>
          <t>As of 03/06 only 6 specialized schools ("15's") are included in this survey and they are Georgia Aviation Technical College, Southern Polytechnic State University, University of Maryland University College, North Carolina School of the Arts, Virginia Military Institute, and the West Virginia School of Osteopathic Medicine.</t>
        </r>
      </text>
    </comment>
  </commentList>
</comments>
</file>

<file path=xl/sharedStrings.xml><?xml version="1.0" encoding="utf-8"?>
<sst xmlns="http://schemas.openxmlformats.org/spreadsheetml/2006/main" count="3118" uniqueCount="1014">
  <si>
    <t xml:space="preserve">Danville Community College </t>
  </si>
  <si>
    <t>Germanna Community College</t>
  </si>
  <si>
    <t>John Tyler Community College</t>
  </si>
  <si>
    <t>Lord Fairfax Community College</t>
  </si>
  <si>
    <t>Mountain Empire Community College</t>
  </si>
  <si>
    <t xml:space="preserve">New River Community College </t>
  </si>
  <si>
    <t xml:space="preserve">Piedmont Virginia Community College </t>
  </si>
  <si>
    <t>Southside Virginia Community College</t>
  </si>
  <si>
    <t xml:space="preserve">Southwest Virginia Community College </t>
  </si>
  <si>
    <t xml:space="preserve">Thomas Nelson Community College </t>
  </si>
  <si>
    <t xml:space="preserve">Virginia Western Community College </t>
  </si>
  <si>
    <t xml:space="preserve">D.S. Lancaster Community College </t>
  </si>
  <si>
    <t>Eastern Shore Community College</t>
  </si>
  <si>
    <t xml:space="preserve">Patrick Henry Community College </t>
  </si>
  <si>
    <t>Paul D. Camp Community College</t>
  </si>
  <si>
    <t>Rappahannock Community College</t>
  </si>
  <si>
    <t xml:space="preserve">Richard Bland College </t>
  </si>
  <si>
    <t xml:space="preserve">Virginia Highlands Community College </t>
  </si>
  <si>
    <t xml:space="preserve">Wytheville Community College </t>
  </si>
  <si>
    <t xml:space="preserve">Benjamin Franklin Vocational Center </t>
  </si>
  <si>
    <t xml:space="preserve">Boone County Career &amp; Technical Center </t>
  </si>
  <si>
    <t>Cabell County Vocational-Technical Center</t>
  </si>
  <si>
    <t xml:space="preserve">Carver Vocational Center </t>
  </si>
  <si>
    <t xml:space="preserve">Fred W. Eberle Technical Center </t>
  </si>
  <si>
    <t>James Rumsey Technical Institute</t>
  </si>
  <si>
    <t>Marion County Vocational-Technical Center</t>
  </si>
  <si>
    <t xml:space="preserve">McDowell County Vocational-Technical Center </t>
  </si>
  <si>
    <t>Mercer County Vocational-Technical Center</t>
  </si>
  <si>
    <t xml:space="preserve">Mineral County Vocational-Technical Center </t>
  </si>
  <si>
    <t xml:space="preserve">Monongalia County Technical Education Center </t>
  </si>
  <si>
    <t>Putnam County Vocational-Technical Center</t>
  </si>
  <si>
    <t>Raleigh County Academy of Careers and Technology</t>
  </si>
  <si>
    <t>Ralph R. Willis Vocational-Technical Center</t>
  </si>
  <si>
    <t>Roane-Jackson Technical Center</t>
  </si>
  <si>
    <t>Wood County Vocational-Technical Center</t>
  </si>
  <si>
    <t xml:space="preserve">Garnet Vocational Center </t>
  </si>
  <si>
    <t>137120</t>
  </si>
  <si>
    <t>Sheridan Technical Center</t>
  </si>
  <si>
    <t>137245</t>
  </si>
  <si>
    <t xml:space="preserve">South Dade Skill Center                      </t>
  </si>
  <si>
    <t>South Technical Education Center</t>
  </si>
  <si>
    <t>137360</t>
  </si>
  <si>
    <t>St. Augustine Technical Center</t>
  </si>
  <si>
    <t>137023</t>
  </si>
  <si>
    <t>Suwanee-Hamilton Area Vocational and Adult Center</t>
  </si>
  <si>
    <t>137713</t>
  </si>
  <si>
    <t>Tampa Bay Area Vocational-Technical Center</t>
  </si>
  <si>
    <t>367875</t>
  </si>
  <si>
    <t>Taylor County Area Vocational-Technical Center</t>
  </si>
  <si>
    <t>137856</t>
  </si>
  <si>
    <t>Thomas P. Haney Area Vocational-Technical Center</t>
  </si>
  <si>
    <t>137865</t>
  </si>
  <si>
    <t>Percent of Undergraduate Instructional Activity in Traditional Classroom Instruction by Type of Institution, 2004-05</t>
  </si>
  <si>
    <t>Percent of Undergraduate Instructional Activity in e-Learning by Type of Institution, 2004-05</t>
  </si>
  <si>
    <t>Old</t>
  </si>
  <si>
    <t>change</t>
  </si>
  <si>
    <t>4-yr</t>
  </si>
  <si>
    <t>2-yr</t>
  </si>
  <si>
    <t>tech</t>
  </si>
  <si>
    <t>*The "all four-year" figure includes University of Maryland University College and do not include University of Maryland College Park.</t>
  </si>
  <si>
    <t>December 2006</t>
  </si>
  <si>
    <t>Washington-Holmes Area Vocational-Technical Center</t>
  </si>
  <si>
    <t>138284</t>
  </si>
  <si>
    <t>West Technical Education Center</t>
  </si>
  <si>
    <t>138363</t>
  </si>
  <si>
    <t>Westside Tech</t>
  </si>
  <si>
    <t>William T. McFatter Vocational-Technical Center</t>
  </si>
  <si>
    <t>138479</t>
  </si>
  <si>
    <t>Winter Park Tech</t>
  </si>
  <si>
    <t>Withlachoochee Vocational and Adult Education Center</t>
  </si>
  <si>
    <t>138497</t>
  </si>
  <si>
    <t>Web</t>
  </si>
  <si>
    <t>Other*</t>
  </si>
  <si>
    <t xml:space="preserve"> </t>
  </si>
  <si>
    <t>State</t>
  </si>
  <si>
    <t>Institution</t>
  </si>
  <si>
    <t>IPEDS ID</t>
  </si>
  <si>
    <t>WV</t>
  </si>
  <si>
    <t>West Virginia University</t>
  </si>
  <si>
    <t xml:space="preserve">Marshall University </t>
  </si>
  <si>
    <t xml:space="preserve">Bluefield State College </t>
  </si>
  <si>
    <t xml:space="preserve">Glenville State College </t>
  </si>
  <si>
    <t xml:space="preserve">West Liberty State College </t>
  </si>
  <si>
    <t>MS</t>
  </si>
  <si>
    <t>Mississippi State University</t>
  </si>
  <si>
    <t>University of Mississippi</t>
  </si>
  <si>
    <t>University of Southern Mississippi</t>
  </si>
  <si>
    <t xml:space="preserve">Jackson State University </t>
  </si>
  <si>
    <t>Alcorn State University</t>
  </si>
  <si>
    <t>Delta State University</t>
  </si>
  <si>
    <t>Mississippi University for Women</t>
  </si>
  <si>
    <t>Mississippi Valley State University</t>
  </si>
  <si>
    <t>Wilson Technical Community College</t>
  </si>
  <si>
    <t>NC</t>
  </si>
  <si>
    <t xml:space="preserve">Wilkes Community College </t>
  </si>
  <si>
    <t xml:space="preserve">Western Piedmont Community College </t>
  </si>
  <si>
    <t>Wayne Community College</t>
  </si>
  <si>
    <t>Wake Technical Community College</t>
  </si>
  <si>
    <t xml:space="preserve">Vance-Granville Community College </t>
  </si>
  <si>
    <t xml:space="preserve">Tri-County Community College </t>
  </si>
  <si>
    <t xml:space="preserve">Surry Community College </t>
  </si>
  <si>
    <t>Stanly Community College</t>
  </si>
  <si>
    <t xml:space="preserve">Southwestern Community College </t>
  </si>
  <si>
    <t xml:space="preserve">Southeastern Community College </t>
  </si>
  <si>
    <t>South Piedmont Community College</t>
  </si>
  <si>
    <t xml:space="preserve">Sandhills Community College </t>
  </si>
  <si>
    <t>Sampson Community College</t>
  </si>
  <si>
    <t>Rowan-Cabarrus Community College</t>
  </si>
  <si>
    <t xml:space="preserve">Rockingham Community College </t>
  </si>
  <si>
    <t>Robeson Community College</t>
  </si>
  <si>
    <t>Roanoke-Chowan Community College</t>
  </si>
  <si>
    <t>Richmond Community College</t>
  </si>
  <si>
    <t>Randolph Community College</t>
  </si>
  <si>
    <t>Pitt Community College</t>
  </si>
  <si>
    <t>Piedmont Community College</t>
  </si>
  <si>
    <t>Pamlico Community College</t>
  </si>
  <si>
    <t>Nash Community College</t>
  </si>
  <si>
    <t>Montgomery Community College</t>
  </si>
  <si>
    <t xml:space="preserve">Mitchell Community College </t>
  </si>
  <si>
    <t>McDowell Technical Community College</t>
  </si>
  <si>
    <t>Mayland Community College</t>
  </si>
  <si>
    <t xml:space="preserve">Martin Community College </t>
  </si>
  <si>
    <t xml:space="preserve">Lenoir Community College </t>
  </si>
  <si>
    <t>Johnston Community College</t>
  </si>
  <si>
    <t>James Sprunt Community College</t>
  </si>
  <si>
    <t xml:space="preserve">Isothermal Community College </t>
  </si>
  <si>
    <t>Haywood Community College</t>
  </si>
  <si>
    <t xml:space="preserve">Halifax Community College </t>
  </si>
  <si>
    <t>Guilford Technical Community College</t>
  </si>
  <si>
    <t xml:space="preserve">Gaston College </t>
  </si>
  <si>
    <t>Forsyth Technical Community College</t>
  </si>
  <si>
    <t>Fayetteville Technical Community College</t>
  </si>
  <si>
    <t>Edgecombe Community College</t>
  </si>
  <si>
    <t>Durham Technical Community College</t>
  </si>
  <si>
    <t xml:space="preserve">Davidson County Community College </t>
  </si>
  <si>
    <t xml:space="preserve">Craven Community College </t>
  </si>
  <si>
    <t>College of the Albemarle</t>
  </si>
  <si>
    <t xml:space="preserve">Coastal Carolina Community College </t>
  </si>
  <si>
    <t>Cleveland Community College</t>
  </si>
  <si>
    <t xml:space="preserve">Central Piedmont Community College </t>
  </si>
  <si>
    <t>Central Carolina Commuity College</t>
  </si>
  <si>
    <t>Catawba Valley Community College</t>
  </si>
  <si>
    <t>Carteret Community College</t>
  </si>
  <si>
    <t>Cape Fear Community College</t>
  </si>
  <si>
    <t>Brunswick Community College</t>
  </si>
  <si>
    <t>Blue Ridge Community College</t>
  </si>
  <si>
    <t>Bladen Community College</t>
  </si>
  <si>
    <t xml:space="preserve">Beaufort County Community College </t>
  </si>
  <si>
    <t>Asheville-Buncombe Technical Community College</t>
  </si>
  <si>
    <t>Alamance Community College</t>
  </si>
  <si>
    <t xml:space="preserve">Western Oklahoma State College </t>
  </si>
  <si>
    <t>OK</t>
  </si>
  <si>
    <t>207740</t>
  </si>
  <si>
    <t xml:space="preserve">Seminole State College </t>
  </si>
  <si>
    <t>207661</t>
  </si>
  <si>
    <t>Rogers State University</t>
  </si>
  <si>
    <t>207069</t>
  </si>
  <si>
    <t>Redlands Community College</t>
  </si>
  <si>
    <t>207290</t>
  </si>
  <si>
    <t xml:space="preserve">Northeastern Oklahoma A &amp; M College </t>
  </si>
  <si>
    <t>207236</t>
  </si>
  <si>
    <t xml:space="preserve">Murray State College </t>
  </si>
  <si>
    <t>207050</t>
  </si>
  <si>
    <t xml:space="preserve">Eastern Oklahoma State College </t>
  </si>
  <si>
    <t>206996</t>
  </si>
  <si>
    <t xml:space="preserve">Connors State College </t>
  </si>
  <si>
    <t>206923</t>
  </si>
  <si>
    <t>Carl Albert State College</t>
  </si>
  <si>
    <t>207670</t>
  </si>
  <si>
    <t xml:space="preserve">Rose State College </t>
  </si>
  <si>
    <t>207564</t>
  </si>
  <si>
    <t xml:space="preserve">Oklahoma State University Technical Branch-Okmulgee </t>
  </si>
  <si>
    <t>207397</t>
  </si>
  <si>
    <t>207281</t>
  </si>
  <si>
    <t xml:space="preserve">Northern Oklahoma College </t>
  </si>
  <si>
    <t>207935</t>
  </si>
  <si>
    <t xml:space="preserve">Tulsa Community College </t>
  </si>
  <si>
    <t>207449</t>
  </si>
  <si>
    <t xml:space="preserve">Oklahoma City Community College </t>
  </si>
  <si>
    <t>207722</t>
  </si>
  <si>
    <t>University of Science and Arts of Oklahoma</t>
  </si>
  <si>
    <t>207351</t>
  </si>
  <si>
    <t xml:space="preserve">Oklahoma Panhandle State University </t>
  </si>
  <si>
    <t>207209</t>
  </si>
  <si>
    <t>Langston University</t>
  </si>
  <si>
    <t>207865</t>
  </si>
  <si>
    <t>Southwestern Oklahoma State University</t>
  </si>
  <si>
    <t>207847</t>
  </si>
  <si>
    <t xml:space="preserve">Southeastern Oklahoma State University </t>
  </si>
  <si>
    <t>207306</t>
  </si>
  <si>
    <t xml:space="preserve">Northwestern Oklahoma State University </t>
  </si>
  <si>
    <t>207041</t>
  </si>
  <si>
    <t xml:space="preserve">East Central University </t>
  </si>
  <si>
    <t>206914</t>
  </si>
  <si>
    <t xml:space="preserve">Cameron University </t>
  </si>
  <si>
    <t>207263</t>
  </si>
  <si>
    <t>Northeastern State University</t>
  </si>
  <si>
    <t>206941</t>
  </si>
  <si>
    <t>University of Central Oklahoma</t>
  </si>
  <si>
    <t>207500</t>
  </si>
  <si>
    <t>University of Oklahoma Norman Campus</t>
  </si>
  <si>
    <t>Oklahoma State University Main Campus</t>
  </si>
  <si>
    <t>ID</t>
  </si>
  <si>
    <t>Type</t>
  </si>
  <si>
    <t>Data</t>
  </si>
  <si>
    <t>Four-Year</t>
  </si>
  <si>
    <t>Mississippi</t>
  </si>
  <si>
    <t>Oklahoma</t>
  </si>
  <si>
    <t>West Virginia</t>
  </si>
  <si>
    <t>Type2</t>
  </si>
  <si>
    <t>Two-Year</t>
  </si>
  <si>
    <t>Traditional</t>
  </si>
  <si>
    <t>2-Way Compressed Video</t>
  </si>
  <si>
    <t>check figs</t>
  </si>
  <si>
    <t>North Carolina</t>
  </si>
  <si>
    <t>TX</t>
  </si>
  <si>
    <t xml:space="preserve">Texas A &amp; M University </t>
  </si>
  <si>
    <t xml:space="preserve">Texas Tech University </t>
  </si>
  <si>
    <t>University of Houston</t>
  </si>
  <si>
    <t>University of North Texas</t>
  </si>
  <si>
    <t>University of Texas at Austin</t>
  </si>
  <si>
    <t>Texas Woman's University</t>
  </si>
  <si>
    <t>University of Texas at Arlington</t>
  </si>
  <si>
    <t>University of Texas at Dallas</t>
  </si>
  <si>
    <t>Angelo State University</t>
  </si>
  <si>
    <t>Lamar University</t>
  </si>
  <si>
    <t>Midwestern State University</t>
  </si>
  <si>
    <t>Prairie View A &amp; M University</t>
  </si>
  <si>
    <t xml:space="preserve">Sam Houston State University </t>
  </si>
  <si>
    <t>Stephen F. Austin State University</t>
  </si>
  <si>
    <t xml:space="preserve">Sul Ross State University </t>
  </si>
  <si>
    <t>Tarleton State University</t>
  </si>
  <si>
    <t xml:space="preserve">Texas A &amp; M University-Corpus Christi </t>
  </si>
  <si>
    <t>Texas A &amp; M University-Kingsville</t>
  </si>
  <si>
    <t xml:space="preserve">Texas Southern University </t>
  </si>
  <si>
    <t xml:space="preserve">University of Houston-Clear Lake </t>
  </si>
  <si>
    <t>University of Texas at El Paso</t>
  </si>
  <si>
    <t>University of Texas at San Antonio</t>
  </si>
  <si>
    <t>University of Texas at Tyler</t>
  </si>
  <si>
    <t>University of Texas-Pan American</t>
  </si>
  <si>
    <t>West Texas A &amp; M University</t>
  </si>
  <si>
    <t>Texas A &amp; M International University</t>
  </si>
  <si>
    <t>Texas A &amp; M -Texarkana</t>
  </si>
  <si>
    <t>University of Texas at Brownsville</t>
  </si>
  <si>
    <t>University of Texas of the Permian Basin</t>
  </si>
  <si>
    <t>Sul Ross State University-Rio Grande College</t>
  </si>
  <si>
    <t>University of Houston-Victoria</t>
  </si>
  <si>
    <t>Texas A &amp; M University at Galveston</t>
  </si>
  <si>
    <t>University of Houston-Downtown</t>
  </si>
  <si>
    <t xml:space="preserve">Amarillo College </t>
  </si>
  <si>
    <t xml:space="preserve">Austin Community College </t>
  </si>
  <si>
    <t xml:space="preserve">Blinn College </t>
  </si>
  <si>
    <t>Brookhaven College (DCCCD)</t>
  </si>
  <si>
    <t xml:space="preserve">Central Texas College </t>
  </si>
  <si>
    <t>Collin County Community College District</t>
  </si>
  <si>
    <t xml:space="preserve">Del Mar College </t>
  </si>
  <si>
    <t>Eastfield College (DCCCD)</t>
  </si>
  <si>
    <t>El Paso County Community College District</t>
  </si>
  <si>
    <t>Houston Community College</t>
  </si>
  <si>
    <t xml:space="preserve">Laredo Community College </t>
  </si>
  <si>
    <t>North Harris Montgomery Community College District</t>
  </si>
  <si>
    <t>North Lake College (DCCCD)</t>
  </si>
  <si>
    <t>Richland College (DCCCD)</t>
  </si>
  <si>
    <t>San Antonio College (ACCD)</t>
  </si>
  <si>
    <t xml:space="preserve">South Plains College </t>
  </si>
  <si>
    <t>St. Philip's College (ACCD)</t>
  </si>
  <si>
    <t xml:space="preserve">Texas Southmost College </t>
  </si>
  <si>
    <t xml:space="preserve">Tyler Junior College </t>
  </si>
  <si>
    <t xml:space="preserve">Alvin Community College </t>
  </si>
  <si>
    <t xml:space="preserve">Angelina College </t>
  </si>
  <si>
    <t xml:space="preserve">Brazosport College </t>
  </si>
  <si>
    <t>Cedar Valley College (DCCCD)</t>
  </si>
  <si>
    <t>Coastal Bend College</t>
  </si>
  <si>
    <t>College of the Mainland</t>
  </si>
  <si>
    <t>El Centro College (DCCCD)</t>
  </si>
  <si>
    <t xml:space="preserve">Grayson County College </t>
  </si>
  <si>
    <t>Howard College (HCJCD)</t>
  </si>
  <si>
    <t xml:space="preserve">Kilgore College </t>
  </si>
  <si>
    <t>Lamar State College-Port Arthur</t>
  </si>
  <si>
    <t xml:space="preserve">Lee College </t>
  </si>
  <si>
    <t xml:space="preserve">McLennan Community College </t>
  </si>
  <si>
    <t xml:space="preserve">Midland College </t>
  </si>
  <si>
    <t>Mountain View College (DCCCD)</t>
  </si>
  <si>
    <t xml:space="preserve">Navarro College </t>
  </si>
  <si>
    <t>North Central Texas Community College</t>
  </si>
  <si>
    <t>Northwest Vista College (ACCD)</t>
  </si>
  <si>
    <t xml:space="preserve">Odessa College </t>
  </si>
  <si>
    <t>Palo Alto College (ACCD)</t>
  </si>
  <si>
    <t>Paris Junior College</t>
  </si>
  <si>
    <t xml:space="preserve">Southwest Texas Junior College </t>
  </si>
  <si>
    <t xml:space="preserve">Temple College </t>
  </si>
  <si>
    <t xml:space="preserve">Texarkana College </t>
  </si>
  <si>
    <t xml:space="preserve">Texas State Technical College-Harlingen </t>
  </si>
  <si>
    <t>Texas State Technical College-Waco</t>
  </si>
  <si>
    <t>Trinity Valley Community College</t>
  </si>
  <si>
    <t xml:space="preserve">Victoria College </t>
  </si>
  <si>
    <t xml:space="preserve">Weatherford College </t>
  </si>
  <si>
    <t xml:space="preserve">Wharton County Junior College </t>
  </si>
  <si>
    <t xml:space="preserve">Cisco Junior College </t>
  </si>
  <si>
    <t xml:space="preserve">Clarendon College </t>
  </si>
  <si>
    <t xml:space="preserve">Frank Phillips College </t>
  </si>
  <si>
    <t xml:space="preserve">Galveston College </t>
  </si>
  <si>
    <t>Hill College</t>
  </si>
  <si>
    <t>Lamar Institute of Technology</t>
  </si>
  <si>
    <t>Lamar State College-Orange</t>
  </si>
  <si>
    <t xml:space="preserve">Northeast Texas Community College </t>
  </si>
  <si>
    <t>Panola College</t>
  </si>
  <si>
    <t xml:space="preserve">Ranger College </t>
  </si>
  <si>
    <t>Southwest Collegiate Institute for the Deaf (HCJCD)</t>
  </si>
  <si>
    <t>Texas State Technical College-Marshall</t>
  </si>
  <si>
    <t>Texas State Technical College-West Texas</t>
  </si>
  <si>
    <t xml:space="preserve">Vernon College </t>
  </si>
  <si>
    <t xml:space="preserve">Western Texas College </t>
  </si>
  <si>
    <t>Texas</t>
  </si>
  <si>
    <t>with bachs.</t>
  </si>
  <si>
    <t>Percent of Total</t>
  </si>
  <si>
    <t>AL</t>
  </si>
  <si>
    <t>AR</t>
  </si>
  <si>
    <t>nr</t>
  </si>
  <si>
    <t>Arkansas State University</t>
  </si>
  <si>
    <t>University of Arkansas at Little Rock</t>
  </si>
  <si>
    <t xml:space="preserve">University of Central Arkansas </t>
  </si>
  <si>
    <t xml:space="preserve">Arkansas Tech University </t>
  </si>
  <si>
    <t xml:space="preserve">Henderson State University </t>
  </si>
  <si>
    <t>Southern Arkansas University</t>
  </si>
  <si>
    <t>University of Arkansas at Monticello</t>
  </si>
  <si>
    <t>University of Arkansas at Pine Bluff</t>
  </si>
  <si>
    <t>Arkansas State University-Beebe</t>
  </si>
  <si>
    <t xml:space="preserve">Northwest Arkansas Community College </t>
  </si>
  <si>
    <t>Pulaski Technical College</t>
  </si>
  <si>
    <t>University of Arkansas--Fort Smith</t>
  </si>
  <si>
    <t>Arkansas Northeastern College</t>
  </si>
  <si>
    <t>Arkansas State University Mountain Home</t>
  </si>
  <si>
    <t>Arkansas State University-Newport</t>
  </si>
  <si>
    <t>Black River Technical College</t>
  </si>
  <si>
    <t>Cossatot Community College of the University of Arkansas</t>
  </si>
  <si>
    <t xml:space="preserve">East Arkansas Community College </t>
  </si>
  <si>
    <t xml:space="preserve">Mid-South Community College </t>
  </si>
  <si>
    <t>National Park Community College</t>
  </si>
  <si>
    <t>North Arkansas College</t>
  </si>
  <si>
    <t xml:space="preserve">Ouachita Technical College </t>
  </si>
  <si>
    <t xml:space="preserve">Ozarka College </t>
  </si>
  <si>
    <t>Phillips Community College of the Univ of Arkansas</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</si>
  <si>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</si>
  <si>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</si>
  <si>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</si>
  <si>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</si>
  <si>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</si>
  <si>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</si>
  <si>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University of Arkansas Community College at Morrilton</t>
  </si>
  <si>
    <t>DE</t>
  </si>
  <si>
    <t>FL</t>
  </si>
  <si>
    <t xml:space="preserve">Florida State University </t>
  </si>
  <si>
    <t>University of Florida</t>
  </si>
  <si>
    <t xml:space="preserve">University of South Florida </t>
  </si>
  <si>
    <t xml:space="preserve">Florida Atlantic University </t>
  </si>
  <si>
    <t>Florida International University</t>
  </si>
  <si>
    <t xml:space="preserve">University of Central Florida </t>
  </si>
  <si>
    <t xml:space="preserve">Florida Agricultural &amp; Mechanical University </t>
  </si>
  <si>
    <t>University of North Florida</t>
  </si>
  <si>
    <t>University of West Florida</t>
  </si>
  <si>
    <t>Florida Gulf Coast University</t>
  </si>
  <si>
    <t>New College of Florida</t>
  </si>
  <si>
    <t xml:space="preserve">Brevard Community College </t>
  </si>
  <si>
    <t xml:space="preserve">Broward Community College </t>
  </si>
  <si>
    <t xml:space="preserve">Daytona Beach Community College </t>
  </si>
  <si>
    <t xml:space="preserve">Edison Community College </t>
  </si>
  <si>
    <t>Florida Community College at Jacksonville</t>
  </si>
  <si>
    <t xml:space="preserve">Hillsborough Community College </t>
  </si>
  <si>
    <t xml:space="preserve">Indian River Community College </t>
  </si>
  <si>
    <t xml:space="preserve">Manatee Community College </t>
  </si>
  <si>
    <t xml:space="preserve">Miami-Dade College </t>
  </si>
  <si>
    <t xml:space="preserve">Palm Beach Community College </t>
  </si>
  <si>
    <t xml:space="preserve">Pensacola Junior College </t>
  </si>
  <si>
    <t xml:space="preserve">Santa Fe Community College </t>
  </si>
  <si>
    <t xml:space="preserve">Seminole Community College </t>
  </si>
  <si>
    <t xml:space="preserve">St. Petersburg College </t>
  </si>
  <si>
    <t xml:space="preserve">Tallahassee Community College </t>
  </si>
  <si>
    <t xml:space="preserve">Valencia Community College </t>
  </si>
  <si>
    <t xml:space="preserve">Central Florida Community College </t>
  </si>
  <si>
    <t xml:space="preserve">Gulf Coast Community College </t>
  </si>
  <si>
    <t xml:space="preserve">Okaloosa-Walton College </t>
  </si>
  <si>
    <t xml:space="preserve">Pasco-Hernando Community College </t>
  </si>
  <si>
    <t xml:space="preserve">Polk Community College </t>
  </si>
  <si>
    <t xml:space="preserve">South Florida Community College </t>
  </si>
  <si>
    <t xml:space="preserve">St. Johns River Community College </t>
  </si>
  <si>
    <t xml:space="preserve">Chipola College </t>
  </si>
  <si>
    <t xml:space="preserve">Florida Keys Community College </t>
  </si>
  <si>
    <t xml:space="preserve">Lake City Community College </t>
  </si>
  <si>
    <t xml:space="preserve">Lake-Sumter Community College </t>
  </si>
  <si>
    <t xml:space="preserve">North Florida Community College </t>
  </si>
  <si>
    <t>GA</t>
  </si>
  <si>
    <t xml:space="preserve">Georgia State University </t>
  </si>
  <si>
    <t>University of Georgia</t>
  </si>
  <si>
    <t>Georgia Institute of Technology</t>
  </si>
  <si>
    <t>Georgia Southern University</t>
  </si>
  <si>
    <t xml:space="preserve">Albany State University </t>
  </si>
  <si>
    <t>Columbus State University</t>
  </si>
  <si>
    <t>Georgia College and State University</t>
  </si>
  <si>
    <t>Kennesaw State University</t>
  </si>
  <si>
    <t xml:space="preserve">Valdosta State University </t>
  </si>
  <si>
    <t>Armstrong Atlantic State University</t>
  </si>
  <si>
    <t>Augusta State University</t>
  </si>
  <si>
    <t>Fort Valley State University</t>
  </si>
  <si>
    <t>Georgia Southwestern State University</t>
  </si>
  <si>
    <t>North Georgia College and State University</t>
  </si>
  <si>
    <t>Savannah State University</t>
  </si>
  <si>
    <t>Clayton College and State University</t>
  </si>
  <si>
    <t xml:space="preserve">Dalton State College </t>
  </si>
  <si>
    <t xml:space="preserve">Macon State College </t>
  </si>
  <si>
    <t xml:space="preserve">Georgia Perimeter College </t>
  </si>
  <si>
    <t xml:space="preserve">Abraham Baldwin Agricultural College </t>
  </si>
  <si>
    <t xml:space="preserve">Darton College </t>
  </si>
  <si>
    <t xml:space="preserve">Gordon College </t>
  </si>
  <si>
    <t>Atlanta Metropolitan College</t>
  </si>
  <si>
    <t xml:space="preserve">Bainbridge College </t>
  </si>
  <si>
    <t>Coastal Georgia College</t>
  </si>
  <si>
    <t>East Georgia College</t>
  </si>
  <si>
    <t xml:space="preserve">Floyd College </t>
  </si>
  <si>
    <t xml:space="preserve">Middle Georgia College </t>
  </si>
  <si>
    <t xml:space="preserve">South Georgia College </t>
  </si>
  <si>
    <t xml:space="preserve">Waycross College </t>
  </si>
  <si>
    <t>Albany Technical College</t>
  </si>
  <si>
    <t>Altamaha Technical College</t>
  </si>
  <si>
    <t>Athens Technical College</t>
  </si>
  <si>
    <t>Atlanta Technical College</t>
  </si>
  <si>
    <t>Augusta Technical College</t>
  </si>
  <si>
    <t>Central Georgia Technical College</t>
  </si>
  <si>
    <t>Chattahoochee Technical College</t>
  </si>
  <si>
    <t>Columbus Technical College</t>
  </si>
  <si>
    <t>Coosa Valley Technical College</t>
  </si>
  <si>
    <t>DeKalb Technical College</t>
  </si>
  <si>
    <t>East Central Technical College</t>
  </si>
  <si>
    <t>Flint River Technical College</t>
  </si>
  <si>
    <t>Griffin Technical College</t>
  </si>
  <si>
    <t>Gwinnett Technical College</t>
  </si>
  <si>
    <t>Heart of Georgia Technical College</t>
  </si>
  <si>
    <t>Lanier Technical College</t>
  </si>
  <si>
    <t>Middle Georgia Technical College</t>
  </si>
  <si>
    <t>December 2005</t>
  </si>
  <si>
    <r>
      <t>2</t>
    </r>
    <r>
      <rPr>
        <sz val="8"/>
        <rFont val="Arial"/>
        <family val="2"/>
      </rPr>
      <t>This "all four-year" table includes the University of Maryland University College and does not include University of Maryland College Park.</t>
    </r>
  </si>
  <si>
    <t>Moultrie Technical College</t>
  </si>
  <si>
    <t>North Georgia Technical College</t>
  </si>
  <si>
    <t>North Metro Technical College</t>
  </si>
  <si>
    <t>Northwestern Technical College</t>
  </si>
  <si>
    <t>Ogeechee Technical College</t>
  </si>
  <si>
    <t>Okefenokee Technical College</t>
  </si>
  <si>
    <t>Savannah Technical College</t>
  </si>
  <si>
    <t>South Georgia Technical College</t>
  </si>
  <si>
    <t>Southeastern Technical College</t>
  </si>
  <si>
    <t>Southwest Georgia Technical College</t>
  </si>
  <si>
    <t>Valdosta Technical College</t>
  </si>
  <si>
    <t>West Central Technical College</t>
  </si>
  <si>
    <t>West Georgia Technical College</t>
  </si>
  <si>
    <t>Appalachian Technical College</t>
  </si>
  <si>
    <t>Sandersville Technical College</t>
  </si>
  <si>
    <t>Swainsboro Technical College</t>
  </si>
  <si>
    <t>KY</t>
  </si>
  <si>
    <t>University of Kentucky</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</si>
  <si>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</si>
  <si>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</si>
  <si>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</si>
  <si>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</si>
  <si>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</si>
  <si>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</si>
  <si>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</si>
  <si>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 xml:space="preserve">       . </t>
  </si>
  <si>
    <t>Hazard Community College (CTC)</t>
  </si>
  <si>
    <t xml:space="preserve">Henderson Community College </t>
  </si>
  <si>
    <t xml:space="preserve">Hopkinsville Community College </t>
  </si>
  <si>
    <t>Madisonville Community College (CTC)</t>
  </si>
  <si>
    <t>Bowling Green Technical College</t>
  </si>
  <si>
    <t>Gateway Community and Technical College</t>
  </si>
  <si>
    <t>LA</t>
  </si>
  <si>
    <t>MD</t>
  </si>
  <si>
    <t>University of Maryland College Park</t>
  </si>
  <si>
    <t>University of Maryland, Baltimore County</t>
  </si>
  <si>
    <t xml:space="preserve">Towson University </t>
  </si>
  <si>
    <t xml:space="preserve">Bowie State University </t>
  </si>
  <si>
    <t xml:space="preserve">Frostburg State University </t>
  </si>
  <si>
    <t>Morgan State University</t>
  </si>
  <si>
    <t xml:space="preserve">Salisbury University </t>
  </si>
  <si>
    <t>University of Baltimore</t>
  </si>
  <si>
    <t xml:space="preserve">University of Maryland Eastern Shore </t>
  </si>
  <si>
    <t>Saint Mary's College of Maryland</t>
  </si>
  <si>
    <t xml:space="preserve">Anne Arundel Community College </t>
  </si>
  <si>
    <t>Community College of Baltimore County (all campuses)</t>
  </si>
  <si>
    <t>na</t>
  </si>
  <si>
    <t>Montgomery College (all campuses)</t>
  </si>
  <si>
    <t xml:space="preserve">Prince George's Community College </t>
  </si>
  <si>
    <t>Baltimore City Community College</t>
  </si>
  <si>
    <t>College of Southern Maryland</t>
  </si>
  <si>
    <t xml:space="preserve">Frederick Community College </t>
  </si>
  <si>
    <t xml:space="preserve">Harford Community College </t>
  </si>
  <si>
    <t xml:space="preserve">Howard Community College </t>
  </si>
  <si>
    <t>Allegany College of Maryland</t>
  </si>
  <si>
    <t>Carroll Community College</t>
  </si>
  <si>
    <t xml:space="preserve">Cecil Community College </t>
  </si>
  <si>
    <t xml:space="preserve">Chesapeake College </t>
  </si>
  <si>
    <t xml:space="preserve">Garrett College </t>
  </si>
  <si>
    <t xml:space="preserve">Hagerstown Community College </t>
  </si>
  <si>
    <t xml:space="preserve">Wor-Wic Community College </t>
  </si>
  <si>
    <t xml:space="preserve">Hinds Community College </t>
  </si>
  <si>
    <t xml:space="preserve">Mississippi Gulf Coast Community College </t>
  </si>
  <si>
    <t xml:space="preserve">Copiah-Lincoln Community College </t>
  </si>
  <si>
    <t xml:space="preserve">East Mississippi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</si>
  <si>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</si>
  <si>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</si>
  <si>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</si>
  <si>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</si>
  <si>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</si>
  <si>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Northeast Mississippi Community College </t>
  </si>
  <si>
    <t xml:space="preserve">Northwest Mississippi Community College </t>
  </si>
  <si>
    <t xml:space="preserve">Pearl River Community College </t>
  </si>
  <si>
    <t xml:space="preserve">Coahoma Community College </t>
  </si>
  <si>
    <t xml:space="preserve">East Central Community College </t>
  </si>
  <si>
    <t>Southwest Mississippi Community College</t>
  </si>
  <si>
    <t xml:space="preserve">North Carolina State University </t>
  </si>
  <si>
    <t xml:space="preserve">University of North Carolina at Chapel Hill </t>
  </si>
  <si>
    <t>University of North Carolina at Greensboro</t>
  </si>
  <si>
    <t xml:space="preserve">Appalachian State University </t>
  </si>
  <si>
    <t xml:space="preserve">East Carolina University </t>
  </si>
  <si>
    <t>North Carolina Agricultural &amp; Technical State University</t>
  </si>
  <si>
    <t xml:space="preserve">North Carolina Central University </t>
  </si>
  <si>
    <t>University of North Carolina at Charlotte</t>
  </si>
  <si>
    <t>University of North Carolina at Wilmington</t>
  </si>
  <si>
    <t xml:space="preserve">Western Carolina University </t>
  </si>
  <si>
    <t xml:space="preserve">Fayetteville State University </t>
  </si>
  <si>
    <t>University of North Carolina at Pembroke</t>
  </si>
  <si>
    <t xml:space="preserve">Elizabeth City State University </t>
  </si>
  <si>
    <t>University of North Carolina at Asheville</t>
  </si>
  <si>
    <t xml:space="preserve">Winston-Salem State University </t>
  </si>
  <si>
    <t>Caldwell Community College &amp; Technical Institute</t>
  </si>
  <si>
    <t xml:space="preserve">Oklahoma State University-Oklahoma City </t>
  </si>
  <si>
    <t>SC</t>
  </si>
  <si>
    <t>TN</t>
  </si>
  <si>
    <t xml:space="preserve">Texas State University - San Marcos </t>
  </si>
  <si>
    <t>228501B</t>
  </si>
  <si>
    <t>San Jacinto College</t>
  </si>
  <si>
    <t>Tarrant County College</t>
  </si>
  <si>
    <t>VA</t>
  </si>
  <si>
    <t>West Virginia University Institute of Technology</t>
  </si>
  <si>
    <t>.</t>
  </si>
  <si>
    <t>West Virginia University at Parkersburg</t>
  </si>
  <si>
    <t>Fairmont State Community &amp; Technical College</t>
  </si>
  <si>
    <t>Potomac State College of West Virginia University</t>
  </si>
  <si>
    <t>West Virginia Northern Community College</t>
  </si>
  <si>
    <t>Technical</t>
  </si>
  <si>
    <t>Alabama</t>
  </si>
  <si>
    <t>Arkansas</t>
  </si>
  <si>
    <t>Delaware</t>
  </si>
  <si>
    <t>Florida</t>
  </si>
  <si>
    <t>Georgia</t>
  </si>
  <si>
    <t>Kentucky</t>
  </si>
  <si>
    <t>Louisiana</t>
  </si>
  <si>
    <t>Maryland</t>
  </si>
  <si>
    <t>South Carolina</t>
  </si>
  <si>
    <t>Tennessee</t>
  </si>
  <si>
    <t>Virginia</t>
  </si>
  <si>
    <t>no data for type 14's</t>
  </si>
  <si>
    <t>Table XX</t>
  </si>
  <si>
    <t>Coppin State University</t>
  </si>
  <si>
    <t>University of Maryland University College</t>
  </si>
  <si>
    <t>Maryland*</t>
  </si>
  <si>
    <t>Marshall Community &amp; Technical College</t>
  </si>
  <si>
    <t xml:space="preserve">Concord University </t>
  </si>
  <si>
    <t xml:space="preserve">Fairmont State University </t>
  </si>
  <si>
    <t xml:space="preserve">Shepherd University </t>
  </si>
  <si>
    <t xml:space="preserve">West Virginia State University </t>
  </si>
  <si>
    <t>Table 52</t>
  </si>
  <si>
    <t>Table 53</t>
  </si>
  <si>
    <t>Table 54</t>
  </si>
  <si>
    <t>Table 56</t>
  </si>
  <si>
    <t>Table 57</t>
  </si>
  <si>
    <t>Table 58</t>
  </si>
  <si>
    <t>Table 59</t>
  </si>
  <si>
    <t>Table 60</t>
  </si>
  <si>
    <t>Table 61</t>
  </si>
  <si>
    <t>Table 62</t>
  </si>
  <si>
    <t>Table 63</t>
  </si>
  <si>
    <t>Table 64</t>
  </si>
  <si>
    <t>Table 65</t>
  </si>
  <si>
    <t>Table 66</t>
  </si>
  <si>
    <t>Table 67</t>
  </si>
  <si>
    <t>Table 68</t>
  </si>
  <si>
    <t>Table 69</t>
  </si>
  <si>
    <t>Table 70</t>
  </si>
  <si>
    <t>Table 71</t>
  </si>
  <si>
    <t>Table 72</t>
  </si>
  <si>
    <t>Table 73</t>
  </si>
  <si>
    <t>Table 74</t>
  </si>
  <si>
    <t>All</t>
  </si>
  <si>
    <t>Table 75</t>
  </si>
  <si>
    <t>Off-Campus</t>
  </si>
  <si>
    <t>On-Campus</t>
  </si>
  <si>
    <t>Undergraduate Instructional Activity by Type of Instruction</t>
  </si>
  <si>
    <t>Graduate Instructional Activity by Type of Instruction</t>
  </si>
  <si>
    <t>Percent of Graduate Instructional Activity</t>
  </si>
  <si>
    <t xml:space="preserve"> in Traditional Classroom Instruction</t>
  </si>
  <si>
    <t>West Virginia*</t>
  </si>
  <si>
    <t>Table 76</t>
  </si>
  <si>
    <t>Subtotal</t>
  </si>
  <si>
    <t>Percent of Graduate Instructional Activity in e-Learning</t>
  </si>
  <si>
    <t>e-Learning</t>
  </si>
  <si>
    <t>Corre- spondence</t>
  </si>
  <si>
    <r>
      <t>Other</t>
    </r>
    <r>
      <rPr>
        <b/>
        <vertAlign val="superscript"/>
        <sz val="9"/>
        <rFont val="Arial"/>
        <family val="2"/>
      </rPr>
      <t>1</t>
    </r>
  </si>
  <si>
    <r>
      <t>Maryland</t>
    </r>
    <r>
      <rPr>
        <vertAlign val="superscript"/>
        <sz val="10"/>
        <rFont val="Arial"/>
        <family val="2"/>
      </rPr>
      <t>2</t>
    </r>
  </si>
  <si>
    <r>
      <t>West Virginia</t>
    </r>
    <r>
      <rPr>
        <vertAlign val="superscript"/>
        <sz val="10"/>
        <rFont val="Arial"/>
        <family val="2"/>
      </rPr>
      <t>3</t>
    </r>
  </si>
  <si>
    <r>
      <t>1</t>
    </r>
    <r>
      <rPr>
        <sz val="8"/>
        <rFont val="Arial"/>
        <family val="2"/>
      </rPr>
      <t>Courses delivered via satellite, cable TV, broadcast TV/radio, closed-circuit TV, video tape, CD-ROMS, e-mail, etc.</t>
    </r>
  </si>
  <si>
    <r>
      <t>Other</t>
    </r>
    <r>
      <rPr>
        <vertAlign val="superscript"/>
        <sz val="9"/>
        <rFont val="Arial"/>
        <family val="2"/>
      </rPr>
      <t>1</t>
    </r>
  </si>
  <si>
    <r>
      <t>West Virginia</t>
    </r>
    <r>
      <rPr>
        <vertAlign val="superscript"/>
        <sz val="10"/>
        <rFont val="Arial"/>
        <family val="2"/>
      </rPr>
      <t>2</t>
    </r>
  </si>
  <si>
    <r>
      <t>Mississippi</t>
    </r>
    <r>
      <rPr>
        <vertAlign val="superscript"/>
        <sz val="10"/>
        <rFont val="Arial"/>
        <family val="2"/>
      </rPr>
      <t>2</t>
    </r>
  </si>
  <si>
    <r>
      <t>2</t>
    </r>
    <r>
      <rPr>
        <sz val="8"/>
        <rFont val="Arial"/>
        <family val="2"/>
      </rPr>
      <t>Mississippi Community Colleges define e-learning when 75 percent of course content is delivered electronically.</t>
    </r>
  </si>
  <si>
    <t>Undergraduate Credit Hours (totals should match totals from Part 3)</t>
  </si>
  <si>
    <t>Graduate Credit Hours (totals should match totals from Part 3)</t>
  </si>
  <si>
    <t>Calculated</t>
  </si>
  <si>
    <t>Cat- egory</t>
  </si>
  <si>
    <t>Auburn University</t>
  </si>
  <si>
    <t xml:space="preserve">University of Alabama </t>
  </si>
  <si>
    <t>University of Alabama at Birmingham</t>
  </si>
  <si>
    <t>University of Alabama in Huntsville</t>
  </si>
  <si>
    <t>Alabama Agricultural &amp; Mechanical University</t>
  </si>
  <si>
    <t xml:space="preserve">Jacksonville State University </t>
  </si>
  <si>
    <t>University of South Alabama</t>
  </si>
  <si>
    <t xml:space="preserve">Alabama State University </t>
  </si>
  <si>
    <t>Auburn University at Montgomery</t>
  </si>
  <si>
    <t>Troy State University</t>
  </si>
  <si>
    <t>University of North Alabama</t>
  </si>
  <si>
    <t>Troy State University at Dothan</t>
  </si>
  <si>
    <t xml:space="preserve">Troy State University in Montgomery </t>
  </si>
  <si>
    <t>University of Montevallo</t>
  </si>
  <si>
    <t>University of West Alabama</t>
  </si>
  <si>
    <t>Athens State University</t>
  </si>
  <si>
    <t xml:space="preserve">John C. Calhoun State Community College </t>
  </si>
  <si>
    <t>Bevill State Community College</t>
  </si>
  <si>
    <t>Bishop State Community College</t>
  </si>
  <si>
    <t>Gadsden State Community College</t>
  </si>
  <si>
    <t>George C. Wallace State Community College - Dothan</t>
  </si>
  <si>
    <t>James H. Faulkner State Community College</t>
  </si>
  <si>
    <t>Jefferson State Community College</t>
  </si>
  <si>
    <t>Northwest-Shoals Community College</t>
  </si>
  <si>
    <t>Shelton State Community College</t>
  </si>
  <si>
    <t>Southern Union State Community College</t>
  </si>
  <si>
    <t>Wallace Community College - Hanceville</t>
  </si>
  <si>
    <t>Alabama Southern Community College</t>
  </si>
  <si>
    <t>Central Alabama Community College</t>
  </si>
  <si>
    <t xml:space="preserve">Chattahoochee Valley State Community College </t>
  </si>
  <si>
    <t>Enterprise-Ozark Community College</t>
  </si>
  <si>
    <t>George Corley Wallace State Community College - Selma</t>
  </si>
  <si>
    <t>Jefferson Davis Community College</t>
  </si>
  <si>
    <t xml:space="preserve">Lawson State Community College </t>
  </si>
  <si>
    <t xml:space="preserve">Lurleen B. Wallace Community College </t>
  </si>
  <si>
    <t xml:space="preserve">Northeast Alabama State Community College </t>
  </si>
  <si>
    <t xml:space="preserve">Snead State Community College </t>
  </si>
  <si>
    <t xml:space="preserve">Bessemer State Technical College </t>
  </si>
  <si>
    <t xml:space="preserve">Trenholm State Technical College </t>
  </si>
  <si>
    <t xml:space="preserve">J.F. Drake State Technical College </t>
  </si>
  <si>
    <t xml:space="preserve">J.F. Ingram State Technical College </t>
  </si>
  <si>
    <t xml:space="preserve">Reid State Technical College </t>
  </si>
  <si>
    <t>University of Arkansas, Fayetteville</t>
  </si>
  <si>
    <t>University of Delaware</t>
  </si>
  <si>
    <t>Delaware State University</t>
  </si>
  <si>
    <t>Delaware Technical and Community College--Owens</t>
  </si>
  <si>
    <t>Delaware Technical and Community College--Stanton-Wilmington</t>
  </si>
  <si>
    <t>Delaware Technical and Community College--Terry</t>
  </si>
  <si>
    <t>University of West Georgia</t>
  </si>
  <si>
    <t>Georgia Aviation Technical College</t>
  </si>
  <si>
    <t xml:space="preserve">Somerset Community and Technical College </t>
  </si>
  <si>
    <t>Louisiana State University and A &amp; M College</t>
  </si>
  <si>
    <t>University of Louisiana at Lafayette</t>
  </si>
  <si>
    <t>University of New Orleans</t>
  </si>
  <si>
    <t xml:space="preserve">Louisiana Tech University </t>
  </si>
  <si>
    <t xml:space="preserve">Southern University and A&amp;M College at Baton Rouge </t>
  </si>
  <si>
    <t>University of Louisiana at Monroe</t>
  </si>
  <si>
    <t>Grambling State University</t>
  </si>
  <si>
    <t>Louisiana State University in Shreveport</t>
  </si>
  <si>
    <t>McNeese State University</t>
  </si>
  <si>
    <t>Northwestern State University</t>
  </si>
  <si>
    <t xml:space="preserve">Southeastern Louisiana University </t>
  </si>
  <si>
    <t xml:space="preserve">Nicholls State University </t>
  </si>
  <si>
    <t>Southern University at New Orleans</t>
  </si>
  <si>
    <t xml:space="preserve">Delgado Community College </t>
  </si>
  <si>
    <t>Baton Rouge Community College</t>
  </si>
  <si>
    <t>Bossier Parish Community College</t>
  </si>
  <si>
    <t>Louisiana State University at Alexandria</t>
  </si>
  <si>
    <t>Louisiana State University at Eunice</t>
  </si>
  <si>
    <t>Louisiana Delta Community College</t>
  </si>
  <si>
    <t>Nunez Community College</t>
  </si>
  <si>
    <t>River Parishes Community College</t>
  </si>
  <si>
    <t>South Louisiana Community College</t>
  </si>
  <si>
    <t>Southern University in Shreveport</t>
  </si>
  <si>
    <t>Sowela Technical Community College</t>
  </si>
  <si>
    <t>L.E. Fletcher Technical Community College</t>
  </si>
  <si>
    <t>Louisiana Technical College-All Campuses</t>
  </si>
  <si>
    <t>Louisiana Technical College-Acadian Campus</t>
  </si>
  <si>
    <t>Louisiana Technical College-Alexandria Campus</t>
  </si>
  <si>
    <t>Louisiana Technical College-Ascension Campus</t>
  </si>
  <si>
    <t>Louisiana Technical College-Avoyelles Campus</t>
  </si>
  <si>
    <t>Louisiana Technical College-Bastrop Campus</t>
  </si>
  <si>
    <t>Louisiana Technical College-Baton Rouge Campus</t>
  </si>
  <si>
    <t>Louisiana Technical College-Charles B. Coreil Campus</t>
  </si>
  <si>
    <t>Louisiana Technical College-Delta/Ouachita Campus</t>
  </si>
  <si>
    <t>Louisiana Technical College-Evangeline Campus</t>
  </si>
  <si>
    <t>Louisiana Technical College-Florida Parishes Campus</t>
  </si>
  <si>
    <t>Louisiana Technical College-Folkes Campus</t>
  </si>
  <si>
    <t>Louisiana Technical College-Gulf Area Campus</t>
  </si>
  <si>
    <t>Louisiana Technical College-Hammond Area Campus</t>
  </si>
  <si>
    <t>Louisiana Technical College-Huey P. Long Campus</t>
  </si>
  <si>
    <t>Louisiana Technical College-Jefferson Campus</t>
  </si>
  <si>
    <t>Louisiana Technical College-Jumonville Memorial Campus</t>
  </si>
  <si>
    <t>Louisiana Technical College-Lafayette Campus</t>
  </si>
  <si>
    <t>Louisiana Technical College-Lafourche Campus</t>
  </si>
  <si>
    <t>Louisiana Technical College-Lamar Salter Campus</t>
  </si>
  <si>
    <t>Louisiana Technical College-Mansfield Campus</t>
  </si>
  <si>
    <t>Louisiana Technical College-Morgan Smith Campus</t>
  </si>
  <si>
    <t>Louisiana Technical College-Nachitoches Campus</t>
  </si>
  <si>
    <t>Louisiana Technical College-North Central Campus</t>
  </si>
  <si>
    <t>Louisiana Technical College-Northeast Louisiana Campus</t>
  </si>
  <si>
    <t>Louisiana Technical College-Northwest Louisiana Campus</t>
  </si>
  <si>
    <t>Louisiana Technical College-Oakdale Campus</t>
  </si>
  <si>
    <t>Louisiana Technical College-River Parishes Campus</t>
  </si>
  <si>
    <t>Louisiana Technical College-Ruston Campus</t>
  </si>
  <si>
    <t>Louisiana Technical College-Sabine Valley Campus</t>
  </si>
  <si>
    <t>Louisiana Technical College-Shelby M. Jackson Campus</t>
  </si>
  <si>
    <t>Louisiana Technical College-Shreveport/Bossier Campus</t>
  </si>
  <si>
    <t>Louisiana Technical College-Sidney N. Collier Campus</t>
  </si>
  <si>
    <t>Louisiana Technical College-Slidell Campus</t>
  </si>
  <si>
    <t>Louisiana Technical College-Sullivan Campus</t>
  </si>
  <si>
    <t>Louisiana Technical College-T.H. Harris Campus</t>
  </si>
  <si>
    <t>Louisiana Technical College-Tallulah Campus</t>
  </si>
  <si>
    <t>Louisiana Technical College-Teche Area Campus</t>
  </si>
  <si>
    <t>Louisiana Technical College-West Jefferson Campus</t>
  </si>
  <si>
    <t>Louisiana Technical College-Westside Campus</t>
  </si>
  <si>
    <t>Louisiana Technical College-Young Memorial Campus</t>
  </si>
  <si>
    <t>University of Tennessee, Knoxville</t>
  </si>
  <si>
    <t>University of Memphis</t>
  </si>
  <si>
    <t xml:space="preserve">East Tennessee State University </t>
  </si>
  <si>
    <t xml:space="preserve">Middle Tennessee State University </t>
  </si>
  <si>
    <t xml:space="preserve">Tennessee State University </t>
  </si>
  <si>
    <t>University of Tennessee at Chattanooga</t>
  </si>
  <si>
    <t xml:space="preserve">Austin Peay State University </t>
  </si>
  <si>
    <t xml:space="preserve">Tennessee Technological University </t>
  </si>
  <si>
    <t>University of Tennessee at Martin</t>
  </si>
  <si>
    <t xml:space="preserve">Chattanooga State Technical Community College </t>
  </si>
  <si>
    <t>219824A</t>
  </si>
  <si>
    <t>Pellissippi State Technical Community College</t>
  </si>
  <si>
    <t>Southwest Tennessee Community College</t>
  </si>
  <si>
    <t xml:space="preserve">Cleveland State Community College </t>
  </si>
  <si>
    <t xml:space="preserve">Columbia State Community College </t>
  </si>
  <si>
    <t xml:space="preserve">Jackson State Community College </t>
  </si>
  <si>
    <t xml:space="preserve">Motlow State Community College </t>
  </si>
  <si>
    <t>Nashville State Technical Community College</t>
  </si>
  <si>
    <t>Northeast State Technical Community College</t>
  </si>
  <si>
    <t xml:space="preserve">Roane State Community College </t>
  </si>
  <si>
    <t xml:space="preserve">Volunteer State Community College </t>
  </si>
  <si>
    <t xml:space="preserve">Walters State Community College </t>
  </si>
  <si>
    <t xml:space="preserve">Dyersburg State Community College </t>
  </si>
  <si>
    <r>
      <t>3</t>
    </r>
    <r>
      <rPr>
        <sz val="8"/>
        <rFont val="Arial"/>
        <family val="2"/>
      </rPr>
      <t xml:space="preserve">West Virginia figures represent fall 2004 term only this year. </t>
    </r>
  </si>
  <si>
    <r>
      <t>2</t>
    </r>
    <r>
      <rPr>
        <sz val="8"/>
        <rFont val="Arial"/>
        <family val="2"/>
      </rPr>
      <t xml:space="preserve">West Virginia figures represent fall 2004 term only this year. </t>
    </r>
  </si>
  <si>
    <t>Tennessee Technology Center at Memphis</t>
  </si>
  <si>
    <t>Tennessee Technology Center at Athens</t>
  </si>
  <si>
    <t>Tennessee Technology Center at Chattanooga</t>
  </si>
  <si>
    <t>219824B</t>
  </si>
  <si>
    <t>Tennessee Technology Center at Covington</t>
  </si>
  <si>
    <t>Tennessee Technology Center at Crossville</t>
  </si>
  <si>
    <t>Tennessee Technology Center at Crump</t>
  </si>
  <si>
    <t>Tennessee Technology Center at Dickson</t>
  </si>
  <si>
    <t>Tennessee Technology Center at Elizabethton</t>
  </si>
  <si>
    <t>Tennessee Technology Center at Harriman</t>
  </si>
  <si>
    <t>Tennessee Technology Center at Hartsville</t>
  </si>
  <si>
    <t>Tennessee Technology Center at Holenwald</t>
  </si>
  <si>
    <t>Tennessee Technology Center at Jacksboro</t>
  </si>
  <si>
    <t>Tennessee Technology Center at Jackson</t>
  </si>
  <si>
    <t>Tennessee Technology Center at Knoxville</t>
  </si>
  <si>
    <t>Tennessee Technology Center at Livingston</t>
  </si>
  <si>
    <t>Tennessee Technology Center at McKenzie</t>
  </si>
  <si>
    <t>Tennessee Technology Center at McMinnville</t>
  </si>
  <si>
    <t>Tennessee Technology Center at Morristown</t>
  </si>
  <si>
    <t>Tennessee Technology Center at Murfreesboro</t>
  </si>
  <si>
    <t>Tennessee Technology Center at Nashville</t>
  </si>
  <si>
    <t>Tennessee Technology Center at Newbern</t>
  </si>
  <si>
    <t>Tennessee Technology Center at Oneida</t>
  </si>
  <si>
    <t>Tennessee Technology Center at Paris</t>
  </si>
  <si>
    <t>Tennessee Technology Center at Pulaski</t>
  </si>
  <si>
    <t>Tennessee Technology Center at Ripley</t>
  </si>
  <si>
    <t>Tennessee Technology Center at Shelbyville</t>
  </si>
  <si>
    <t>Tennessee Technology Center at Whiteville</t>
  </si>
  <si>
    <t>Texas A &amp; M University - Commerce</t>
  </si>
  <si>
    <t>South Texas College</t>
  </si>
  <si>
    <t>Community &amp; Technical College of Shepherd</t>
  </si>
  <si>
    <t>Eastern West Virginia Community &amp; Technical Coll</t>
  </si>
  <si>
    <t>New River Community &amp; Technical College</t>
  </si>
  <si>
    <t>Southern West Virginia Community &amp; Technical Coll</t>
  </si>
  <si>
    <t>WV State Community &amp; Technical College</t>
  </si>
  <si>
    <t>West Virginia School of Osteopathic Medicine</t>
  </si>
  <si>
    <t>Bluegrass Community and Technical College</t>
  </si>
  <si>
    <t xml:space="preserve">Jefferson Community and Technical College </t>
  </si>
  <si>
    <t>Ashland Community and Technical College</t>
  </si>
  <si>
    <t xml:space="preserve">Big Sandy Community and Technical College </t>
  </si>
  <si>
    <t xml:space="preserve">Elizabethtown Community and Technical College </t>
  </si>
  <si>
    <t xml:space="preserve">Owensboro Community and Technical College </t>
  </si>
  <si>
    <t>Southeast Kentucky Community and Technical College</t>
  </si>
  <si>
    <t>West Kentucky Community and Technical College</t>
  </si>
  <si>
    <t xml:space="preserve">Maysville Community and Technical College </t>
  </si>
  <si>
    <t>by Type of Institution, 2004-05</t>
  </si>
  <si>
    <t>Public Four-Year Institutions, 2004-05</t>
  </si>
  <si>
    <t>Public Four-Year 1 Institutions, 2004-05</t>
  </si>
  <si>
    <t>Public Four-Year 2 Institutions, 2004-05</t>
  </si>
  <si>
    <t>Public Four-Year 3 Institutions, 2004-05</t>
  </si>
  <si>
    <t>Public Four-Year 4 Institutions, 2004-05</t>
  </si>
  <si>
    <t xml:space="preserve">Gainesville State College </t>
  </si>
  <si>
    <t>Table 55</t>
  </si>
  <si>
    <t>Public Four-Year 5 Institutions, 2004-05</t>
  </si>
  <si>
    <t>Public Four-Year 6 Institutions, 2004-05</t>
  </si>
  <si>
    <t>Public Two-Year, 2004-05</t>
  </si>
  <si>
    <t>Public Two-Year with Bachelor's Institutions, 2004-05</t>
  </si>
  <si>
    <t>Public Two-Year 1 Institutions, 2004-05</t>
  </si>
  <si>
    <t>Public Two-Year 2 Institutions, 2004-05</t>
  </si>
  <si>
    <t>Public Two-Year 3 Institutions, 2004-05</t>
  </si>
  <si>
    <t>Public Technical Institutes or Colleges, 2004-05</t>
  </si>
  <si>
    <t>Public Technical Institutes or Colleges 1, 2004-05</t>
  </si>
  <si>
    <t>Public Technical Institutes or Colleges 2, 2004-05</t>
  </si>
  <si>
    <t>Public Technical Institutes or Colleges Size Unknown, 2004-05</t>
  </si>
  <si>
    <t>Crowley's Ridge Technical Institute</t>
  </si>
  <si>
    <t>Northwest Technical Institute</t>
  </si>
  <si>
    <t>Atlantic Vocational-Technical Center</t>
  </si>
  <si>
    <t>132374</t>
  </si>
  <si>
    <t>Bradford Union Area Vocational-Technical Center</t>
  </si>
  <si>
    <t>132675</t>
  </si>
  <si>
    <t>Charlotte County Vocational-Technical Center</t>
  </si>
  <si>
    <t>132976</t>
  </si>
  <si>
    <t>David G. Erwin Area Vocational-Technical Center</t>
  </si>
  <si>
    <t>369419</t>
  </si>
  <si>
    <t>George Stone Area Vocational Center</t>
  </si>
  <si>
    <t>134291</t>
  </si>
  <si>
    <t>George T. Baker Aviation School</t>
  </si>
  <si>
    <t>Jackson Memorial Hospital School of Radiology Technology</t>
  </si>
  <si>
    <t>Lake County Area Vocational-Technical Center</t>
  </si>
  <si>
    <t>135179</t>
  </si>
  <si>
    <t>Lee County Area Vocational-Technical Center</t>
  </si>
  <si>
    <t>135267</t>
  </si>
  <si>
    <t>Lee County High Technical Center North</t>
  </si>
  <si>
    <t>Lindsey Hopkins Technical Education Center</t>
  </si>
  <si>
    <t>135294</t>
  </si>
  <si>
    <t>Lively Area Vocational-Technical Center</t>
  </si>
  <si>
    <t>135276</t>
  </si>
  <si>
    <t>Lorenzo Walker Institute of Technology</t>
  </si>
  <si>
    <t>Manatee Area Vocational-Technical Center</t>
  </si>
  <si>
    <t>135407</t>
  </si>
  <si>
    <t>Marion County School of Radiological Technology</t>
  </si>
  <si>
    <t>Martin County High School Adult Education Center</t>
  </si>
  <si>
    <t>Maynard A. Traviss Vocational-Technical Center</t>
  </si>
  <si>
    <t>135522</t>
  </si>
  <si>
    <t>Miami Lakes Technical Education Center</t>
  </si>
  <si>
    <t>135647</t>
  </si>
  <si>
    <t>Miami Skill Center</t>
  </si>
  <si>
    <t>Mid-Florida Technical Institute</t>
  </si>
  <si>
    <t>135735</t>
  </si>
  <si>
    <t>OLD-Tot UG SCH Calc</t>
  </si>
  <si>
    <t>NEW-Tot UG SCH Calc</t>
  </si>
  <si>
    <t>Old-UG OnC Trad</t>
  </si>
  <si>
    <t>New-UG OnC Trad</t>
  </si>
  <si>
    <t>Old-UG OffC Trad</t>
  </si>
  <si>
    <t>New-UG OffC Trad</t>
  </si>
  <si>
    <t>Old-UG EL Web</t>
  </si>
  <si>
    <t>Old-UG EL CV</t>
  </si>
  <si>
    <t>Old-UG EL O</t>
  </si>
  <si>
    <t>New-UG EL Web</t>
  </si>
  <si>
    <t>New-UG EL CV</t>
  </si>
  <si>
    <t>New-UG EL O</t>
  </si>
  <si>
    <t>Old-UG Cor</t>
  </si>
  <si>
    <t>New-UG Cor</t>
  </si>
  <si>
    <t>Old-Tot G SCH Calc</t>
  </si>
  <si>
    <t>New-Tot G SCH Calc</t>
  </si>
  <si>
    <t>Old-G OnC Trad</t>
  </si>
  <si>
    <t>New-G OnC Trad</t>
  </si>
  <si>
    <t>Old-G OffC Trad</t>
  </si>
  <si>
    <t>New-G OffC Trad</t>
  </si>
  <si>
    <t>Old-G EL Web</t>
  </si>
  <si>
    <t>Old-G EL CV</t>
  </si>
  <si>
    <t>Old-G EL O</t>
  </si>
  <si>
    <t>New-G EL Web</t>
  </si>
  <si>
    <t>New-G EL CV</t>
  </si>
  <si>
    <t>New-G EL O</t>
  </si>
  <si>
    <t>Old-G Cor</t>
  </si>
  <si>
    <t>New-G Cor</t>
  </si>
  <si>
    <r>
      <t xml:space="preserve">Off-Campus (in-state or out-of-state sites) "Traditional" Instruction </t>
    </r>
    <r>
      <rPr>
        <sz val="8"/>
        <rFont val="Arial"/>
        <family val="0"/>
      </rPr>
      <t>(significant site attendance required--50% or less of course content is electronically delivered)</t>
    </r>
  </si>
  <si>
    <t>Table 51</t>
  </si>
  <si>
    <r>
      <t>Off-Campus (in-state or out-of-state sites) "Traditional" Instruction</t>
    </r>
    <r>
      <rPr>
        <sz val="8"/>
        <color indexed="12"/>
        <rFont val="Arial"/>
        <family val="0"/>
      </rPr>
      <t xml:space="preserve"> (significant site attendance required--50% or less of course content is electronically delivered)</t>
    </r>
  </si>
  <si>
    <r>
      <t xml:space="preserve">e-Learning </t>
    </r>
    <r>
      <rPr>
        <sz val="8"/>
        <rFont val="Arial"/>
        <family val="0"/>
      </rPr>
      <t>(more than 50% of course content is electronically delivered)</t>
    </r>
  </si>
  <si>
    <r>
      <t>e-Learning</t>
    </r>
    <r>
      <rPr>
        <sz val="8"/>
        <color indexed="12"/>
        <rFont val="Arial"/>
        <family val="0"/>
      </rPr>
      <t xml:space="preserve"> (more than 50% of course content is electronically delivered)</t>
    </r>
  </si>
  <si>
    <r>
      <t>Off-Campus (in-state or out-of-state sites) "Traditional" Instruction</t>
    </r>
    <r>
      <rPr>
        <sz val="8"/>
        <rFont val="Arial"/>
        <family val="0"/>
      </rPr>
      <t xml:space="preserve"> (significant site attendance required--50% or less of course content is electronically delivered)</t>
    </r>
  </si>
  <si>
    <r>
      <t xml:space="preserve">Off-Campus (in-state or out-of-state sites) "Traditional" Instruction </t>
    </r>
    <r>
      <rPr>
        <sz val="8"/>
        <color indexed="12"/>
        <rFont val="Arial"/>
        <family val="0"/>
      </rPr>
      <t>(significant site attendance required--50% or less of course content is electronically delivered)</t>
    </r>
  </si>
  <si>
    <r>
      <t>2003-04 Total Under- graduate SCH</t>
    </r>
    <r>
      <rPr>
        <sz val="8"/>
        <rFont val="Arial"/>
        <family val="0"/>
      </rPr>
      <t xml:space="preserve"> (a sum of columns --should match totals from Data Exchange Part 3)</t>
    </r>
  </si>
  <si>
    <r>
      <t>2004-05 Total Under- graduate SCH</t>
    </r>
    <r>
      <rPr>
        <sz val="8"/>
        <color indexed="12"/>
        <rFont val="Arial"/>
        <family val="0"/>
      </rPr>
      <t xml:space="preserve"> (a sum of columns --should match totals from Data Exchange Part 3)</t>
    </r>
  </si>
  <si>
    <r>
      <t xml:space="preserve">On-Campus "Traditional" Instruction </t>
    </r>
    <r>
      <rPr>
        <sz val="8"/>
        <rFont val="Arial"/>
        <family val="0"/>
      </rPr>
      <t>(significant site attendance required--50% or less of course content is electronically delivered)</t>
    </r>
  </si>
  <si>
    <r>
      <t xml:space="preserve">On-Campus "Traditional" Instruction </t>
    </r>
    <r>
      <rPr>
        <sz val="8"/>
        <color indexed="12"/>
        <rFont val="Arial"/>
        <family val="0"/>
      </rPr>
      <t>(significant site attendance required--50% or less of course content is electronically delivered)</t>
    </r>
  </si>
  <si>
    <r>
      <t xml:space="preserve">Site-to-Site, 2-Way, Audio/Video </t>
    </r>
    <r>
      <rPr>
        <sz val="8"/>
        <rFont val="Arial"/>
        <family val="0"/>
      </rPr>
      <t>(compressed video)</t>
    </r>
  </si>
  <si>
    <r>
      <t>Site-to-Site, 2-Way, Audio/Video</t>
    </r>
    <r>
      <rPr>
        <sz val="8"/>
        <color indexed="12"/>
        <rFont val="Arial"/>
        <family val="0"/>
      </rPr>
      <t xml:space="preserve"> (compressed video)</t>
    </r>
  </si>
  <si>
    <r>
      <t xml:space="preserve">Correspondence </t>
    </r>
    <r>
      <rPr>
        <sz val="8"/>
        <rFont val="Arial"/>
        <family val="0"/>
      </rPr>
      <t>(no significant site attendance required--less than 50% of the course content is electronically delivered)</t>
    </r>
  </si>
  <si>
    <r>
      <t xml:space="preserve">Correspondence </t>
    </r>
    <r>
      <rPr>
        <sz val="8"/>
        <color indexed="12"/>
        <rFont val="Arial"/>
        <family val="0"/>
      </rPr>
      <t>(no significant site attendance required--less than 50% of the course content is electronically delivered)</t>
    </r>
  </si>
  <si>
    <r>
      <t xml:space="preserve">Total Graduate SCH </t>
    </r>
    <r>
      <rPr>
        <sz val="8"/>
        <rFont val="Arial"/>
        <family val="0"/>
      </rPr>
      <t>(a sum of columns --should match totals from Data Exchange Part 3)</t>
    </r>
  </si>
  <si>
    <r>
      <t xml:space="preserve">Total Graduate SCH </t>
    </r>
    <r>
      <rPr>
        <sz val="8"/>
        <color indexed="12"/>
        <rFont val="Arial"/>
        <family val="0"/>
      </rPr>
      <t>(a sum of columns --should match totals from Data Exchange Part 3)</t>
    </r>
  </si>
  <si>
    <r>
      <t>On-Campus "Traditional" Instruction</t>
    </r>
    <r>
      <rPr>
        <sz val="8"/>
        <rFont val="Arial"/>
        <family val="0"/>
      </rPr>
      <t xml:space="preserve"> (significant site attendance required--50% or less of course content is electronically delivered)</t>
    </r>
  </si>
  <si>
    <r>
      <t>Site-to-Site, 2-Way, Audio/Video</t>
    </r>
    <r>
      <rPr>
        <sz val="8"/>
        <rFont val="Arial"/>
        <family val="0"/>
      </rPr>
      <t xml:space="preserve"> (compressed video)</t>
    </r>
  </si>
  <si>
    <r>
      <t xml:space="preserve">Site-to-Site, 2-Way, Audio/Video </t>
    </r>
    <r>
      <rPr>
        <sz val="8"/>
        <color indexed="12"/>
        <rFont val="Arial"/>
        <family val="0"/>
      </rPr>
      <t>(compressed video)</t>
    </r>
  </si>
  <si>
    <r>
      <t>Correspondence</t>
    </r>
    <r>
      <rPr>
        <sz val="8"/>
        <rFont val="Arial"/>
        <family val="0"/>
      </rPr>
      <t xml:space="preserve"> (no significant site attendance required--less than 50% of the course content is electronically delivered)</t>
    </r>
  </si>
  <si>
    <t xml:space="preserve"> Old %UG OnC Trad</t>
  </si>
  <si>
    <t>Total  Old %UG OnC Trad</t>
  </si>
  <si>
    <t xml:space="preserve"> New %UG OnC Trad</t>
  </si>
  <si>
    <t>Total  New %UG OnC Trad</t>
  </si>
  <si>
    <t xml:space="preserve"> Old %UG OffC Trad</t>
  </si>
  <si>
    <t>Total  Old %UG OffC Trad</t>
  </si>
  <si>
    <t xml:space="preserve"> New %UG OffC Trad</t>
  </si>
  <si>
    <t>Total  New %UG OffC Trad</t>
  </si>
  <si>
    <t xml:space="preserve"> Old %G OnC Trad</t>
  </si>
  <si>
    <t>Total  Old %G OnC Trad</t>
  </si>
  <si>
    <t xml:space="preserve"> Old %UG EL Web</t>
  </si>
  <si>
    <t>Total  Old %UG EL Web</t>
  </si>
  <si>
    <t xml:space="preserve"> New %UG EL Web</t>
  </si>
  <si>
    <t>Total  New %UG EL Web</t>
  </si>
  <si>
    <t xml:space="preserve"> Old %UG EL CV</t>
  </si>
  <si>
    <t>Total  Old %UG EL CV</t>
  </si>
  <si>
    <t xml:space="preserve"> New %UG EL CV</t>
  </si>
  <si>
    <t>Total  New %UG EL CV</t>
  </si>
  <si>
    <t xml:space="preserve"> Old %UG EL O</t>
  </si>
  <si>
    <t>Total  Old %UG EL O</t>
  </si>
  <si>
    <t xml:space="preserve"> New %UG EL O</t>
  </si>
  <si>
    <t>Total  New %UG EL O</t>
  </si>
  <si>
    <t xml:space="preserve"> Old %UG Cor</t>
  </si>
  <si>
    <t>Total  Old %UG Cor</t>
  </si>
  <si>
    <t xml:space="preserve"> New %UG Cor</t>
  </si>
  <si>
    <t>Total  New %UG Cor</t>
  </si>
  <si>
    <t xml:space="preserve"> New %G OnC Trad</t>
  </si>
  <si>
    <t>Total  New %G OnC Trad</t>
  </si>
  <si>
    <t xml:space="preserve"> Old %G OffC Trad</t>
  </si>
  <si>
    <t>Total  Old %G OffC Trad</t>
  </si>
  <si>
    <t xml:space="preserve"> New %G OffC Trad</t>
  </si>
  <si>
    <t>Total  New %G OffC Trad</t>
  </si>
  <si>
    <t xml:space="preserve"> Old %G EL Web</t>
  </si>
  <si>
    <t>Total  Old %G EL Web</t>
  </si>
  <si>
    <t xml:space="preserve"> New %G EL Web</t>
  </si>
  <si>
    <t>Total  New %G EL Web</t>
  </si>
  <si>
    <t xml:space="preserve"> Old %G EL CV</t>
  </si>
  <si>
    <t>Total  Old %G EL CV</t>
  </si>
  <si>
    <t xml:space="preserve"> New %G EL CV</t>
  </si>
  <si>
    <t>Total  New %G EL CV</t>
  </si>
  <si>
    <t xml:space="preserve"> Old %G EL O</t>
  </si>
  <si>
    <t>Total  Old %G EL O</t>
  </si>
  <si>
    <t xml:space="preserve"> New %G EL O</t>
  </si>
  <si>
    <t>Total  New %G EL O</t>
  </si>
  <si>
    <t xml:space="preserve"> Old %G Cor</t>
  </si>
  <si>
    <t>Total  Old %G Cor</t>
  </si>
  <si>
    <t xml:space="preserve"> New %G Cor</t>
  </si>
  <si>
    <t>Total  New %G Cor</t>
  </si>
  <si>
    <t xml:space="preserve"> Change %UG OnC Trad</t>
  </si>
  <si>
    <t>Total  Change %UG OnC Trad</t>
  </si>
  <si>
    <t xml:space="preserve"> Change %G OnC Trad</t>
  </si>
  <si>
    <t>Total  Change %G OnC Trad</t>
  </si>
  <si>
    <t xml:space="preserve"> Change %UG Cor</t>
  </si>
  <si>
    <t>Total  Change %UG Cor</t>
  </si>
  <si>
    <t xml:space="preserve"> Change %G OffC Trad</t>
  </si>
  <si>
    <t>Total  Change %G OffC Trad</t>
  </si>
  <si>
    <t xml:space="preserve"> Change %UG OffC Trad</t>
  </si>
  <si>
    <t>Total  Change %UG OffC Trad</t>
  </si>
  <si>
    <t xml:space="preserve"> Change %UG EL Web</t>
  </si>
  <si>
    <t>Total  Change %UG EL Web</t>
  </si>
  <si>
    <t xml:space="preserve"> Change %G EL Web</t>
  </si>
  <si>
    <t>Total  Change %G EL Web</t>
  </si>
  <si>
    <t xml:space="preserve"> Change %G EL CV</t>
  </si>
  <si>
    <t>Total  Change %G EL CV</t>
  </si>
  <si>
    <t xml:space="preserve"> Change %UG EL CV</t>
  </si>
  <si>
    <t>Total  Change %UG EL CV</t>
  </si>
  <si>
    <t xml:space="preserve"> Change %UG EL O</t>
  </si>
  <si>
    <t>Total  Change %UG EL O</t>
  </si>
  <si>
    <t xml:space="preserve"> Change %G EL O</t>
  </si>
  <si>
    <t>Total  Change %G EL O</t>
  </si>
  <si>
    <t xml:space="preserve"> Change %G Cor</t>
  </si>
  <si>
    <t>Total  Change %G Cor</t>
  </si>
  <si>
    <t>North Technical Education Center</t>
  </si>
  <si>
    <t>136190</t>
  </si>
  <si>
    <t>Okaloosa Applied Technology Center</t>
  </si>
  <si>
    <t>Orlando Vocational-Technical Center</t>
  </si>
  <si>
    <t>136303</t>
  </si>
  <si>
    <t>Pinellas Vocational-Technical Institute--Clearwater</t>
  </si>
  <si>
    <t>136491</t>
  </si>
  <si>
    <t>Pinellas Vocational-Technical Institute--St. Petersburg</t>
  </si>
  <si>
    <t>137087</t>
  </si>
  <si>
    <t>Radford M. Locklin Vocational-Technical Center</t>
  </si>
  <si>
    <t>136659</t>
  </si>
  <si>
    <t>Ridge Vocational-Technical Center</t>
  </si>
  <si>
    <t>136765</t>
  </si>
  <si>
    <t>Robert Morgan Vocational-Technical Institute</t>
  </si>
  <si>
    <t>Sarasota County Vocational-Technical Center</t>
  </si>
  <si>
    <t>University of Virginia</t>
  </si>
  <si>
    <t xml:space="preserve">Virginia Tech </t>
  </si>
  <si>
    <t>College of William &amp; Mary</t>
  </si>
  <si>
    <t xml:space="preserve">George Mason University </t>
  </si>
  <si>
    <t xml:space="preserve">Old Dominion University </t>
  </si>
  <si>
    <t>Virginia Commonwealth University</t>
  </si>
  <si>
    <t>James Madison University</t>
  </si>
  <si>
    <t>Radford University</t>
  </si>
  <si>
    <t>Christopher Newport University</t>
  </si>
  <si>
    <t xml:space="preserve">Norfolk State University </t>
  </si>
  <si>
    <t xml:space="preserve">Virginia State University </t>
  </si>
  <si>
    <t xml:space="preserve">Longwood University </t>
  </si>
  <si>
    <t xml:space="preserve">University of Mary Washington </t>
  </si>
  <si>
    <t xml:space="preserve">University of Virginia's College at Wise </t>
  </si>
  <si>
    <t>J.S. Reynolds Community College</t>
  </si>
  <si>
    <t>Community &amp; Technical College at WVU Tech</t>
  </si>
  <si>
    <t xml:space="preserve">Northern Virginia Community College </t>
  </si>
  <si>
    <t xml:space="preserve">Tidewater Community College </t>
  </si>
  <si>
    <t xml:space="preserve">Blue Ridge Community College </t>
  </si>
  <si>
    <t xml:space="preserve">Central Virginia Community College </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</si>
</sst>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_)"/>
    <numFmt numFmtId="166" formatCode="0.0%"/>
    <numFmt numFmtId="167" formatCode="mm/dd/yy_)"/>
    <numFmt numFmtId="168" formatCode=";;;"/>
    <numFmt numFmtId="169" formatCode="0.000000_)"/>
    <numFmt numFmtId="170" formatCode="0.000000000000000_)"/>
    <numFmt numFmtId="171" formatCode="0.00000_)"/>
    <numFmt numFmtId="172" formatCode="0.0"/>
    <numFmt numFmtId="173" formatCode="0.000000000000000"/>
    <numFmt numFmtId="174" formatCode="_(* #,##0_);_(* \(#,##0\);_(* &quot;-&quot;??_);_(@_)"/>
    <numFmt numFmtId="175" formatCode="mmmm\ d\,\ yyyy"/>
    <numFmt numFmtId="176" formatCode="0.0000_)"/>
    <numFmt numFmtId="177" formatCode="0.000_)"/>
    <numFmt numFmtId="178" formatCode="0.00_)"/>
    <numFmt numFmtId="179" formatCode="0_)"/>
    <numFmt numFmtId="180" formatCode="0.000"/>
    <numFmt numFmtId="181" formatCode="_(* #,##0.000_);_(* \(#,##0.000\);_(* &quot;-&quot;??_);_(@_)"/>
    <numFmt numFmtId="182" formatCode="_(* #,##0.0_);_(* \(#,##0.0\);_(* &quot;-&quot;?_);_(@_)"/>
    <numFmt numFmtId="183" formatCode="0.0000"/>
    <numFmt numFmtId="184" formatCode="0.00000"/>
    <numFmt numFmtId="185" formatCode="#,##0.0_);\(#,##0.0\)"/>
    <numFmt numFmtId="186" formatCode="#,##0.0"/>
    <numFmt numFmtId="187" formatCode="0.000%"/>
    <numFmt numFmtId="188" formatCode="0.0000%"/>
    <numFmt numFmtId="189" formatCode="_(* #,##0.0000_);_(* \(#,##0.0000\);_(* &quot;-&quot;??_);_(@_)"/>
    <numFmt numFmtId="190" formatCode="_(* #,##0.00000_);_(* \(#,##0.00000\);_(* &quot;-&quot;??_);_(@_)"/>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00"/>
    <numFmt numFmtId="197" formatCode="#,##0.000_);\(#,##0.000\)"/>
    <numFmt numFmtId="198" formatCode="0_);\(0\)"/>
    <numFmt numFmtId="199" formatCode="[$-409]h:mm:ss\ AM/PM"/>
    <numFmt numFmtId="200" formatCode="0.00%"/>
  </numFmts>
  <fonts count="37">
    <font>
      <sz val="10"/>
      <name val="Arial"/>
      <family val="0"/>
    </font>
    <font>
      <sz val="8"/>
      <name val="Arial"/>
      <family val="0"/>
    </font>
    <font>
      <u val="single"/>
      <sz val="10"/>
      <color indexed="12"/>
      <name val="Arial"/>
      <family val="0"/>
    </font>
    <font>
      <u val="single"/>
      <sz val="10"/>
      <color indexed="36"/>
      <name val="Arial"/>
      <family val="0"/>
    </font>
    <font>
      <sz val="8"/>
      <name val="Tahoma"/>
      <family val="0"/>
    </font>
    <font>
      <b/>
      <sz val="8"/>
      <name val="Tahoma"/>
      <family val="0"/>
    </font>
    <font>
      <sz val="10"/>
      <name val="ARIAL"/>
      <family val="2"/>
    </font>
    <font>
      <b/>
      <sz val="14"/>
      <name val="Arial"/>
      <family val="2"/>
    </font>
    <font>
      <sz val="14"/>
      <name val="Arial"/>
      <family val="2"/>
    </font>
    <font>
      <b/>
      <sz val="12"/>
      <color indexed="8"/>
      <name val="Arial"/>
      <family val="2"/>
    </font>
    <font>
      <b/>
      <sz val="10"/>
      <color indexed="8"/>
      <name val="Arial"/>
      <family val="2"/>
    </font>
    <font>
      <sz val="10"/>
      <color indexed="8"/>
      <name val="Arial"/>
      <family val="2"/>
    </font>
    <font>
      <sz val="12"/>
      <name val="AGaramond"/>
      <family val="0"/>
    </font>
    <font>
      <sz val="10"/>
      <color indexed="10"/>
      <name val="ARIAL"/>
      <family val="2"/>
    </font>
    <font>
      <b/>
      <sz val="8"/>
      <color indexed="8"/>
      <name val="Tahoma"/>
      <family val="2"/>
    </font>
    <font>
      <sz val="8"/>
      <color indexed="8"/>
      <name val="Tahoma"/>
      <family val="0"/>
    </font>
    <font>
      <b/>
      <sz val="12"/>
      <name val="Arial"/>
      <family val="2"/>
    </font>
    <font>
      <b/>
      <sz val="10"/>
      <name val="Arial"/>
      <family val="2"/>
    </font>
    <font>
      <sz val="10"/>
      <color indexed="12"/>
      <name val="Arial"/>
      <family val="0"/>
    </font>
    <font>
      <sz val="10"/>
      <name val="AGaramond"/>
      <family val="0"/>
    </font>
    <font>
      <b/>
      <sz val="9"/>
      <name val="Arial"/>
      <family val="2"/>
    </font>
    <font>
      <b/>
      <vertAlign val="superscript"/>
      <sz val="9"/>
      <name val="Arial"/>
      <family val="2"/>
    </font>
    <font>
      <vertAlign val="superscript"/>
      <sz val="10"/>
      <name val="Arial"/>
      <family val="2"/>
    </font>
    <font>
      <vertAlign val="superscript"/>
      <sz val="8"/>
      <name val="Arial"/>
      <family val="2"/>
    </font>
    <font>
      <sz val="9"/>
      <name val="Arial"/>
      <family val="2"/>
    </font>
    <font>
      <vertAlign val="superscript"/>
      <sz val="9"/>
      <name val="Arial"/>
      <family val="2"/>
    </font>
    <font>
      <b/>
      <sz val="10"/>
      <color indexed="12"/>
      <name val="Arial"/>
      <family val="0"/>
    </font>
    <font>
      <sz val="10"/>
      <color indexed="10"/>
      <name val="Arial"/>
      <family val="0"/>
    </font>
    <font>
      <b/>
      <sz val="10"/>
      <color indexed="10"/>
      <name val="Arial"/>
      <family val="0"/>
    </font>
    <font>
      <b/>
      <sz val="10"/>
      <color indexed="12"/>
      <name val="AGaramond"/>
      <family val="0"/>
    </font>
    <font>
      <sz val="9"/>
      <name val="Tahoma"/>
      <family val="2"/>
    </font>
    <font>
      <b/>
      <sz val="8"/>
      <name val="Arial"/>
      <family val="0"/>
    </font>
    <font>
      <sz val="8"/>
      <color indexed="8"/>
      <name val="Arial"/>
      <family val="0"/>
    </font>
    <font>
      <b/>
      <sz val="8"/>
      <color indexed="10"/>
      <name val="Arial"/>
      <family val="0"/>
    </font>
    <font>
      <b/>
      <sz val="8"/>
      <color indexed="12"/>
      <name val="Arial"/>
      <family val="0"/>
    </font>
    <font>
      <sz val="8"/>
      <color indexed="12"/>
      <name val="Arial"/>
      <family val="0"/>
    </font>
    <font>
      <b/>
      <sz val="11"/>
      <name val="Tahoma"/>
      <family val="2"/>
    </font>
  </fonts>
  <fills count="13">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51"/>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s>
  <borders count="50">
    <border>
      <left/>
      <right/>
      <top/>
      <bottom/>
      <diagonal/>
    </border>
    <border>
      <left style="medium"/>
      <right style="medium"/>
      <top>
        <color indexed="63"/>
      </top>
      <bottom>
        <color indexed="63"/>
      </bottom>
    </border>
    <border>
      <left style="thin">
        <color indexed="8"/>
      </left>
      <right>
        <color indexed="63"/>
      </right>
      <top style="thin"/>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color indexed="8"/>
      </left>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color indexed="8"/>
      </left>
      <right style="thin">
        <color indexed="8"/>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style="medium"/>
      <right style="medium"/>
      <top style="thin">
        <color indexed="8"/>
      </top>
      <bottom>
        <color indexed="63"/>
      </bottom>
    </border>
    <border>
      <left style="medium"/>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style="thin">
        <color indexed="8"/>
      </left>
      <right>
        <color indexed="63"/>
      </right>
      <top style="thin"/>
      <bottom style="thin"/>
    </border>
    <border>
      <left style="thin"/>
      <right style="thin">
        <color indexed="8"/>
      </right>
      <top style="thin">
        <color indexed="8"/>
      </top>
      <bottom>
        <color indexed="63"/>
      </bottom>
    </border>
    <border>
      <left style="thin">
        <color indexed="8"/>
      </left>
      <right style="thin">
        <color indexed="8"/>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style="thin">
        <color indexed="8"/>
      </right>
      <top style="thin">
        <color indexed="8"/>
      </top>
      <bottom style="thin"/>
    </border>
    <border>
      <left style="thin"/>
      <right>
        <color indexed="63"/>
      </right>
      <top style="thin">
        <color indexed="8"/>
      </top>
      <bottom style="thin"/>
    </border>
    <border>
      <left>
        <color indexed="63"/>
      </left>
      <right style="medium"/>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bottom style="thin">
        <color indexed="8"/>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179" fontId="12" fillId="0" borderId="0">
      <alignment/>
      <protection/>
    </xf>
    <xf numFmtId="179" fontId="12" fillId="0" borderId="0">
      <alignment/>
      <protection/>
    </xf>
    <xf numFmtId="0" fontId="0" fillId="0" borderId="0">
      <alignment/>
      <protection/>
    </xf>
    <xf numFmtId="179" fontId="12" fillId="0" borderId="0">
      <alignment/>
      <protection/>
    </xf>
    <xf numFmtId="3" fontId="1" fillId="0" borderId="0">
      <alignment/>
      <protection/>
    </xf>
    <xf numFmtId="3" fontId="1" fillId="0" borderId="0">
      <alignment/>
      <protection/>
    </xf>
    <xf numFmtId="179" fontId="12" fillId="0" borderId="0">
      <alignment/>
      <protection/>
    </xf>
    <xf numFmtId="179" fontId="12" fillId="0" borderId="0">
      <alignment/>
      <protection/>
    </xf>
    <xf numFmtId="9" fontId="0" fillId="0" borderId="0" applyFont="0" applyFill="0" applyBorder="0" applyAlignment="0" applyProtection="0"/>
    <xf numFmtId="3" fontId="6" fillId="0" borderId="1" applyFont="0">
      <alignment/>
      <protection/>
    </xf>
    <xf numFmtId="179" fontId="17" fillId="0" borderId="2" applyNumberFormat="0" applyFont="0" applyBorder="0" applyAlignment="0">
      <protection/>
    </xf>
  </cellStyleXfs>
  <cellXfs count="429">
    <xf numFmtId="0" fontId="0" fillId="0" borderId="0" xfId="0"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8" fillId="0" borderId="0" xfId="0" applyFont="1" applyAlignment="1">
      <alignment horizontal="centerContinuous"/>
    </xf>
    <xf numFmtId="37" fontId="9" fillId="0" borderId="0" xfId="0" applyNumberFormat="1" applyFont="1" applyAlignment="1" applyProtection="1">
      <alignment horizontal="centerContinuous"/>
      <protection/>
    </xf>
    <xf numFmtId="0" fontId="6" fillId="0" borderId="0" xfId="0" applyFont="1" applyAlignment="1">
      <alignment horizontal="centerContinuous"/>
    </xf>
    <xf numFmtId="0" fontId="6" fillId="0" borderId="0" xfId="0" applyFont="1" applyAlignment="1">
      <alignment/>
    </xf>
    <xf numFmtId="0" fontId="6" fillId="0" borderId="3" xfId="0" applyFont="1" applyBorder="1" applyAlignment="1">
      <alignment/>
    </xf>
    <xf numFmtId="166" fontId="0" fillId="0" borderId="4" xfId="0" applyNumberFormat="1" applyBorder="1" applyAlignment="1">
      <alignment/>
    </xf>
    <xf numFmtId="166" fontId="0" fillId="0" borderId="7" xfId="0" applyNumberFormat="1" applyBorder="1" applyAlignment="1">
      <alignment/>
    </xf>
    <xf numFmtId="166" fontId="0" fillId="0" borderId="8" xfId="0" applyNumberFormat="1" applyBorder="1" applyAlignment="1">
      <alignment/>
    </xf>
    <xf numFmtId="166" fontId="0" fillId="0" borderId="6" xfId="0" applyNumberFormat="1" applyBorder="1" applyAlignment="1">
      <alignment/>
    </xf>
    <xf numFmtId="166" fontId="0" fillId="0" borderId="0" xfId="0" applyNumberFormat="1" applyAlignment="1">
      <alignment/>
    </xf>
    <xf numFmtId="166" fontId="0" fillId="0" borderId="9" xfId="0" applyNumberFormat="1" applyBorder="1" applyAlignment="1">
      <alignment/>
    </xf>
    <xf numFmtId="0" fontId="0" fillId="0" borderId="0" xfId="0" applyAlignment="1">
      <alignment horizontal="centerContinuous"/>
    </xf>
    <xf numFmtId="37" fontId="10" fillId="0" borderId="3" xfId="0" applyNumberFormat="1" applyFont="1" applyBorder="1" applyAlignment="1" applyProtection="1">
      <alignment/>
      <protection/>
    </xf>
    <xf numFmtId="37" fontId="10" fillId="0" borderId="10" xfId="0" applyNumberFormat="1" applyFont="1" applyBorder="1" applyAlignment="1" applyProtection="1">
      <alignment/>
      <protection/>
    </xf>
    <xf numFmtId="37" fontId="10" fillId="0" borderId="10" xfId="0" applyNumberFormat="1" applyFont="1" applyBorder="1" applyAlignment="1" applyProtection="1">
      <alignment horizontal="center"/>
      <protection/>
    </xf>
    <xf numFmtId="1" fontId="11" fillId="2" borderId="0" xfId="21" applyNumberFormat="1" applyFont="1" applyFill="1" applyBorder="1" applyAlignment="1">
      <alignment horizontal="right"/>
      <protection/>
    </xf>
    <xf numFmtId="1" fontId="11" fillId="3" borderId="0" xfId="21" applyNumberFormat="1" applyFont="1" applyFill="1" applyBorder="1" applyAlignment="1">
      <alignment horizontal="right"/>
      <protection/>
    </xf>
    <xf numFmtId="1" fontId="11" fillId="4" borderId="0" xfId="21" applyNumberFormat="1" applyFont="1" applyFill="1" applyBorder="1" applyAlignment="1">
      <alignment horizontal="right"/>
      <protection/>
    </xf>
    <xf numFmtId="1" fontId="11" fillId="5" borderId="0" xfId="21" applyNumberFormat="1" applyFont="1" applyFill="1" applyBorder="1" applyAlignment="1">
      <alignment horizontal="right"/>
      <protection/>
    </xf>
    <xf numFmtId="1" fontId="11" fillId="6" borderId="0" xfId="21" applyNumberFormat="1" applyFont="1" applyFill="1" applyBorder="1" applyAlignment="1">
      <alignment horizontal="right"/>
      <protection/>
    </xf>
    <xf numFmtId="1" fontId="11" fillId="2" borderId="0" xfId="22" applyNumberFormat="1" applyFont="1" applyFill="1" applyBorder="1" applyAlignment="1">
      <alignment horizontal="right"/>
      <protection/>
    </xf>
    <xf numFmtId="1" fontId="11" fillId="7" borderId="0" xfId="22" applyNumberFormat="1" applyFont="1" applyFill="1" applyBorder="1" applyAlignment="1">
      <alignment horizontal="right"/>
      <protection/>
    </xf>
    <xf numFmtId="174" fontId="6" fillId="0" borderId="0" xfId="15" applyNumberFormat="1" applyFont="1" applyFill="1" applyBorder="1" applyAlignment="1">
      <alignment/>
    </xf>
    <xf numFmtId="179" fontId="11" fillId="7" borderId="0" xfId="22" applyFont="1" applyFill="1" applyBorder="1" applyAlignment="1">
      <alignment horizontal="right"/>
      <protection/>
    </xf>
    <xf numFmtId="1" fontId="11" fillId="5" borderId="0" xfId="22" applyNumberFormat="1" applyFont="1" applyFill="1" applyBorder="1" applyAlignment="1">
      <alignment horizontal="right"/>
      <protection/>
    </xf>
    <xf numFmtId="1" fontId="11" fillId="6" borderId="0" xfId="22" applyNumberFormat="1" applyFont="1" applyFill="1" applyBorder="1" applyAlignment="1">
      <alignment horizontal="right"/>
      <protection/>
    </xf>
    <xf numFmtId="1" fontId="11" fillId="4" borderId="0" xfId="22" applyNumberFormat="1" applyFont="1" applyFill="1" applyBorder="1" applyAlignment="1">
      <alignment horizontal="right"/>
      <protection/>
    </xf>
    <xf numFmtId="1" fontId="11" fillId="3" borderId="0" xfId="22" applyNumberFormat="1" applyFont="1" applyFill="1" applyBorder="1" applyAlignment="1">
      <alignment horizontal="right"/>
      <protection/>
    </xf>
    <xf numFmtId="37" fontId="7" fillId="0" borderId="0" xfId="0" applyNumberFormat="1" applyFont="1" applyFill="1" applyAlignment="1" applyProtection="1">
      <alignment horizontal="centerContinuous"/>
      <protection/>
    </xf>
    <xf numFmtId="0" fontId="8" fillId="0" borderId="0" xfId="0" applyFont="1" applyFill="1" applyAlignment="1">
      <alignment horizontal="centerContinuous"/>
    </xf>
    <xf numFmtId="0" fontId="6" fillId="0" borderId="0" xfId="0" applyFont="1" applyFill="1" applyAlignment="1">
      <alignment horizontal="centerContinuous"/>
    </xf>
    <xf numFmtId="0" fontId="6" fillId="0" borderId="3" xfId="0" applyFont="1" applyFill="1" applyBorder="1" applyAlignment="1">
      <alignment/>
    </xf>
    <xf numFmtId="3" fontId="6" fillId="0" borderId="3" xfId="0" applyNumberFormat="1" applyFont="1" applyFill="1" applyBorder="1" applyAlignment="1">
      <alignment/>
    </xf>
    <xf numFmtId="0" fontId="6" fillId="0" borderId="3" xfId="0" applyFont="1" applyFill="1" applyBorder="1" applyAlignment="1">
      <alignment horizontal="left"/>
    </xf>
    <xf numFmtId="3" fontId="6" fillId="0" borderId="0" xfId="0" applyNumberFormat="1" applyFont="1" applyFill="1" applyBorder="1" applyAlignment="1">
      <alignment/>
    </xf>
    <xf numFmtId="0" fontId="6" fillId="0" borderId="0" xfId="0" applyFont="1" applyFill="1" applyAlignment="1">
      <alignment/>
    </xf>
    <xf numFmtId="164" fontId="6" fillId="0" borderId="0" xfId="15" applyNumberFormat="1" applyFont="1" applyFill="1" applyBorder="1" applyAlignment="1">
      <alignment horizontal="right"/>
    </xf>
    <xf numFmtId="0" fontId="6" fillId="0" borderId="0" xfId="0" applyFont="1" applyFill="1" applyBorder="1" applyAlignment="1">
      <alignment/>
    </xf>
    <xf numFmtId="0" fontId="6" fillId="0" borderId="11" xfId="0" applyFont="1" applyFill="1" applyBorder="1" applyAlignment="1">
      <alignment/>
    </xf>
    <xf numFmtId="37" fontId="16" fillId="0" borderId="0" xfId="0" applyNumberFormat="1" applyFont="1" applyFill="1" applyAlignment="1" applyProtection="1">
      <alignment horizontal="centerContinuous"/>
      <protection/>
    </xf>
    <xf numFmtId="37" fontId="17" fillId="0" borderId="0" xfId="0" applyNumberFormat="1" applyFont="1" applyFill="1" applyBorder="1" applyAlignment="1" applyProtection="1">
      <alignment/>
      <protection/>
    </xf>
    <xf numFmtId="0" fontId="6" fillId="0" borderId="10" xfId="0" applyFont="1" applyFill="1" applyBorder="1" applyAlignment="1">
      <alignment horizontal="centerContinuous"/>
    </xf>
    <xf numFmtId="0" fontId="6" fillId="0" borderId="0" xfId="0" applyFont="1" applyFill="1" applyBorder="1" applyAlignment="1">
      <alignment horizontal="centerContinuous"/>
    </xf>
    <xf numFmtId="0" fontId="6" fillId="0" borderId="12" xfId="0" applyFont="1" applyFill="1" applyBorder="1" applyAlignment="1">
      <alignment horizontal="centerContinuous"/>
    </xf>
    <xf numFmtId="0" fontId="6" fillId="0" borderId="13" xfId="0" applyFont="1" applyFill="1" applyBorder="1" applyAlignment="1">
      <alignment horizontal="center" wrapText="1"/>
    </xf>
    <xf numFmtId="0" fontId="6" fillId="0" borderId="0" xfId="0" applyFont="1" applyFill="1" applyAlignment="1">
      <alignment horizontal="left"/>
    </xf>
    <xf numFmtId="0" fontId="6" fillId="0" borderId="0" xfId="0" applyFont="1" applyFill="1" applyBorder="1" applyAlignment="1">
      <alignment horizontal="left"/>
    </xf>
    <xf numFmtId="0" fontId="8" fillId="0" borderId="0" xfId="0" applyFont="1" applyFill="1" applyBorder="1" applyAlignment="1">
      <alignment horizontal="centerContinuous"/>
    </xf>
    <xf numFmtId="0" fontId="6" fillId="0" borderId="10" xfId="0" applyFont="1" applyFill="1" applyBorder="1" applyAlignment="1">
      <alignment horizontal="center" wrapText="1"/>
    </xf>
    <xf numFmtId="172" fontId="6" fillId="0" borderId="0" xfId="0" applyNumberFormat="1" applyFont="1" applyFill="1" applyAlignment="1">
      <alignment/>
    </xf>
    <xf numFmtId="0" fontId="0" fillId="0" borderId="7" xfId="0" applyBorder="1" applyAlignment="1">
      <alignment/>
    </xf>
    <xf numFmtId="0" fontId="17" fillId="0" borderId="0" xfId="0" applyFont="1" applyAlignment="1">
      <alignment/>
    </xf>
    <xf numFmtId="0" fontId="17" fillId="0" borderId="4" xfId="0" applyFont="1" applyBorder="1" applyAlignment="1">
      <alignment/>
    </xf>
    <xf numFmtId="0" fontId="17" fillId="0" borderId="2" xfId="0" applyFont="1" applyBorder="1" applyAlignment="1">
      <alignment/>
    </xf>
    <xf numFmtId="0" fontId="0" fillId="0" borderId="2" xfId="0" applyBorder="1" applyAlignment="1">
      <alignment/>
    </xf>
    <xf numFmtId="0" fontId="0" fillId="0" borderId="0" xfId="0" applyBorder="1" applyAlignment="1">
      <alignment horizontal="centerContinuous"/>
    </xf>
    <xf numFmtId="0" fontId="17" fillId="0" borderId="14" xfId="0" applyFont="1" applyBorder="1" applyAlignment="1">
      <alignment/>
    </xf>
    <xf numFmtId="0" fontId="6" fillId="0" borderId="15" xfId="0" applyFont="1" applyFill="1" applyBorder="1" applyAlignment="1">
      <alignment horizontal="centerContinuous"/>
    </xf>
    <xf numFmtId="0" fontId="6" fillId="0" borderId="16" xfId="0" applyFont="1" applyFill="1" applyBorder="1" applyAlignment="1">
      <alignment horizontal="center" wrapText="1"/>
    </xf>
    <xf numFmtId="0" fontId="6" fillId="0" borderId="17" xfId="0" applyFont="1" applyFill="1" applyBorder="1" applyAlignment="1">
      <alignment horizontal="center" wrapText="1"/>
    </xf>
    <xf numFmtId="172" fontId="0" fillId="0" borderId="0" xfId="0" applyNumberFormat="1" applyBorder="1" applyAlignment="1">
      <alignment/>
    </xf>
    <xf numFmtId="174" fontId="8" fillId="0" borderId="0" xfId="15" applyNumberFormat="1" applyFont="1" applyFill="1" applyBorder="1" applyAlignment="1">
      <alignment horizontal="left"/>
    </xf>
    <xf numFmtId="174" fontId="8" fillId="0" borderId="0" xfId="15" applyNumberFormat="1" applyFont="1" applyFill="1" applyBorder="1" applyAlignment="1">
      <alignment horizontal="centerContinuous"/>
    </xf>
    <xf numFmtId="174" fontId="6" fillId="0" borderId="0" xfId="15" applyNumberFormat="1" applyFont="1" applyFill="1" applyBorder="1" applyAlignment="1">
      <alignment horizontal="left"/>
    </xf>
    <xf numFmtId="174" fontId="6" fillId="0" borderId="0" xfId="15" applyNumberFormat="1" applyFont="1" applyFill="1" applyBorder="1" applyAlignment="1">
      <alignment horizontal="centerContinuous"/>
    </xf>
    <xf numFmtId="3" fontId="6" fillId="0" borderId="0" xfId="0" applyNumberFormat="1" applyFont="1" applyFill="1" applyAlignment="1">
      <alignment/>
    </xf>
    <xf numFmtId="0" fontId="1" fillId="0" borderId="0" xfId="0" applyFont="1" applyAlignment="1">
      <alignment/>
    </xf>
    <xf numFmtId="0" fontId="1" fillId="0" borderId="0" xfId="0" applyFont="1" applyAlignment="1">
      <alignment/>
    </xf>
    <xf numFmtId="0" fontId="1" fillId="0" borderId="0" xfId="0" applyFont="1" applyFill="1" applyBorder="1" applyAlignment="1">
      <alignment/>
    </xf>
    <xf numFmtId="164" fontId="1" fillId="0" borderId="0" xfId="0" applyNumberFormat="1" applyFont="1" applyFill="1" applyAlignment="1">
      <alignment/>
    </xf>
    <xf numFmtId="0" fontId="1" fillId="0" borderId="0" xfId="0" applyFont="1" applyFill="1" applyAlignment="1">
      <alignment/>
    </xf>
    <xf numFmtId="0" fontId="1" fillId="0" borderId="0" xfId="0" applyFont="1" applyFill="1" applyAlignment="1">
      <alignment horizontal="centerContinuous"/>
    </xf>
    <xf numFmtId="174" fontId="1" fillId="0" borderId="0" xfId="15" applyNumberFormat="1" applyFont="1" applyFill="1" applyBorder="1" applyAlignment="1">
      <alignment horizontal="left"/>
    </xf>
    <xf numFmtId="174" fontId="1" fillId="0" borderId="0" xfId="15" applyNumberFormat="1" applyFont="1" applyFill="1" applyBorder="1" applyAlignment="1">
      <alignment/>
    </xf>
    <xf numFmtId="164" fontId="1" fillId="0" borderId="0" xfId="15" applyNumberFormat="1" applyFont="1" applyFill="1" applyBorder="1" applyAlignment="1">
      <alignment horizontal="right"/>
    </xf>
    <xf numFmtId="164" fontId="1" fillId="0" borderId="0" xfId="15" applyNumberFormat="1" applyFont="1" applyFill="1" applyBorder="1" applyAlignment="1">
      <alignment horizontal="right" indent="1"/>
    </xf>
    <xf numFmtId="172" fontId="1" fillId="0" borderId="0" xfId="0" applyNumberFormat="1" applyFont="1" applyFill="1" applyAlignment="1">
      <alignment/>
    </xf>
    <xf numFmtId="0" fontId="1" fillId="0" borderId="0" xfId="0" applyFont="1" applyFill="1" applyBorder="1" applyAlignment="1">
      <alignment horizontal="left"/>
    </xf>
    <xf numFmtId="0" fontId="1" fillId="0" borderId="0" xfId="0" applyFont="1" applyBorder="1" applyAlignment="1">
      <alignment/>
    </xf>
    <xf numFmtId="172" fontId="1" fillId="0" borderId="0" xfId="0" applyNumberFormat="1" applyFont="1" applyBorder="1" applyAlignment="1">
      <alignment/>
    </xf>
    <xf numFmtId="0" fontId="1" fillId="0" borderId="0" xfId="0" applyFont="1" applyBorder="1" applyAlignment="1">
      <alignment/>
    </xf>
    <xf numFmtId="0" fontId="1" fillId="0" borderId="0" xfId="0" applyFont="1" applyFill="1" applyBorder="1" applyAlignment="1">
      <alignment/>
    </xf>
    <xf numFmtId="37" fontId="10" fillId="0" borderId="0" xfId="0" applyNumberFormat="1" applyFont="1" applyAlignment="1" applyProtection="1">
      <alignment horizontal="centerContinuous"/>
      <protection/>
    </xf>
    <xf numFmtId="0" fontId="6" fillId="0" borderId="0" xfId="0" applyFont="1" applyBorder="1" applyAlignment="1">
      <alignment horizontal="centerContinuous"/>
    </xf>
    <xf numFmtId="37" fontId="17" fillId="0" borderId="0" xfId="0" applyNumberFormat="1" applyFont="1" applyFill="1" applyAlignment="1" applyProtection="1">
      <alignment horizontal="centerContinuous"/>
      <protection/>
    </xf>
    <xf numFmtId="0" fontId="17" fillId="0" borderId="10"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0" xfId="0" applyFont="1" applyAlignment="1">
      <alignment horizontal="center"/>
    </xf>
    <xf numFmtId="0" fontId="17" fillId="0" borderId="0" xfId="0" applyFont="1" applyBorder="1" applyAlignment="1">
      <alignment horizontal="center"/>
    </xf>
    <xf numFmtId="0" fontId="17" fillId="0" borderId="0" xfId="0" applyFont="1" applyBorder="1" applyAlignment="1">
      <alignment horizontal="centerContinuous"/>
    </xf>
    <xf numFmtId="37" fontId="20" fillId="0" borderId="0" xfId="0" applyNumberFormat="1" applyFont="1" applyFill="1" applyBorder="1" applyAlignment="1" applyProtection="1">
      <alignment/>
      <protection/>
    </xf>
    <xf numFmtId="0" fontId="20" fillId="0" borderId="10" xfId="0" applyFont="1" applyFill="1" applyBorder="1" applyAlignment="1">
      <alignment horizontal="centerContinuous"/>
    </xf>
    <xf numFmtId="0" fontId="20" fillId="0" borderId="0" xfId="0" applyFont="1" applyFill="1" applyBorder="1" applyAlignment="1">
      <alignment horizontal="centerContinuous"/>
    </xf>
    <xf numFmtId="174" fontId="20" fillId="0" borderId="0" xfId="15" applyNumberFormat="1" applyFont="1" applyFill="1" applyBorder="1" applyAlignment="1">
      <alignment horizontal="left"/>
    </xf>
    <xf numFmtId="174" fontId="20" fillId="0" borderId="0" xfId="15" applyNumberFormat="1" applyFont="1" applyFill="1" applyBorder="1" applyAlignment="1">
      <alignment horizontal="centerContinuous"/>
    </xf>
    <xf numFmtId="0" fontId="20" fillId="0" borderId="0" xfId="0" applyFont="1" applyFill="1" applyAlignment="1">
      <alignment/>
    </xf>
    <xf numFmtId="0" fontId="20" fillId="0" borderId="15" xfId="0" applyFont="1" applyFill="1" applyBorder="1" applyAlignment="1">
      <alignment horizontal="centerContinuous"/>
    </xf>
    <xf numFmtId="0" fontId="20" fillId="0" borderId="10" xfId="0" applyFont="1" applyFill="1" applyBorder="1" applyAlignment="1">
      <alignment horizontal="center" wrapText="1"/>
    </xf>
    <xf numFmtId="0" fontId="20" fillId="0" borderId="16" xfId="0" applyFont="1" applyFill="1" applyBorder="1" applyAlignment="1">
      <alignment horizontal="center" wrapText="1"/>
    </xf>
    <xf numFmtId="0" fontId="20" fillId="0" borderId="13" xfId="0" applyFont="1" applyFill="1" applyBorder="1" applyAlignment="1">
      <alignment horizontal="center" wrapText="1"/>
    </xf>
    <xf numFmtId="0" fontId="20" fillId="0" borderId="12" xfId="0" applyFont="1" applyFill="1" applyBorder="1" applyAlignment="1">
      <alignment horizontal="centerContinuous"/>
    </xf>
    <xf numFmtId="0" fontId="20" fillId="0" borderId="16" xfId="0" applyFont="1" applyFill="1" applyBorder="1" applyAlignment="1">
      <alignment horizontal="centerContinuous"/>
    </xf>
    <xf numFmtId="0" fontId="20" fillId="0" borderId="17" xfId="0" applyFont="1" applyFill="1" applyBorder="1" applyAlignment="1">
      <alignment horizontal="center" wrapText="1"/>
    </xf>
    <xf numFmtId="174" fontId="20" fillId="0" borderId="0" xfId="15" applyNumberFormat="1" applyFont="1" applyFill="1" applyBorder="1" applyAlignment="1">
      <alignment horizontal="right"/>
    </xf>
    <xf numFmtId="174" fontId="20" fillId="0" borderId="0" xfId="15" applyNumberFormat="1" applyFont="1" applyFill="1" applyBorder="1" applyAlignment="1">
      <alignment/>
    </xf>
    <xf numFmtId="3" fontId="20" fillId="0" borderId="0" xfId="0" applyNumberFormat="1" applyFont="1" applyFill="1" applyAlignment="1">
      <alignment/>
    </xf>
    <xf numFmtId="172" fontId="6" fillId="0" borderId="0" xfId="15" applyNumberFormat="1" applyFont="1" applyFill="1" applyBorder="1" applyAlignment="1">
      <alignment horizontal="right" indent="1"/>
    </xf>
    <xf numFmtId="172" fontId="6" fillId="0" borderId="3" xfId="15" applyNumberFormat="1" applyFont="1" applyFill="1" applyBorder="1" applyAlignment="1">
      <alignment horizontal="right"/>
    </xf>
    <xf numFmtId="172" fontId="6" fillId="0" borderId="0" xfId="15" applyNumberFormat="1" applyFont="1" applyFill="1" applyBorder="1" applyAlignment="1">
      <alignment horizontal="right"/>
    </xf>
    <xf numFmtId="172" fontId="6" fillId="0" borderId="18" xfId="15" applyNumberFormat="1" applyFont="1" applyFill="1" applyBorder="1" applyAlignment="1">
      <alignment horizontal="right"/>
    </xf>
    <xf numFmtId="172" fontId="6" fillId="0" borderId="19" xfId="15" applyNumberFormat="1" applyFont="1" applyFill="1" applyBorder="1" applyAlignment="1">
      <alignment horizontal="right"/>
    </xf>
    <xf numFmtId="172" fontId="0" fillId="0" borderId="0" xfId="0" applyNumberFormat="1" applyAlignment="1">
      <alignment horizontal="center"/>
    </xf>
    <xf numFmtId="172" fontId="0" fillId="0" borderId="20" xfId="0" applyNumberFormat="1" applyBorder="1" applyAlignment="1">
      <alignment horizontal="center"/>
    </xf>
    <xf numFmtId="172" fontId="0" fillId="0" borderId="21" xfId="0" applyNumberFormat="1" applyBorder="1" applyAlignment="1">
      <alignment horizontal="center"/>
    </xf>
    <xf numFmtId="1" fontId="0" fillId="0" borderId="0" xfId="0" applyNumberFormat="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172" fontId="0" fillId="0" borderId="3" xfId="0" applyNumberFormat="1" applyBorder="1" applyAlignment="1">
      <alignment horizontal="center"/>
    </xf>
    <xf numFmtId="1" fontId="0" fillId="0" borderId="3" xfId="0" applyNumberFormat="1" applyBorder="1" applyAlignment="1">
      <alignment horizontal="center"/>
    </xf>
    <xf numFmtId="172" fontId="0" fillId="0" borderId="17" xfId="0" applyNumberFormat="1" applyBorder="1" applyAlignment="1">
      <alignment horizontal="center"/>
    </xf>
    <xf numFmtId="1" fontId="0" fillId="0" borderId="19" xfId="0" applyNumberFormat="1" applyBorder="1" applyAlignment="1">
      <alignment horizontal="center"/>
    </xf>
    <xf numFmtId="172" fontId="0" fillId="0" borderId="19" xfId="0" applyNumberFormat="1" applyBorder="1" applyAlignment="1">
      <alignment horizontal="center"/>
    </xf>
    <xf numFmtId="172" fontId="6" fillId="0" borderId="0" xfId="15" applyNumberFormat="1" applyFont="1" applyFill="1" applyBorder="1" applyAlignment="1">
      <alignment/>
    </xf>
    <xf numFmtId="172" fontId="6" fillId="0" borderId="20" xfId="15" applyNumberFormat="1" applyFont="1" applyFill="1" applyBorder="1" applyAlignment="1">
      <alignment horizontal="right"/>
    </xf>
    <xf numFmtId="172" fontId="6" fillId="0" borderId="11" xfId="15" applyNumberFormat="1" applyFont="1" applyFill="1" applyBorder="1" applyAlignment="1">
      <alignment horizontal="right"/>
    </xf>
    <xf numFmtId="172" fontId="6" fillId="0" borderId="22" xfId="15" applyNumberFormat="1" applyFont="1" applyFill="1" applyBorder="1" applyAlignment="1">
      <alignment horizontal="right"/>
    </xf>
    <xf numFmtId="0" fontId="23" fillId="0" borderId="0" xfId="0" applyFont="1" applyFill="1" applyBorder="1" applyAlignment="1">
      <alignment/>
    </xf>
    <xf numFmtId="0" fontId="23" fillId="0" borderId="0" xfId="0" applyFont="1" applyFill="1" applyAlignment="1">
      <alignment/>
    </xf>
    <xf numFmtId="0" fontId="24" fillId="0" borderId="16" xfId="0" applyFont="1" applyFill="1" applyBorder="1" applyAlignment="1">
      <alignment horizontal="centerContinuous"/>
    </xf>
    <xf numFmtId="172" fontId="6" fillId="0" borderId="0" xfId="0" applyNumberFormat="1" applyFont="1" applyFill="1" applyBorder="1" applyAlignment="1">
      <alignment/>
    </xf>
    <xf numFmtId="49" fontId="1" fillId="0" borderId="0" xfId="0" applyNumberFormat="1" applyFont="1" applyBorder="1" applyAlignment="1">
      <alignment horizontal="right"/>
    </xf>
    <xf numFmtId="1" fontId="6" fillId="2" borderId="0" xfId="21" applyNumberFormat="1" applyFont="1" applyFill="1" applyBorder="1" applyAlignment="1">
      <alignment horizontal="right"/>
      <protection/>
    </xf>
    <xf numFmtId="0" fontId="6" fillId="7" borderId="0" xfId="0" applyNumberFormat="1" applyFont="1" applyFill="1" applyBorder="1" applyAlignment="1">
      <alignment horizontal="right"/>
    </xf>
    <xf numFmtId="1" fontId="6" fillId="8" borderId="0" xfId="22" applyNumberFormat="1" applyFont="1" applyFill="1" applyBorder="1" applyAlignment="1">
      <alignment horizontal="right"/>
      <protection/>
    </xf>
    <xf numFmtId="1" fontId="6" fillId="4" borderId="0" xfId="22" applyNumberFormat="1" applyFont="1" applyFill="1" applyBorder="1" applyAlignment="1">
      <alignment horizontal="right"/>
      <protection/>
    </xf>
    <xf numFmtId="1" fontId="11" fillId="9" borderId="0" xfId="22" applyNumberFormat="1" applyFont="1" applyFill="1" applyBorder="1" applyAlignment="1">
      <alignment horizontal="center"/>
      <protection/>
    </xf>
    <xf numFmtId="1" fontId="6" fillId="7" borderId="0" xfId="22" applyNumberFormat="1" applyFont="1" applyFill="1" applyBorder="1" applyAlignment="1">
      <alignment horizontal="right"/>
      <protection/>
    </xf>
    <xf numFmtId="179" fontId="11" fillId="4" borderId="0" xfId="27" applyFont="1" applyFill="1" applyBorder="1" applyAlignment="1" applyProtection="1">
      <alignment/>
      <protection/>
    </xf>
    <xf numFmtId="179" fontId="11" fillId="4" borderId="0" xfId="22" applyFont="1" applyFill="1" applyBorder="1" applyAlignment="1">
      <alignment horizontal="right"/>
      <protection/>
    </xf>
    <xf numFmtId="0" fontId="11" fillId="9" borderId="0" xfId="22" applyNumberFormat="1" applyFont="1" applyFill="1" applyBorder="1" applyAlignment="1">
      <alignment horizontal="right"/>
      <protection/>
    </xf>
    <xf numFmtId="1" fontId="11" fillId="9" borderId="0" xfId="22" applyNumberFormat="1" applyFont="1" applyFill="1" applyBorder="1" applyAlignment="1">
      <alignment horizontal="right"/>
      <protection/>
    </xf>
    <xf numFmtId="0" fontId="6" fillId="9" borderId="0" xfId="22" applyNumberFormat="1" applyFont="1" applyFill="1" applyBorder="1" applyAlignment="1">
      <alignment horizontal="right"/>
      <protection/>
    </xf>
    <xf numFmtId="179" fontId="11" fillId="2" borderId="0" xfId="21" applyFont="1" applyFill="1" applyBorder="1" applyAlignment="1">
      <alignment/>
      <protection/>
    </xf>
    <xf numFmtId="179" fontId="6" fillId="2" borderId="0" xfId="21" applyFont="1" applyFill="1" applyBorder="1" applyAlignment="1">
      <alignment/>
      <protection/>
    </xf>
    <xf numFmtId="3" fontId="6" fillId="2" borderId="0" xfId="25" applyFont="1" applyFill="1" applyBorder="1" applyAlignment="1" applyProtection="1">
      <alignment/>
      <protection/>
    </xf>
    <xf numFmtId="179" fontId="11" fillId="3" borderId="0" xfId="21" applyFont="1" applyFill="1" applyBorder="1" applyAlignment="1">
      <alignment/>
      <protection/>
    </xf>
    <xf numFmtId="179" fontId="11" fillId="7" borderId="0" xfId="21" applyFont="1" applyFill="1" applyBorder="1" applyAlignment="1">
      <alignment/>
      <protection/>
    </xf>
    <xf numFmtId="0" fontId="6" fillId="7" borderId="0" xfId="0" applyNumberFormat="1" applyFont="1" applyFill="1" applyBorder="1" applyAlignment="1">
      <alignment/>
    </xf>
    <xf numFmtId="179" fontId="11" fillId="5" borderId="0" xfId="21" applyFont="1" applyFill="1" applyBorder="1" applyAlignment="1">
      <alignment/>
      <protection/>
    </xf>
    <xf numFmtId="179" fontId="11" fillId="4" borderId="0" xfId="21" applyFont="1" applyFill="1" applyBorder="1" applyAlignment="1">
      <alignment/>
      <protection/>
    </xf>
    <xf numFmtId="179" fontId="11" fillId="6" borderId="0" xfId="21" applyFont="1" applyFill="1" applyBorder="1" applyAlignment="1">
      <alignment/>
      <protection/>
    </xf>
    <xf numFmtId="179" fontId="11" fillId="8" borderId="0" xfId="22" applyFont="1" applyFill="1" applyBorder="1" applyAlignment="1">
      <alignment/>
      <protection/>
    </xf>
    <xf numFmtId="179" fontId="6" fillId="8" borderId="0" xfId="22" applyFont="1" applyFill="1" applyBorder="1" applyAlignment="1">
      <alignment/>
      <protection/>
    </xf>
    <xf numFmtId="179" fontId="11" fillId="7" borderId="0" xfId="22" applyFont="1" applyFill="1" applyBorder="1" applyAlignment="1">
      <alignment/>
      <protection/>
    </xf>
    <xf numFmtId="179" fontId="6" fillId="4" borderId="0" xfId="22" applyFont="1" applyFill="1" applyBorder="1" applyAlignment="1">
      <alignment/>
      <protection/>
    </xf>
    <xf numFmtId="179" fontId="11" fillId="4" borderId="0" xfId="22" applyFont="1" applyFill="1" applyBorder="1" applyAlignment="1">
      <alignment/>
      <protection/>
    </xf>
    <xf numFmtId="179" fontId="11" fillId="5" borderId="0" xfId="22" applyFont="1" applyFill="1" applyBorder="1" applyAlignment="1">
      <alignment/>
      <protection/>
    </xf>
    <xf numFmtId="179" fontId="11" fillId="6" borderId="0" xfId="22" applyFont="1" applyFill="1" applyBorder="1" applyAlignment="1">
      <alignment/>
      <protection/>
    </xf>
    <xf numFmtId="179" fontId="11" fillId="9" borderId="0" xfId="22" applyFont="1" applyFill="1" applyBorder="1" applyAlignment="1">
      <alignment/>
      <protection/>
    </xf>
    <xf numFmtId="179" fontId="11" fillId="2" borderId="0" xfId="22" applyFont="1" applyFill="1" applyBorder="1" applyAlignment="1">
      <alignment/>
      <protection/>
    </xf>
    <xf numFmtId="179" fontId="6" fillId="7" borderId="0" xfId="22" applyFont="1" applyFill="1" applyBorder="1" applyAlignment="1">
      <alignment/>
      <protection/>
    </xf>
    <xf numFmtId="179" fontId="6" fillId="9" borderId="0" xfId="22" applyFont="1" applyFill="1" applyBorder="1" applyAlignment="1">
      <alignment/>
      <protection/>
    </xf>
    <xf numFmtId="1" fontId="6" fillId="9" borderId="0" xfId="22" applyNumberFormat="1" applyFont="1" applyFill="1" applyBorder="1" applyAlignment="1">
      <alignment horizontal="right"/>
      <protection/>
    </xf>
    <xf numFmtId="179" fontId="6" fillId="2" borderId="11" xfId="21" applyFont="1" applyFill="1" applyBorder="1" applyAlignment="1">
      <alignment/>
      <protection/>
    </xf>
    <xf numFmtId="1" fontId="6" fillId="2" borderId="11" xfId="21" applyNumberFormat="1" applyFont="1" applyFill="1" applyBorder="1" applyAlignment="1">
      <alignment horizontal="right"/>
      <protection/>
    </xf>
    <xf numFmtId="179" fontId="6" fillId="2" borderId="0" xfId="22" applyFont="1" applyFill="1" applyBorder="1" applyAlignment="1">
      <alignment/>
      <protection/>
    </xf>
    <xf numFmtId="1" fontId="6" fillId="2" borderId="0" xfId="22" applyNumberFormat="1" applyFont="1" applyFill="1" applyBorder="1" applyAlignment="1">
      <alignment horizontal="right"/>
      <protection/>
    </xf>
    <xf numFmtId="174" fontId="0" fillId="9" borderId="23" xfId="15" applyNumberFormat="1" applyFont="1" applyFill="1" applyBorder="1" applyAlignment="1">
      <alignment/>
    </xf>
    <xf numFmtId="174" fontId="0" fillId="3" borderId="23" xfId="15" applyNumberFormat="1" applyFont="1" applyFill="1" applyBorder="1" applyAlignment="1">
      <alignment/>
    </xf>
    <xf numFmtId="174" fontId="26" fillId="0" borderId="23" xfId="15" applyNumberFormat="1" applyFont="1" applyBorder="1" applyAlignment="1">
      <alignment/>
    </xf>
    <xf numFmtId="174" fontId="26" fillId="0" borderId="23" xfId="0" applyNumberFormat="1" applyFont="1" applyFill="1" applyBorder="1" applyAlignment="1">
      <alignment/>
    </xf>
    <xf numFmtId="174" fontId="0" fillId="9" borderId="9" xfId="15" applyNumberFormat="1" applyFont="1" applyFill="1" applyBorder="1" applyAlignment="1">
      <alignment/>
    </xf>
    <xf numFmtId="174" fontId="0" fillId="3" borderId="9" xfId="15" applyNumberFormat="1" applyFont="1" applyFill="1" applyBorder="1" applyAlignment="1">
      <alignment/>
    </xf>
    <xf numFmtId="174" fontId="26" fillId="0" borderId="9" xfId="15" applyNumberFormat="1" applyFont="1" applyBorder="1" applyAlignment="1">
      <alignment/>
    </xf>
    <xf numFmtId="174" fontId="26" fillId="0" borderId="9" xfId="15" applyNumberFormat="1" applyFont="1" applyBorder="1" applyAlignment="1">
      <alignment/>
    </xf>
    <xf numFmtId="174" fontId="0" fillId="3" borderId="9" xfId="15" applyNumberFormat="1" applyFont="1" applyFill="1" applyBorder="1" applyAlignment="1">
      <alignment horizontal="center"/>
    </xf>
    <xf numFmtId="174" fontId="26" fillId="0" borderId="9" xfId="15" applyNumberFormat="1" applyFont="1" applyBorder="1" applyAlignment="1">
      <alignment horizontal="center"/>
    </xf>
    <xf numFmtId="174" fontId="27" fillId="3" borderId="9" xfId="15" applyNumberFormat="1" applyFont="1" applyFill="1" applyBorder="1" applyAlignment="1">
      <alignment/>
    </xf>
    <xf numFmtId="174" fontId="17" fillId="0" borderId="9" xfId="15" applyNumberFormat="1" applyFont="1" applyBorder="1" applyAlignment="1">
      <alignment/>
    </xf>
    <xf numFmtId="3" fontId="0" fillId="3" borderId="9" xfId="15" applyNumberFormat="1" applyFont="1" applyFill="1" applyBorder="1" applyAlignment="1">
      <alignment/>
    </xf>
    <xf numFmtId="174" fontId="26" fillId="0" borderId="9" xfId="15" applyNumberFormat="1" applyFont="1" applyFill="1" applyBorder="1" applyAlignment="1">
      <alignment/>
    </xf>
    <xf numFmtId="174" fontId="28" fillId="0" borderId="9" xfId="15" applyNumberFormat="1" applyFont="1" applyBorder="1" applyAlignment="1">
      <alignment/>
    </xf>
    <xf numFmtId="174" fontId="6" fillId="3" borderId="9" xfId="15" applyNumberFormat="1" applyFont="1" applyFill="1" applyBorder="1" applyAlignment="1">
      <alignment/>
    </xf>
    <xf numFmtId="174" fontId="26" fillId="0" borderId="9" xfId="15" applyNumberFormat="1" applyFont="1" applyFill="1" applyBorder="1" applyAlignment="1">
      <alignment/>
    </xf>
    <xf numFmtId="174" fontId="26" fillId="0" borderId="9" xfId="15" applyNumberFormat="1" applyFont="1" applyBorder="1" applyAlignment="1">
      <alignment horizontal="centerContinuous"/>
    </xf>
    <xf numFmtId="174" fontId="0" fillId="3" borderId="9" xfId="15" applyNumberFormat="1" applyFont="1" applyFill="1" applyBorder="1" applyAlignment="1">
      <alignment horizontal="centerContinuous"/>
    </xf>
    <xf numFmtId="3" fontId="6" fillId="3" borderId="9" xfId="23" applyNumberFormat="1" applyFont="1" applyFill="1" applyBorder="1" applyAlignment="1">
      <alignment/>
      <protection/>
    </xf>
    <xf numFmtId="3" fontId="26" fillId="0" borderId="9" xfId="23" applyNumberFormat="1" applyFont="1" applyBorder="1" applyAlignment="1">
      <alignment/>
      <protection/>
    </xf>
    <xf numFmtId="174" fontId="26" fillId="10" borderId="9" xfId="15" applyNumberFormat="1" applyFont="1" applyFill="1" applyBorder="1" applyAlignment="1">
      <alignment/>
    </xf>
    <xf numFmtId="174" fontId="6" fillId="3" borderId="9" xfId="15" applyNumberFormat="1" applyFont="1" applyFill="1" applyBorder="1" applyAlignment="1">
      <alignment horizontal="center"/>
    </xf>
    <xf numFmtId="3" fontId="26" fillId="0" borderId="9" xfId="0" applyNumberFormat="1" applyFont="1" applyBorder="1" applyAlignment="1" applyProtection="1">
      <alignment horizontal="right"/>
      <protection locked="0"/>
    </xf>
    <xf numFmtId="0" fontId="26" fillId="0" borderId="9" xfId="0" applyFont="1" applyBorder="1" applyAlignment="1" applyProtection="1">
      <alignment/>
      <protection locked="0"/>
    </xf>
    <xf numFmtId="174" fontId="26" fillId="0" borderId="9" xfId="15" applyNumberFormat="1" applyFont="1" applyBorder="1" applyAlignment="1">
      <alignment horizontal="center"/>
    </xf>
    <xf numFmtId="3" fontId="26" fillId="0" borderId="9" xfId="15" applyNumberFormat="1" applyFont="1" applyBorder="1" applyAlignment="1">
      <alignment horizontal="right"/>
    </xf>
    <xf numFmtId="174" fontId="19" fillId="3" borderId="9" xfId="15" applyNumberFormat="1" applyFont="1" applyFill="1" applyBorder="1" applyAlignment="1">
      <alignment/>
    </xf>
    <xf numFmtId="174" fontId="29" fillId="0" borderId="9" xfId="15" applyNumberFormat="1" applyFont="1" applyBorder="1" applyAlignment="1">
      <alignment/>
    </xf>
    <xf numFmtId="179" fontId="6" fillId="2" borderId="24" xfId="21" applyFont="1" applyFill="1" applyBorder="1" applyAlignment="1">
      <alignment horizontal="center"/>
      <protection/>
    </xf>
    <xf numFmtId="179" fontId="6" fillId="2" borderId="25" xfId="21" applyFont="1" applyFill="1" applyBorder="1" applyAlignment="1">
      <alignment horizontal="center"/>
      <protection/>
    </xf>
    <xf numFmtId="179" fontId="11" fillId="3" borderId="25" xfId="21" applyFont="1" applyFill="1" applyBorder="1" applyAlignment="1">
      <alignment horizontal="center"/>
      <protection/>
    </xf>
    <xf numFmtId="179" fontId="6" fillId="7" borderId="25" xfId="21" applyFont="1" applyFill="1" applyBorder="1" applyAlignment="1">
      <alignment horizontal="center"/>
      <protection/>
    </xf>
    <xf numFmtId="179" fontId="11" fillId="4" borderId="25" xfId="21" applyFont="1" applyFill="1" applyBorder="1" applyAlignment="1">
      <alignment horizontal="center"/>
      <protection/>
    </xf>
    <xf numFmtId="179" fontId="11" fillId="5" borderId="25" xfId="21" applyFont="1" applyFill="1" applyBorder="1" applyAlignment="1">
      <alignment horizontal="center"/>
      <protection/>
    </xf>
    <xf numFmtId="179" fontId="11" fillId="6" borderId="25" xfId="21" applyFont="1" applyFill="1" applyBorder="1" applyAlignment="1">
      <alignment horizontal="center"/>
      <protection/>
    </xf>
    <xf numFmtId="179" fontId="11" fillId="2" borderId="25" xfId="21" applyFont="1" applyFill="1" applyBorder="1" applyAlignment="1">
      <alignment horizontal="center"/>
      <protection/>
    </xf>
    <xf numFmtId="179" fontId="6" fillId="8" borderId="25" xfId="21" applyFont="1" applyFill="1" applyBorder="1" applyAlignment="1">
      <alignment horizontal="center"/>
      <protection/>
    </xf>
    <xf numFmtId="179" fontId="11" fillId="7" borderId="25" xfId="21" applyFont="1" applyFill="1" applyBorder="1" applyAlignment="1">
      <alignment horizontal="center"/>
      <protection/>
    </xf>
    <xf numFmtId="179" fontId="6" fillId="4" borderId="25" xfId="21" applyFont="1" applyFill="1" applyBorder="1" applyAlignment="1">
      <alignment horizontal="center"/>
      <protection/>
    </xf>
    <xf numFmtId="179" fontId="11" fillId="9" borderId="25" xfId="21" applyFont="1" applyFill="1" applyBorder="1" applyAlignment="1">
      <alignment horizontal="center"/>
      <protection/>
    </xf>
    <xf numFmtId="179" fontId="6" fillId="9" borderId="25" xfId="21" applyFont="1" applyFill="1" applyBorder="1" applyAlignment="1">
      <alignment horizontal="center"/>
      <protection/>
    </xf>
    <xf numFmtId="0" fontId="0" fillId="0" borderId="0" xfId="0" applyFont="1" applyFill="1" applyBorder="1" applyAlignment="1">
      <alignment/>
    </xf>
    <xf numFmtId="0" fontId="6" fillId="11" borderId="10" xfId="0" applyFont="1" applyFill="1" applyBorder="1" applyAlignment="1">
      <alignment/>
    </xf>
    <xf numFmtId="0" fontId="6" fillId="11" borderId="10" xfId="0" applyFont="1" applyFill="1" applyBorder="1" applyAlignment="1">
      <alignment wrapText="1"/>
    </xf>
    <xf numFmtId="0" fontId="6" fillId="11" borderId="13" xfId="0" applyFont="1" applyFill="1" applyBorder="1" applyAlignment="1">
      <alignment horizontal="center" wrapText="1"/>
    </xf>
    <xf numFmtId="0" fontId="6" fillId="11" borderId="13" xfId="0" applyFont="1" applyFill="1" applyBorder="1" applyAlignment="1">
      <alignment/>
    </xf>
    <xf numFmtId="0" fontId="26" fillId="0" borderId="0" xfId="0" applyFont="1" applyFill="1" applyBorder="1" applyAlignment="1">
      <alignment/>
    </xf>
    <xf numFmtId="0" fontId="18" fillId="0" borderId="0" xfId="0" applyFont="1" applyFill="1" applyBorder="1" applyAlignment="1">
      <alignment/>
    </xf>
    <xf numFmtId="0" fontId="0" fillId="0" borderId="0" xfId="23" applyFont="1" applyFill="1" applyBorder="1" applyAlignment="1">
      <alignment/>
      <protection/>
    </xf>
    <xf numFmtId="0" fontId="13" fillId="0" borderId="0" xfId="23" applyFont="1" applyFill="1" applyBorder="1" applyAlignment="1">
      <alignment/>
      <protection/>
    </xf>
    <xf numFmtId="0" fontId="0" fillId="3" borderId="23" xfId="23" applyFont="1" applyFill="1" applyBorder="1" applyAlignment="1">
      <alignment/>
      <protection/>
    </xf>
    <xf numFmtId="0" fontId="18" fillId="3" borderId="23" xfId="0" applyFont="1" applyFill="1" applyBorder="1" applyAlignment="1">
      <alignment/>
    </xf>
    <xf numFmtId="0" fontId="26" fillId="0" borderId="9" xfId="15" applyNumberFormat="1" applyFont="1" applyBorder="1" applyAlignment="1">
      <alignment horizontal="right"/>
    </xf>
    <xf numFmtId="3" fontId="17" fillId="0" borderId="9" xfId="0" applyNumberFormat="1" applyFont="1" applyBorder="1" applyAlignment="1">
      <alignment/>
    </xf>
    <xf numFmtId="0" fontId="26" fillId="0" borderId="9" xfId="0" applyFont="1" applyBorder="1" applyAlignment="1">
      <alignment/>
    </xf>
    <xf numFmtId="0" fontId="17" fillId="0" borderId="9" xfId="0" applyFont="1" applyBorder="1" applyAlignment="1">
      <alignment/>
    </xf>
    <xf numFmtId="0" fontId="17" fillId="0" borderId="9" xfId="23" applyFont="1" applyFill="1" applyBorder="1" applyAlignment="1">
      <alignment/>
      <protection/>
    </xf>
    <xf numFmtId="174" fontId="26" fillId="0" borderId="9" xfId="15" applyNumberFormat="1" applyFont="1" applyFill="1" applyBorder="1" applyAlignment="1">
      <alignment horizontal="centerContinuous"/>
    </xf>
    <xf numFmtId="174" fontId="17" fillId="0" borderId="9" xfId="15" applyNumberFormat="1" applyFont="1" applyFill="1" applyBorder="1" applyAlignment="1">
      <alignment horizontal="center"/>
    </xf>
    <xf numFmtId="0" fontId="17" fillId="0" borderId="23" xfId="23" applyFont="1" applyFill="1" applyBorder="1" applyAlignment="1">
      <alignment/>
      <protection/>
    </xf>
    <xf numFmtId="179" fontId="11" fillId="3" borderId="0" xfId="22" applyFont="1" applyFill="1" applyBorder="1">
      <alignment/>
      <protection/>
    </xf>
    <xf numFmtId="179" fontId="11" fillId="3" borderId="0" xfId="21" applyFont="1" applyFill="1" applyBorder="1" applyAlignment="1">
      <alignment horizontal="center"/>
      <protection/>
    </xf>
    <xf numFmtId="174" fontId="0" fillId="3" borderId="20" xfId="15" applyNumberFormat="1" applyFont="1" applyFill="1" applyBorder="1" applyAlignment="1">
      <alignment/>
    </xf>
    <xf numFmtId="174" fontId="26" fillId="0" borderId="20" xfId="15" applyNumberFormat="1" applyFont="1" applyBorder="1" applyAlignment="1">
      <alignment/>
    </xf>
    <xf numFmtId="0" fontId="0" fillId="0" borderId="0" xfId="23" applyFont="1" applyFill="1" applyBorder="1">
      <alignment/>
      <protection/>
    </xf>
    <xf numFmtId="179" fontId="18" fillId="3" borderId="0" xfId="22" applyFont="1" applyFill="1" applyBorder="1">
      <alignment/>
      <protection/>
    </xf>
    <xf numFmtId="179" fontId="18" fillId="3" borderId="0" xfId="22" applyFont="1" applyFill="1" applyBorder="1" applyAlignment="1">
      <alignment horizontal="left"/>
      <protection/>
    </xf>
    <xf numFmtId="1" fontId="18" fillId="3" borderId="0" xfId="22" applyNumberFormat="1" applyFont="1" applyFill="1" applyBorder="1" applyAlignment="1">
      <alignment horizontal="center"/>
      <protection/>
    </xf>
    <xf numFmtId="179" fontId="18" fillId="3" borderId="0" xfId="21" applyFont="1" applyFill="1" applyBorder="1" applyAlignment="1">
      <alignment horizontal="center"/>
      <protection/>
    </xf>
    <xf numFmtId="174" fontId="18" fillId="3" borderId="20" xfId="15" applyNumberFormat="1" applyFont="1" applyFill="1" applyBorder="1" applyAlignment="1">
      <alignment/>
    </xf>
    <xf numFmtId="174" fontId="26" fillId="0" borderId="20" xfId="15" applyNumberFormat="1" applyFont="1" applyBorder="1" applyAlignment="1">
      <alignment/>
    </xf>
    <xf numFmtId="0" fontId="18" fillId="0" borderId="0" xfId="23" applyFont="1" applyFill="1" applyBorder="1">
      <alignment/>
      <protection/>
    </xf>
    <xf numFmtId="1" fontId="18" fillId="3" borderId="0" xfId="25" applyNumberFormat="1" applyFont="1" applyFill="1" applyBorder="1" applyAlignment="1">
      <alignment horizontal="center"/>
      <protection/>
    </xf>
    <xf numFmtId="179" fontId="18" fillId="3" borderId="0" xfId="24" applyFont="1" applyFill="1" applyBorder="1">
      <alignment/>
      <protection/>
    </xf>
    <xf numFmtId="3" fontId="18" fillId="3" borderId="0" xfId="25" applyFont="1" applyFill="1" applyBorder="1">
      <alignment/>
      <protection/>
    </xf>
    <xf numFmtId="179" fontId="18" fillId="3" borderId="0" xfId="24" applyFont="1" applyFill="1" applyBorder="1" applyAlignment="1">
      <alignment horizontal="center"/>
      <protection/>
    </xf>
    <xf numFmtId="179" fontId="18" fillId="12" borderId="0" xfId="28" applyNumberFormat="1" applyFont="1" applyFill="1" applyBorder="1" applyAlignment="1" applyProtection="1">
      <alignment horizontal="center"/>
      <protection/>
    </xf>
    <xf numFmtId="3" fontId="18" fillId="3" borderId="0" xfId="25" applyFont="1" applyFill="1" applyBorder="1" applyAlignment="1">
      <alignment horizontal="left"/>
      <protection/>
    </xf>
    <xf numFmtId="179" fontId="6" fillId="3" borderId="0" xfId="22" applyFont="1" applyFill="1" applyBorder="1" applyAlignment="1">
      <alignment horizontal="left"/>
      <protection/>
    </xf>
    <xf numFmtId="0" fontId="6" fillId="11" borderId="12" xfId="0" applyFont="1" applyFill="1" applyBorder="1" applyAlignment="1">
      <alignment horizontal="center" wrapText="1"/>
    </xf>
    <xf numFmtId="174" fontId="26" fillId="0" borderId="2" xfId="0" applyNumberFormat="1" applyFont="1" applyFill="1" applyBorder="1" applyAlignment="1">
      <alignment/>
    </xf>
    <xf numFmtId="174" fontId="26" fillId="0" borderId="6" xfId="15" applyNumberFormat="1" applyFont="1" applyBorder="1" applyAlignment="1">
      <alignment/>
    </xf>
    <xf numFmtId="174" fontId="17" fillId="0" borderId="6" xfId="15" applyNumberFormat="1" applyFont="1" applyFill="1" applyBorder="1" applyAlignment="1">
      <alignment horizontal="center"/>
    </xf>
    <xf numFmtId="174" fontId="26" fillId="0" borderId="6" xfId="15" applyNumberFormat="1" applyFont="1" applyBorder="1" applyAlignment="1">
      <alignment horizontal="center"/>
    </xf>
    <xf numFmtId="174" fontId="26" fillId="0" borderId="21" xfId="15" applyNumberFormat="1" applyFont="1" applyBorder="1" applyAlignment="1">
      <alignment/>
    </xf>
    <xf numFmtId="174" fontId="26" fillId="0" borderId="21" xfId="15" applyNumberFormat="1" applyFont="1" applyBorder="1" applyAlignment="1">
      <alignment/>
    </xf>
    <xf numFmtId="174" fontId="26" fillId="0" borderId="6" xfId="15" applyNumberFormat="1" applyFont="1" applyFill="1" applyBorder="1" applyAlignment="1">
      <alignment/>
    </xf>
    <xf numFmtId="174" fontId="26" fillId="0" borderId="6" xfId="15" applyNumberFormat="1" applyFont="1" applyBorder="1" applyAlignment="1">
      <alignment/>
    </xf>
    <xf numFmtId="174" fontId="26" fillId="0" borderId="6" xfId="15" applyNumberFormat="1" applyFont="1" applyBorder="1" applyAlignment="1">
      <alignment horizontal="centerContinuous"/>
    </xf>
    <xf numFmtId="3" fontId="26" fillId="0" borderId="6" xfId="23" applyNumberFormat="1" applyFont="1" applyBorder="1" applyAlignment="1">
      <alignment/>
      <protection/>
    </xf>
    <xf numFmtId="0" fontId="26" fillId="0" borderId="6" xfId="0" applyFont="1" applyBorder="1" applyAlignment="1" applyProtection="1">
      <alignment/>
      <protection locked="0"/>
    </xf>
    <xf numFmtId="174" fontId="26" fillId="0" borderId="6" xfId="15" applyNumberFormat="1" applyFont="1" applyBorder="1" applyAlignment="1">
      <alignment horizontal="center"/>
    </xf>
    <xf numFmtId="174" fontId="29" fillId="0" borderId="6" xfId="15" applyNumberFormat="1" applyFont="1" applyBorder="1" applyAlignment="1">
      <alignment/>
    </xf>
    <xf numFmtId="166" fontId="0" fillId="0" borderId="0" xfId="0" applyNumberFormat="1" applyBorder="1" applyAlignment="1">
      <alignment/>
    </xf>
    <xf numFmtId="174" fontId="26" fillId="10" borderId="23" xfId="15" applyNumberFormat="1" applyFont="1" applyFill="1" applyBorder="1" applyAlignment="1">
      <alignment/>
    </xf>
    <xf numFmtId="0" fontId="0" fillId="0" borderId="8" xfId="0" applyBorder="1" applyAlignment="1">
      <alignment/>
    </xf>
    <xf numFmtId="0" fontId="0" fillId="0" borderId="23" xfId="0" applyBorder="1" applyAlignment="1">
      <alignment/>
    </xf>
    <xf numFmtId="0" fontId="1" fillId="0" borderId="0" xfId="23" applyFont="1" applyFill="1" applyBorder="1" applyAlignment="1">
      <alignment horizontal="left"/>
      <protection/>
    </xf>
    <xf numFmtId="0" fontId="1" fillId="0" borderId="18" xfId="23" applyFont="1" applyFill="1" applyBorder="1" applyAlignment="1">
      <alignment horizontal="left"/>
      <protection/>
    </xf>
    <xf numFmtId="0" fontId="31" fillId="0" borderId="12" xfId="23" applyFont="1" applyFill="1" applyBorder="1" applyAlignment="1">
      <alignment horizontal="left"/>
      <protection/>
    </xf>
    <xf numFmtId="0" fontId="1" fillId="0" borderId="10" xfId="23" applyFont="1" applyFill="1" applyBorder="1" applyAlignment="1">
      <alignment horizontal="left"/>
      <protection/>
    </xf>
    <xf numFmtId="0" fontId="1" fillId="0" borderId="0" xfId="0" applyFont="1" applyFill="1" applyBorder="1" applyAlignment="1">
      <alignment/>
    </xf>
    <xf numFmtId="3" fontId="32" fillId="0" borderId="0" xfId="26" applyFont="1" applyFill="1" applyBorder="1" applyProtection="1">
      <alignment/>
      <protection/>
    </xf>
    <xf numFmtId="1" fontId="32" fillId="0" borderId="0" xfId="26" applyNumberFormat="1" applyFont="1" applyFill="1" applyBorder="1" applyAlignment="1" applyProtection="1">
      <alignment horizontal="center"/>
      <protection/>
    </xf>
    <xf numFmtId="0" fontId="1" fillId="0" borderId="0" xfId="0" applyFont="1" applyBorder="1" applyAlignment="1">
      <alignment/>
    </xf>
    <xf numFmtId="3" fontId="33" fillId="10" borderId="20" xfId="0" applyNumberFormat="1" applyFont="1" applyFill="1" applyBorder="1" applyAlignment="1">
      <alignment horizontal="left"/>
    </xf>
    <xf numFmtId="0" fontId="1" fillId="3" borderId="20" xfId="0" applyFont="1" applyFill="1" applyBorder="1" applyAlignment="1">
      <alignment/>
    </xf>
    <xf numFmtId="0" fontId="34" fillId="0" borderId="20" xfId="0" applyFont="1" applyBorder="1" applyAlignment="1">
      <alignment/>
    </xf>
    <xf numFmtId="0" fontId="1" fillId="9" borderId="20" xfId="0" applyFont="1" applyFill="1" applyBorder="1" applyAlignment="1">
      <alignment/>
    </xf>
    <xf numFmtId="0" fontId="34" fillId="10" borderId="20" xfId="0" applyFont="1" applyFill="1" applyBorder="1" applyAlignment="1">
      <alignment/>
    </xf>
    <xf numFmtId="0" fontId="34" fillId="0" borderId="21" xfId="0" applyFont="1" applyBorder="1" applyAlignment="1">
      <alignment/>
    </xf>
    <xf numFmtId="0" fontId="1" fillId="0" borderId="3" xfId="0" applyFont="1" applyBorder="1" applyAlignment="1">
      <alignment/>
    </xf>
    <xf numFmtId="0" fontId="1" fillId="0" borderId="3" xfId="0" applyFont="1" applyFill="1" applyBorder="1" applyAlignment="1">
      <alignment wrapText="1"/>
    </xf>
    <xf numFmtId="0" fontId="1" fillId="0" borderId="3" xfId="0" applyFont="1" applyFill="1" applyBorder="1" applyAlignment="1">
      <alignment horizontal="center" wrapText="1"/>
    </xf>
    <xf numFmtId="0" fontId="17" fillId="0" borderId="6" xfId="0" applyFont="1" applyBorder="1" applyAlignment="1">
      <alignment horizontal="right"/>
    </xf>
    <xf numFmtId="0" fontId="17" fillId="0" borderId="14" xfId="0" applyFont="1" applyBorder="1" applyAlignment="1">
      <alignment horizontal="right"/>
    </xf>
    <xf numFmtId="166" fontId="0" fillId="0" borderId="26" xfId="0" applyNumberFormat="1" applyBorder="1" applyAlignment="1">
      <alignment/>
    </xf>
    <xf numFmtId="166" fontId="0" fillId="0" borderId="1" xfId="0" applyNumberFormat="1" applyBorder="1" applyAlignment="1">
      <alignment/>
    </xf>
    <xf numFmtId="10" fontId="0" fillId="0" borderId="6" xfId="0" applyNumberFormat="1" applyBorder="1" applyAlignment="1">
      <alignment/>
    </xf>
    <xf numFmtId="187" fontId="0" fillId="0" borderId="6" xfId="0" applyNumberFormat="1" applyBorder="1" applyAlignment="1">
      <alignment/>
    </xf>
    <xf numFmtId="166" fontId="0" fillId="0" borderId="27" xfId="0" applyNumberFormat="1" applyBorder="1" applyAlignment="1">
      <alignment/>
    </xf>
    <xf numFmtId="166" fontId="0" fillId="0" borderId="28" xfId="0" applyNumberFormat="1" applyBorder="1" applyAlignment="1">
      <alignment/>
    </xf>
    <xf numFmtId="10" fontId="0" fillId="0" borderId="0" xfId="0" applyNumberFormat="1" applyAlignment="1">
      <alignment/>
    </xf>
    <xf numFmtId="187" fontId="0" fillId="0" borderId="0" xfId="0" applyNumberFormat="1" applyAlignment="1">
      <alignment/>
    </xf>
    <xf numFmtId="166" fontId="0" fillId="0" borderId="29" xfId="0" applyNumberFormat="1" applyBorder="1" applyAlignment="1">
      <alignment/>
    </xf>
    <xf numFmtId="166" fontId="0" fillId="0" borderId="30" xfId="0" applyNumberFormat="1" applyBorder="1" applyAlignment="1">
      <alignment/>
    </xf>
    <xf numFmtId="0" fontId="0" fillId="0" borderId="31" xfId="0" applyBorder="1" applyAlignment="1">
      <alignment/>
    </xf>
    <xf numFmtId="179" fontId="6" fillId="3" borderId="0" xfId="22" applyFont="1" applyFill="1" applyBorder="1">
      <alignment/>
      <protection/>
    </xf>
    <xf numFmtId="179" fontId="6" fillId="5" borderId="0" xfId="21" applyFont="1" applyFill="1" applyBorder="1" applyAlignment="1">
      <alignment/>
      <protection/>
    </xf>
    <xf numFmtId="1" fontId="6" fillId="5" borderId="0" xfId="21" applyNumberFormat="1" applyFont="1" applyFill="1" applyBorder="1" applyAlignment="1">
      <alignment horizontal="right"/>
      <protection/>
    </xf>
    <xf numFmtId="174" fontId="0" fillId="5" borderId="9" xfId="15" applyNumberFormat="1" applyFont="1" applyFill="1" applyBorder="1" applyAlignment="1">
      <alignment/>
    </xf>
    <xf numFmtId="174" fontId="26" fillId="5" borderId="9" xfId="15" applyNumberFormat="1" applyFont="1" applyFill="1" applyBorder="1" applyAlignment="1">
      <alignment/>
    </xf>
    <xf numFmtId="174" fontId="26" fillId="5" borderId="6" xfId="15" applyNumberFormat="1" applyFont="1" applyFill="1" applyBorder="1" applyAlignment="1">
      <alignment/>
    </xf>
    <xf numFmtId="0" fontId="0" fillId="5" borderId="0" xfId="23" applyFont="1" applyFill="1" applyBorder="1" applyAlignment="1">
      <alignment/>
      <protection/>
    </xf>
    <xf numFmtId="174" fontId="28" fillId="5" borderId="9" xfId="15" applyNumberFormat="1" applyFont="1" applyFill="1" applyBorder="1" applyAlignment="1">
      <alignment/>
    </xf>
    <xf numFmtId="166" fontId="0" fillId="7" borderId="26" xfId="0" applyNumberFormat="1" applyFill="1" applyBorder="1" applyAlignment="1">
      <alignment/>
    </xf>
    <xf numFmtId="166" fontId="0" fillId="7" borderId="1" xfId="0" applyNumberFormat="1" applyFill="1" applyBorder="1" applyAlignment="1">
      <alignment/>
    </xf>
    <xf numFmtId="172" fontId="6" fillId="0" borderId="0" xfId="29" applyNumberFormat="1" applyFont="1" applyFill="1" applyBorder="1" applyAlignment="1">
      <alignment horizontal="right"/>
    </xf>
    <xf numFmtId="172" fontId="6" fillId="0" borderId="32" xfId="29" applyNumberFormat="1" applyFont="1" applyFill="1" applyBorder="1" applyAlignment="1">
      <alignment horizontal="right"/>
    </xf>
    <xf numFmtId="172" fontId="6" fillId="0" borderId="18" xfId="29" applyNumberFormat="1" applyFont="1" applyFill="1" applyBorder="1" applyAlignment="1">
      <alignment horizontal="right"/>
    </xf>
    <xf numFmtId="2" fontId="6" fillId="0" borderId="0" xfId="29" applyNumberFormat="1" applyFont="1" applyFill="1" applyBorder="1" applyAlignment="1">
      <alignment horizontal="right"/>
    </xf>
    <xf numFmtId="172" fontId="6" fillId="0" borderId="3" xfId="29" applyNumberFormat="1" applyFont="1" applyFill="1" applyBorder="1" applyAlignment="1">
      <alignment horizontal="right"/>
    </xf>
    <xf numFmtId="172" fontId="6" fillId="0" borderId="19" xfId="29" applyNumberFormat="1" applyFont="1" applyFill="1" applyBorder="1" applyAlignment="1">
      <alignment horizontal="right"/>
    </xf>
    <xf numFmtId="2" fontId="6" fillId="0" borderId="18" xfId="29" applyNumberFormat="1" applyFont="1" applyFill="1" applyBorder="1" applyAlignment="1">
      <alignment horizontal="right"/>
    </xf>
    <xf numFmtId="180" fontId="6" fillId="0" borderId="18" xfId="29" applyNumberFormat="1" applyFont="1" applyFill="1" applyBorder="1" applyAlignment="1">
      <alignment horizontal="right"/>
    </xf>
    <xf numFmtId="180" fontId="6" fillId="0" borderId="0" xfId="29" applyNumberFormat="1" applyFont="1" applyFill="1" applyBorder="1" applyAlignment="1">
      <alignment horizontal="right"/>
    </xf>
    <xf numFmtId="0" fontId="6" fillId="0" borderId="11" xfId="0" applyFont="1" applyFill="1" applyBorder="1" applyAlignment="1">
      <alignment horizontal="left"/>
    </xf>
    <xf numFmtId="2" fontId="6" fillId="0" borderId="19" xfId="29" applyNumberFormat="1" applyFont="1" applyFill="1" applyBorder="1" applyAlignment="1">
      <alignment horizontal="right"/>
    </xf>
    <xf numFmtId="2" fontId="6" fillId="0" borderId="3" xfId="29" applyNumberFormat="1" applyFont="1" applyFill="1" applyBorder="1" applyAlignment="1">
      <alignment horizontal="right"/>
    </xf>
    <xf numFmtId="172" fontId="6" fillId="0" borderId="0" xfId="29" applyNumberFormat="1" applyFont="1" applyFill="1" applyBorder="1" applyAlignment="1">
      <alignment/>
    </xf>
    <xf numFmtId="0" fontId="17" fillId="0" borderId="10" xfId="0" applyFont="1" applyBorder="1" applyAlignment="1">
      <alignment horizontal="centerContinuous"/>
    </xf>
    <xf numFmtId="0" fontId="17" fillId="0" borderId="16" xfId="0" applyFont="1" applyBorder="1" applyAlignment="1">
      <alignment horizontal="centerContinuous"/>
    </xf>
    <xf numFmtId="0" fontId="17" fillId="0" borderId="12" xfId="0" applyFont="1" applyBorder="1" applyAlignment="1">
      <alignment horizontal="centerContinuous"/>
    </xf>
    <xf numFmtId="0" fontId="0" fillId="0" borderId="21" xfId="0" applyBorder="1" applyAlignment="1">
      <alignment/>
    </xf>
    <xf numFmtId="0" fontId="0" fillId="0" borderId="17" xfId="0" applyBorder="1" applyAlignment="1">
      <alignment/>
    </xf>
    <xf numFmtId="0" fontId="17" fillId="0" borderId="12" xfId="0" applyFont="1" applyBorder="1" applyAlignment="1">
      <alignment horizontal="center" wrapText="1"/>
    </xf>
    <xf numFmtId="172" fontId="0" fillId="0" borderId="22" xfId="0" applyNumberFormat="1" applyBorder="1" applyAlignment="1">
      <alignment horizontal="center"/>
    </xf>
    <xf numFmtId="172" fontId="0" fillId="0" borderId="21" xfId="0" applyNumberFormat="1" applyBorder="1" applyAlignment="1">
      <alignment/>
    </xf>
    <xf numFmtId="172" fontId="0" fillId="0" borderId="0" xfId="0" applyNumberFormat="1" applyAlignment="1">
      <alignment/>
    </xf>
    <xf numFmtId="174" fontId="26" fillId="11" borderId="20" xfId="15" applyNumberFormat="1" applyFont="1" applyFill="1" applyBorder="1" applyAlignment="1">
      <alignment/>
    </xf>
    <xf numFmtId="174" fontId="18" fillId="11" borderId="20" xfId="15" applyNumberFormat="1" applyFont="1" applyFill="1" applyBorder="1" applyAlignment="1">
      <alignment/>
    </xf>
    <xf numFmtId="0" fontId="17" fillId="3" borderId="0" xfId="0" applyFont="1" applyFill="1" applyAlignment="1">
      <alignment/>
    </xf>
    <xf numFmtId="0" fontId="17" fillId="3" borderId="21" xfId="0" applyFont="1" applyFill="1" applyBorder="1" applyAlignment="1">
      <alignment/>
    </xf>
    <xf numFmtId="0" fontId="17" fillId="3" borderId="0" xfId="0" applyFont="1" applyFill="1" applyAlignment="1">
      <alignment horizontal="center"/>
    </xf>
    <xf numFmtId="0" fontId="17" fillId="3" borderId="21" xfId="0" applyFont="1" applyFill="1" applyBorder="1" applyAlignment="1">
      <alignment horizontal="center"/>
    </xf>
    <xf numFmtId="172" fontId="0" fillId="3" borderId="0" xfId="0" applyNumberFormat="1" applyFill="1" applyAlignment="1">
      <alignment/>
    </xf>
    <xf numFmtId="172" fontId="0" fillId="3" borderId="21" xfId="0" applyNumberFormat="1" applyFill="1" applyBorder="1" applyAlignment="1">
      <alignment horizontal="right"/>
    </xf>
    <xf numFmtId="172" fontId="0" fillId="3" borderId="0" xfId="0" applyNumberFormat="1" applyFill="1" applyBorder="1" applyAlignment="1">
      <alignment horizontal="right"/>
    </xf>
    <xf numFmtId="49" fontId="1" fillId="0" borderId="0" xfId="0" applyNumberFormat="1" applyFont="1" applyAlignment="1" quotePrefix="1">
      <alignment horizontal="right"/>
    </xf>
    <xf numFmtId="0" fontId="0" fillId="0" borderId="4" xfId="0" applyBorder="1" applyAlignment="1">
      <alignment/>
    </xf>
    <xf numFmtId="0" fontId="17" fillId="0" borderId="33" xfId="0" applyFont="1" applyBorder="1" applyAlignment="1">
      <alignment/>
    </xf>
    <xf numFmtId="0" fontId="0" fillId="0" borderId="4" xfId="0" applyFont="1" applyBorder="1" applyAlignment="1">
      <alignment/>
    </xf>
    <xf numFmtId="0" fontId="0" fillId="0" borderId="5" xfId="0" applyFont="1" applyBorder="1" applyAlignment="1">
      <alignment/>
    </xf>
    <xf numFmtId="0" fontId="0" fillId="0" borderId="4" xfId="0" applyFont="1" applyBorder="1" applyAlignment="1">
      <alignment/>
    </xf>
    <xf numFmtId="9" fontId="0" fillId="0" borderId="5" xfId="0" applyNumberFormat="1" applyFont="1" applyBorder="1" applyAlignment="1">
      <alignment/>
    </xf>
    <xf numFmtId="9" fontId="0" fillId="0" borderId="5" xfId="0" applyNumberFormat="1" applyFont="1" applyBorder="1" applyAlignment="1">
      <alignment/>
    </xf>
    <xf numFmtId="9" fontId="0" fillId="0" borderId="34" xfId="0" applyNumberFormat="1" applyFont="1" applyBorder="1" applyAlignment="1">
      <alignment/>
    </xf>
    <xf numFmtId="0" fontId="17" fillId="0" borderId="2" xfId="0" applyFont="1" applyFill="1" applyBorder="1" applyAlignment="1">
      <alignment/>
    </xf>
    <xf numFmtId="166" fontId="0" fillId="0" borderId="14" xfId="0" applyNumberFormat="1" applyBorder="1" applyAlignment="1">
      <alignment/>
    </xf>
    <xf numFmtId="166" fontId="0" fillId="0" borderId="3" xfId="0" applyNumberFormat="1" applyBorder="1" applyAlignment="1">
      <alignment/>
    </xf>
    <xf numFmtId="166" fontId="0" fillId="0" borderId="35" xfId="0" applyNumberFormat="1" applyBorder="1" applyAlignment="1">
      <alignment/>
    </xf>
    <xf numFmtId="166" fontId="0" fillId="0" borderId="36" xfId="0" applyNumberFormat="1" applyBorder="1" applyAlignment="1">
      <alignment/>
    </xf>
    <xf numFmtId="166" fontId="0" fillId="0" borderId="37" xfId="0" applyNumberFormat="1" applyBorder="1" applyAlignment="1">
      <alignment/>
    </xf>
    <xf numFmtId="186" fontId="0" fillId="0" borderId="6" xfId="0" applyNumberFormat="1" applyFont="1" applyBorder="1" applyAlignment="1">
      <alignment/>
    </xf>
    <xf numFmtId="186" fontId="0" fillId="0" borderId="0" xfId="0" applyNumberFormat="1" applyFont="1" applyAlignment="1">
      <alignment/>
    </xf>
    <xf numFmtId="186" fontId="0" fillId="0" borderId="9" xfId="0" applyNumberFormat="1" applyFont="1" applyBorder="1" applyAlignment="1">
      <alignment/>
    </xf>
    <xf numFmtId="186" fontId="17" fillId="0" borderId="0" xfId="0" applyNumberFormat="1" applyFont="1" applyAlignment="1">
      <alignment/>
    </xf>
    <xf numFmtId="166" fontId="17" fillId="0" borderId="0" xfId="0" applyNumberFormat="1" applyFont="1" applyAlignment="1">
      <alignment/>
    </xf>
    <xf numFmtId="166" fontId="17" fillId="0" borderId="6" xfId="0" applyNumberFormat="1" applyFont="1" applyBorder="1" applyAlignment="1">
      <alignment/>
    </xf>
    <xf numFmtId="166" fontId="17" fillId="0" borderId="9" xfId="0" applyNumberFormat="1" applyFont="1" applyBorder="1" applyAlignment="1">
      <alignment/>
    </xf>
    <xf numFmtId="186" fontId="17" fillId="0" borderId="3" xfId="0" applyNumberFormat="1" applyFont="1" applyBorder="1" applyAlignment="1">
      <alignment/>
    </xf>
    <xf numFmtId="166" fontId="0" fillId="0" borderId="38" xfId="0" applyNumberFormat="1" applyBorder="1" applyAlignment="1">
      <alignment/>
    </xf>
    <xf numFmtId="166" fontId="0" fillId="0" borderId="39" xfId="0" applyNumberFormat="1" applyBorder="1" applyAlignment="1">
      <alignment/>
    </xf>
    <xf numFmtId="166" fontId="0" fillId="0" borderId="40" xfId="0" applyNumberFormat="1" applyBorder="1" applyAlignment="1">
      <alignment/>
    </xf>
    <xf numFmtId="166" fontId="0" fillId="0" borderId="41" xfId="0" applyNumberFormat="1" applyBorder="1" applyAlignment="1">
      <alignment/>
    </xf>
    <xf numFmtId="166" fontId="0" fillId="0" borderId="42" xfId="0" applyNumberFormat="1" applyBorder="1" applyAlignment="1">
      <alignment/>
    </xf>
    <xf numFmtId="166" fontId="0" fillId="0" borderId="43" xfId="0" applyNumberFormat="1" applyBorder="1" applyAlignment="1">
      <alignment/>
    </xf>
    <xf numFmtId="166" fontId="0" fillId="0" borderId="44" xfId="0" applyNumberFormat="1" applyBorder="1" applyAlignment="1">
      <alignment/>
    </xf>
    <xf numFmtId="0" fontId="0" fillId="0" borderId="42" xfId="0" applyBorder="1" applyAlignment="1">
      <alignment/>
    </xf>
    <xf numFmtId="0" fontId="0" fillId="0" borderId="45" xfId="0" applyBorder="1" applyAlignment="1">
      <alignment/>
    </xf>
    <xf numFmtId="166" fontId="0" fillId="0" borderId="46" xfId="0" applyNumberFormat="1" applyBorder="1" applyAlignment="1">
      <alignment/>
    </xf>
    <xf numFmtId="166" fontId="0" fillId="0" borderId="47" xfId="0" applyNumberFormat="1" applyBorder="1" applyAlignment="1">
      <alignment/>
    </xf>
    <xf numFmtId="166" fontId="0" fillId="0" borderId="31" xfId="0" applyNumberFormat="1" applyBorder="1" applyAlignment="1">
      <alignment/>
    </xf>
    <xf numFmtId="166" fontId="0" fillId="0" borderId="48" xfId="0" applyNumberFormat="1" applyBorder="1" applyAlignment="1">
      <alignment/>
    </xf>
    <xf numFmtId="0" fontId="17" fillId="0" borderId="49" xfId="0" applyFont="1" applyBorder="1" applyAlignment="1">
      <alignment/>
    </xf>
    <xf numFmtId="0" fontId="0" fillId="0" borderId="47" xfId="0" applyBorder="1" applyAlignment="1">
      <alignment/>
    </xf>
    <xf numFmtId="166" fontId="0" fillId="7" borderId="27" xfId="0" applyNumberFormat="1" applyFill="1" applyBorder="1" applyAlignment="1">
      <alignment/>
    </xf>
    <xf numFmtId="0" fontId="1" fillId="3" borderId="10" xfId="0" applyFont="1" applyFill="1" applyBorder="1" applyAlignment="1">
      <alignment horizontal="left" wrapText="1"/>
    </xf>
    <xf numFmtId="0" fontId="1" fillId="3" borderId="16" xfId="0" applyFont="1" applyFill="1" applyBorder="1" applyAlignment="1">
      <alignment horizontal="left" wrapText="1"/>
    </xf>
    <xf numFmtId="0" fontId="34" fillId="0" borderId="10" xfId="0" applyFont="1" applyBorder="1" applyAlignment="1">
      <alignment horizontal="left" wrapText="1"/>
    </xf>
    <xf numFmtId="0" fontId="34" fillId="0" borderId="16" xfId="0" applyFont="1" applyBorder="1" applyAlignment="1">
      <alignment horizontal="left" wrapText="1"/>
    </xf>
    <xf numFmtId="179" fontId="13" fillId="8" borderId="25" xfId="21" applyFont="1" applyFill="1" applyBorder="1" applyAlignment="1">
      <alignment horizontal="center"/>
      <protection/>
    </xf>
    <xf numFmtId="0" fontId="31" fillId="3" borderId="20" xfId="0" applyFont="1" applyFill="1" applyBorder="1" applyAlignment="1">
      <alignment horizontal="center" wrapText="1"/>
    </xf>
    <xf numFmtId="0" fontId="1" fillId="3" borderId="20" xfId="0" applyFont="1" applyFill="1" applyBorder="1" applyAlignment="1">
      <alignment/>
    </xf>
    <xf numFmtId="0" fontId="1" fillId="3" borderId="22" xfId="0" applyFont="1" applyFill="1" applyBorder="1" applyAlignment="1">
      <alignment/>
    </xf>
    <xf numFmtId="0" fontId="1" fillId="3" borderId="22" xfId="0" applyFont="1" applyFill="1" applyBorder="1" applyAlignment="1">
      <alignment horizontal="center" wrapText="1"/>
    </xf>
    <xf numFmtId="0" fontId="31" fillId="10" borderId="20" xfId="0" applyFont="1" applyFill="1" applyBorder="1" applyAlignment="1">
      <alignment horizontal="center" wrapText="1"/>
    </xf>
    <xf numFmtId="0" fontId="1" fillId="10" borderId="22" xfId="0" applyFont="1" applyFill="1" applyBorder="1" applyAlignment="1">
      <alignment horizontal="center" wrapText="1"/>
    </xf>
    <xf numFmtId="0" fontId="34" fillId="10" borderId="20" xfId="0" applyFont="1" applyFill="1" applyBorder="1" applyAlignment="1">
      <alignment horizontal="center" wrapText="1"/>
    </xf>
    <xf numFmtId="0" fontId="34" fillId="10" borderId="22" xfId="0" applyFont="1" applyFill="1" applyBorder="1" applyAlignment="1">
      <alignment horizontal="center" wrapText="1"/>
    </xf>
    <xf numFmtId="0" fontId="31" fillId="3" borderId="12" xfId="0" applyFont="1" applyFill="1" applyBorder="1" applyAlignment="1">
      <alignment horizontal="left" wrapText="1"/>
    </xf>
    <xf numFmtId="0" fontId="31" fillId="3" borderId="10" xfId="0" applyFont="1" applyFill="1" applyBorder="1" applyAlignment="1">
      <alignment horizontal="left" wrapText="1"/>
    </xf>
    <xf numFmtId="0" fontId="31" fillId="3" borderId="16" xfId="0" applyFont="1" applyFill="1" applyBorder="1" applyAlignment="1">
      <alignment horizontal="left" wrapText="1"/>
    </xf>
    <xf numFmtId="0" fontId="34" fillId="0" borderId="20" xfId="0" applyFont="1" applyBorder="1" applyAlignment="1">
      <alignment horizontal="center" wrapText="1"/>
    </xf>
    <xf numFmtId="0" fontId="34" fillId="0" borderId="22" xfId="0" applyFont="1" applyBorder="1" applyAlignment="1">
      <alignment horizontal="center" wrapText="1"/>
    </xf>
    <xf numFmtId="0" fontId="31" fillId="3" borderId="22" xfId="0" applyFont="1" applyFill="1" applyBorder="1" applyAlignment="1">
      <alignment horizontal="center" wrapText="1"/>
    </xf>
    <xf numFmtId="0" fontId="34" fillId="0" borderId="12" xfId="0" applyFont="1" applyBorder="1" applyAlignment="1">
      <alignment horizontal="left" wrapText="1"/>
    </xf>
    <xf numFmtId="0" fontId="35" fillId="0" borderId="10" xfId="0" applyFont="1" applyBorder="1" applyAlignment="1">
      <alignment horizontal="left" wrapText="1"/>
    </xf>
    <xf numFmtId="0" fontId="35" fillId="0" borderId="16" xfId="0" applyFont="1" applyBorder="1" applyAlignment="1">
      <alignment horizontal="left" wrapText="1"/>
    </xf>
    <xf numFmtId="0" fontId="35" fillId="0" borderId="22" xfId="0" applyFont="1" applyBorder="1" applyAlignment="1">
      <alignment horizontal="center" wrapText="1"/>
    </xf>
    <xf numFmtId="0" fontId="31" fillId="9" borderId="20" xfId="0" applyFont="1" applyFill="1" applyBorder="1" applyAlignment="1">
      <alignment horizontal="center" wrapText="1"/>
    </xf>
    <xf numFmtId="0" fontId="1" fillId="9" borderId="22" xfId="0" applyFont="1" applyFill="1" applyBorder="1" applyAlignment="1">
      <alignment horizontal="center" wrapText="1"/>
    </xf>
    <xf numFmtId="0" fontId="34" fillId="0" borderId="21" xfId="0" applyFont="1" applyBorder="1" applyAlignment="1">
      <alignment horizontal="center" wrapText="1"/>
    </xf>
    <xf numFmtId="0" fontId="34" fillId="0" borderId="17" xfId="0" applyFont="1" applyBorder="1" applyAlignment="1">
      <alignment horizontal="center" wrapText="1"/>
    </xf>
    <xf numFmtId="0" fontId="34" fillId="0" borderId="20" xfId="0" applyFont="1" applyBorder="1" applyAlignment="1">
      <alignment/>
    </xf>
    <xf numFmtId="0" fontId="34" fillId="0" borderId="22" xfId="0" applyFont="1" applyBorder="1" applyAlignment="1">
      <alignment/>
    </xf>
    <xf numFmtId="0" fontId="1" fillId="0" borderId="0" xfId="0" applyFont="1" applyFill="1" applyBorder="1" applyAlignment="1">
      <alignment vertical="top" wrapText="1"/>
    </xf>
    <xf numFmtId="0" fontId="0" fillId="0" borderId="0" xfId="0" applyAlignment="1">
      <alignment vertical="top" wrapText="1"/>
    </xf>
    <xf numFmtId="0" fontId="17" fillId="0" borderId="0" xfId="0" applyFont="1" applyBorder="1" applyAlignment="1">
      <alignment horizontal="center"/>
    </xf>
    <xf numFmtId="0" fontId="17" fillId="0" borderId="10" xfId="0" applyFont="1" applyBorder="1" applyAlignment="1">
      <alignment horizontal="center"/>
    </xf>
    <xf numFmtId="0" fontId="17" fillId="0" borderId="16" xfId="0" applyFont="1" applyBorder="1" applyAlignment="1">
      <alignment horizontal="center"/>
    </xf>
    <xf numFmtId="0" fontId="17" fillId="0" borderId="12" xfId="0" applyFont="1" applyBorder="1" applyAlignment="1">
      <alignment horizontal="center"/>
    </xf>
    <xf numFmtId="37" fontId="7" fillId="0" borderId="0" xfId="0" applyNumberFormat="1" applyFont="1" applyFill="1" applyAlignment="1" applyProtection="1">
      <alignment horizontal="center"/>
      <protection/>
    </xf>
    <xf numFmtId="37" fontId="9" fillId="0" borderId="0" xfId="0" applyNumberFormat="1" applyFont="1" applyAlignment="1" applyProtection="1">
      <alignment horizontal="center"/>
      <protection/>
    </xf>
    <xf numFmtId="0" fontId="6" fillId="0" borderId="12" xfId="0" applyFont="1" applyFill="1" applyBorder="1" applyAlignment="1">
      <alignment horizontal="center"/>
    </xf>
    <xf numFmtId="0" fontId="6" fillId="0" borderId="10" xfId="0" applyFont="1" applyFill="1" applyBorder="1" applyAlignment="1">
      <alignment horizontal="center"/>
    </xf>
    <xf numFmtId="0" fontId="20" fillId="0" borderId="12" xfId="0" applyFont="1" applyFill="1" applyBorder="1" applyAlignment="1">
      <alignment horizontal="center"/>
    </xf>
    <xf numFmtId="0" fontId="20" fillId="0" borderId="10" xfId="0" applyFont="1" applyFill="1" applyBorder="1" applyAlignment="1">
      <alignment horizontal="center"/>
    </xf>
    <xf numFmtId="0" fontId="23" fillId="0" borderId="0" xfId="0" applyFont="1" applyFill="1" applyBorder="1" applyAlignment="1">
      <alignment wrapText="1"/>
    </xf>
    <xf numFmtId="0" fontId="0" fillId="0" borderId="0" xfId="0" applyAlignment="1">
      <alignment/>
    </xf>
    <xf numFmtId="174" fontId="28" fillId="0" borderId="20" xfId="15" applyNumberFormat="1" applyFont="1" applyBorder="1" applyAlignment="1">
      <alignment/>
    </xf>
    <xf numFmtId="174" fontId="28" fillId="0" borderId="20" xfId="15" applyNumberFormat="1" applyFont="1" applyBorder="1" applyAlignment="1">
      <alignment/>
    </xf>
    <xf numFmtId="3" fontId="28" fillId="0" borderId="9" xfId="0" applyNumberFormat="1" applyFont="1" applyBorder="1" applyAlignment="1" applyProtection="1">
      <alignment horizontal="right"/>
      <protection locked="0"/>
    </xf>
    <xf numFmtId="0" fontId="28" fillId="0" borderId="9" xfId="0" applyFont="1" applyBorder="1" applyAlignment="1" applyProtection="1">
      <alignment/>
      <protection locked="0"/>
    </xf>
  </cellXfs>
  <cellStyles count="18">
    <cellStyle name="Normal" xfId="0"/>
    <cellStyle name="Comma" xfId="15"/>
    <cellStyle name="Comma [0]" xfId="16"/>
    <cellStyle name="Currency" xfId="17"/>
    <cellStyle name="Currency [0]" xfId="18"/>
    <cellStyle name="Followed Hyperlink" xfId="19"/>
    <cellStyle name="Hyperlink" xfId="20"/>
    <cellStyle name="Normal_Degree02 Form" xfId="21"/>
    <cellStyle name="Normal_Degrees02 Form" xfId="22"/>
    <cellStyle name="Normal_E-learning04 Form" xfId="23"/>
    <cellStyle name="Normal_Salaries02 Form" xfId="24"/>
    <cellStyle name="Normal_SCH&amp;FTE02 Form" xfId="25"/>
    <cellStyle name="Normal_SCH&amp;FTE03 Form" xfId="26"/>
    <cellStyle name="Normal_StProg01B" xfId="27"/>
    <cellStyle name="Normal_StProg02 Form" xfId="28"/>
    <cellStyle name="Percent" xfId="29"/>
    <cellStyle name="questionable" xfId="30"/>
    <cellStyle name="review" xfId="31"/>
  </cellStyles>
  <dxfs count="25">
    <dxf>
      <numFmt numFmtId="13" formatCode="# ??/??"/>
      <border/>
    </dxf>
    <dxf>
      <numFmt numFmtId="166" formatCode="0.0%"/>
      <border/>
    </dxf>
    <dxf>
      <border>
        <bottom style="thin"/>
      </border>
    </dxf>
    <dxf>
      <border>
        <top style="thin">
          <color rgb="FF000000"/>
        </top>
      </border>
    </dxf>
    <dxf>
      <font>
        <b/>
      </font>
      <border/>
    </dxf>
    <dxf>
      <border>
        <top style="thin">
          <color rgb="FF000000"/>
        </top>
        <bottom>
          <color rgb="FF000000"/>
        </bottom>
      </border>
    </dxf>
    <dxf>
      <font>
        <b val="0"/>
      </font>
      <border/>
    </dxf>
    <dxf>
      <fill>
        <patternFill patternType="solid">
          <bgColor rgb="FFFFCC99"/>
        </patternFill>
      </fill>
      <border/>
    </dxf>
    <dxf>
      <fill>
        <patternFill patternType="solid">
          <bgColor rgb="FFFF99CC"/>
        </patternFill>
      </fill>
      <border/>
    </dxf>
    <dxf>
      <fill>
        <patternFill patternType="solid">
          <bgColor rgb="FFFFCC00"/>
        </patternFill>
      </fill>
      <border/>
    </dxf>
    <dxf>
      <fill>
        <patternFill patternType="solid">
          <bgColor rgb="FFFFFF99"/>
        </patternFill>
      </fill>
      <border/>
    </dxf>
    <dxf>
      <fill>
        <patternFill patternType="none"/>
      </fill>
      <border/>
    </dxf>
    <dxf>
      <border>
        <top>
          <color rgb="FF000000"/>
        </top>
      </border>
    </dxf>
    <dxf>
      <alignment horizontal="right" readingOrder="0"/>
      <border/>
    </dxf>
    <dxf>
      <font>
        <b/>
      </font>
      <alignment horizontal="right" readingOrder="0"/>
      <border/>
    </dxf>
    <dxf>
      <numFmt numFmtId="187" formatCode="0.000%"/>
      <border/>
    </dxf>
    <dxf>
      <border>
        <left style="medium"/>
        <top style="medium"/>
        <bottom style="medium"/>
      </border>
    </dxf>
    <dxf>
      <border>
        <left style="medium"/>
        <right style="medium"/>
        <top style="medium"/>
        <bottom style="medium"/>
      </border>
    </dxf>
    <dxf>
      <border>
        <left style="medium"/>
        <right style="medium"/>
        <bottom style="medium"/>
      </border>
    </dxf>
    <dxf>
      <border>
        <left style="medium"/>
        <right style="medium"/>
      </border>
    </dxf>
    <dxf>
      <numFmt numFmtId="186" formatCode="#,##0.0"/>
      <border/>
    </dxf>
    <dxf>
      <font>
        <b/>
      </font>
      <numFmt numFmtId="186" formatCode="#,##0.0"/>
      <border/>
    </dxf>
    <dxf>
      <numFmt numFmtId="200" formatCode="0.00%"/>
      <border/>
    </dxf>
    <dxf>
      <border>
        <right style="medium"/>
        <top style="medium"/>
        <bottom style="medium"/>
      </border>
    </dxf>
    <dxf>
      <border>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Exchange\DE2001-02\Check%20Lists%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Exchange\DE2004-05\Surveys\AL%20CH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xchange\DE2001-02\Check%20Lists%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ataExchange\DE2000-01\Summary%20Data\Benefits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ponse History"/>
      <sheetName val="Surveys In"/>
      <sheetName val="Classification Poll"/>
      <sheetName val="Retention Data Poll"/>
      <sheetName val="Faculty Data Poll"/>
      <sheetName val="followup tracking"/>
      <sheetName val="Grad rate review"/>
    </sheetNames>
    <sheetDataSet>
      <sheetData sheetId="1">
        <row r="2">
          <cell r="C2" t="str">
            <v>SREB-State Data Exchange</v>
          </cell>
        </row>
        <row r="3">
          <cell r="A3" t="str">
            <v> </v>
          </cell>
          <cell r="C3" t="str">
            <v>   32 Years and Still Counting</v>
          </cell>
        </row>
        <row r="4">
          <cell r="C4" t="str">
            <v>Progress Report</v>
          </cell>
        </row>
        <row r="5">
          <cell r="C5" t="str">
            <v>To:</v>
          </cell>
          <cell r="D5" t="str">
            <v>Data Exchange Coordinators, Agency Heads, Finance Officers and Staff</v>
          </cell>
        </row>
        <row r="6">
          <cell r="C6" t="str">
            <v>From:</v>
          </cell>
          <cell r="D6" t="str">
            <v>Joe Marks, Director of Education Data Services</v>
          </cell>
        </row>
        <row r="7">
          <cell r="C7" t="str">
            <v>Date:</v>
          </cell>
          <cell r="D7">
            <v>37421</v>
          </cell>
        </row>
        <row r="8">
          <cell r="C8" t="str">
            <v>As can be seen in the charts, we're in the fourth quarter of this year's Data Exchange game. Entire surveys from five agencies are still due. Not counting Part 2, partial surveys are due from three agencies. Part 2 submissions are due from eight agencies.</v>
          </cell>
          <cell r="AA8" t="str">
            <v>Four-Year</v>
          </cell>
          <cell r="AB8" t="str">
            <v>Two- Year 1</v>
          </cell>
          <cell r="AC8" t="str">
            <v>Two- Year 2</v>
          </cell>
        </row>
        <row r="9">
          <cell r="C9" t="str">
            <v>Delaware, South Carolina, Tennessee and Texas also need to register their feedback on the proposed two-year college categories. Tennessee and Texas need to provide final verification or revisions for the 2000-01 student progression data.</v>
          </cell>
          <cell r="V9" t="str">
            <v>In</v>
          </cell>
        </row>
        <row r="10">
          <cell r="D10" t="str">
            <v>Survey Sections Received</v>
          </cell>
          <cell r="AA10">
            <v>0.9166666666666666</v>
          </cell>
          <cell r="AB10">
            <v>0.9166666666666666</v>
          </cell>
          <cell r="AC10">
            <v>0.5432098765432098</v>
          </cell>
        </row>
        <row r="11">
          <cell r="C11" t="str">
            <v>Agency</v>
          </cell>
          <cell r="D11" t="str">
            <v>1. Completions</v>
          </cell>
          <cell r="E11" t="str">
            <v>2. Student Progression</v>
          </cell>
          <cell r="F11" t="str">
            <v>3. Student Credit Hours</v>
          </cell>
          <cell r="G11" t="str">
            <v>4. Public Funds</v>
          </cell>
          <cell r="H11" t="str">
            <v>5. Tuition &amp; Fees Data</v>
          </cell>
          <cell r="I11" t="str">
            <v>6. Tuition &amp; Fees Policies</v>
          </cell>
          <cell r="J11" t="str">
            <v>7. Faculty Salaries</v>
          </cell>
          <cell r="K11" t="str">
            <v>8. Faculty Benefits</v>
          </cell>
          <cell r="L11" t="str">
            <v>9. Benefits Descriptions</v>
          </cell>
        </row>
        <row r="12">
          <cell r="C12" t="str">
            <v>due dates</v>
          </cell>
          <cell r="D12" t="str">
            <v>ASAP</v>
          </cell>
          <cell r="E12">
            <v>37406</v>
          </cell>
          <cell r="F12">
            <v>37316</v>
          </cell>
          <cell r="G12">
            <v>37316</v>
          </cell>
          <cell r="H12">
            <v>37316</v>
          </cell>
          <cell r="I12">
            <v>37316</v>
          </cell>
          <cell r="J12">
            <v>37316</v>
          </cell>
          <cell r="K12">
            <v>37316</v>
          </cell>
          <cell r="L12">
            <v>37316</v>
          </cell>
        </row>
        <row r="13">
          <cell r="C13" t="str">
            <v>AL: CHE</v>
          </cell>
          <cell r="D13" t="str">
            <v>******</v>
          </cell>
          <cell r="E13" t="str">
            <v>******</v>
          </cell>
          <cell r="F13" t="str">
            <v>******</v>
          </cell>
          <cell r="G13" t="str">
            <v>******</v>
          </cell>
          <cell r="H13" t="str">
            <v>******</v>
          </cell>
          <cell r="I13" t="str">
            <v>******</v>
          </cell>
          <cell r="J13" t="str">
            <v>******</v>
          </cell>
          <cell r="K13" t="str">
            <v>******</v>
          </cell>
          <cell r="L13" t="str">
            <v>******</v>
          </cell>
        </row>
        <row r="14">
          <cell r="C14" t="str">
            <v>AR: HECB</v>
          </cell>
          <cell r="D14" t="str">
            <v>****</v>
          </cell>
          <cell r="E14" t="str">
            <v>******</v>
          </cell>
          <cell r="F14" t="str">
            <v>******</v>
          </cell>
          <cell r="G14" t="str">
            <v>******</v>
          </cell>
          <cell r="H14" t="str">
            <v>******</v>
          </cell>
          <cell r="I14" t="str">
            <v>******</v>
          </cell>
          <cell r="J14" t="str">
            <v>******</v>
          </cell>
          <cell r="K14" t="str">
            <v>******</v>
          </cell>
          <cell r="L14" t="str">
            <v>******</v>
          </cell>
          <cell r="M14" t="str">
            <v> </v>
          </cell>
        </row>
        <row r="15">
          <cell r="C15" t="str">
            <v>  DWE</v>
          </cell>
          <cell r="D15" t="str">
            <v>Cannot respond this year. Data system in development.</v>
          </cell>
        </row>
        <row r="16">
          <cell r="C16" t="str">
            <v>DE: HEC</v>
          </cell>
        </row>
        <row r="17">
          <cell r="C17" t="str">
            <v>FL: BOR</v>
          </cell>
          <cell r="D17" t="str">
            <v>****</v>
          </cell>
          <cell r="E17" t="str">
            <v>******</v>
          </cell>
          <cell r="F17" t="str">
            <v>******</v>
          </cell>
          <cell r="G17" t="str">
            <v>******</v>
          </cell>
          <cell r="H17" t="str">
            <v>******</v>
          </cell>
          <cell r="I17" t="str">
            <v>******</v>
          </cell>
          <cell r="J17" t="str">
            <v>******</v>
          </cell>
          <cell r="K17" t="str">
            <v>******</v>
          </cell>
          <cell r="L17" t="str">
            <v>******</v>
          </cell>
          <cell r="M17" t="str">
            <v> </v>
          </cell>
        </row>
        <row r="18">
          <cell r="C18" t="str">
            <v>   CCS</v>
          </cell>
          <cell r="D18" t="str">
            <v>****</v>
          </cell>
          <cell r="E18" t="str">
            <v>******</v>
          </cell>
          <cell r="F18" t="str">
            <v>******</v>
          </cell>
          <cell r="G18" t="str">
            <v>******</v>
          </cell>
          <cell r="H18" t="str">
            <v>******</v>
          </cell>
          <cell r="I18" t="str">
            <v>******</v>
          </cell>
          <cell r="J18" t="str">
            <v>******</v>
          </cell>
          <cell r="K18" t="str">
            <v>******</v>
          </cell>
          <cell r="L18" t="str">
            <v>******</v>
          </cell>
        </row>
        <row r="19">
          <cell r="C19" t="str">
            <v>     DE</v>
          </cell>
        </row>
        <row r="20">
          <cell r="C20" t="str">
            <v>GA: BOR</v>
          </cell>
          <cell r="D20" t="str">
            <v>****</v>
          </cell>
          <cell r="E20" t="str">
            <v>******</v>
          </cell>
          <cell r="F20" t="str">
            <v>******</v>
          </cell>
          <cell r="G20" t="str">
            <v>******</v>
          </cell>
          <cell r="H20" t="str">
            <v>******</v>
          </cell>
          <cell r="I20" t="str">
            <v>******</v>
          </cell>
          <cell r="J20" t="str">
            <v>******</v>
          </cell>
          <cell r="K20" t="str">
            <v>******</v>
          </cell>
          <cell r="L20" t="str">
            <v>******</v>
          </cell>
          <cell r="M20" t="str">
            <v> </v>
          </cell>
        </row>
        <row r="21">
          <cell r="C21" t="str">
            <v>       DTAE</v>
          </cell>
          <cell r="D21" t="str">
            <v>****</v>
          </cell>
          <cell r="E21" t="str">
            <v>******</v>
          </cell>
          <cell r="F21" t="str">
            <v>******</v>
          </cell>
          <cell r="G21" t="str">
            <v>******</v>
          </cell>
          <cell r="H21" t="str">
            <v>******</v>
          </cell>
          <cell r="I21" t="str">
            <v>******</v>
          </cell>
          <cell r="J21" t="str">
            <v>****</v>
          </cell>
          <cell r="K21" t="str">
            <v>****</v>
          </cell>
          <cell r="L21" t="str">
            <v>****</v>
          </cell>
          <cell r="M21" t="str">
            <v> </v>
          </cell>
        </row>
        <row r="22">
          <cell r="C22" t="str">
            <v>KY: CPE</v>
          </cell>
          <cell r="D22" t="str">
            <v>****</v>
          </cell>
          <cell r="E22" t="str">
            <v>******</v>
          </cell>
          <cell r="F22" t="str">
            <v>******</v>
          </cell>
          <cell r="G22" t="str">
            <v>******</v>
          </cell>
          <cell r="H22" t="str">
            <v>******</v>
          </cell>
          <cell r="I22" t="str">
            <v>******</v>
          </cell>
          <cell r="J22" t="str">
            <v>******</v>
          </cell>
          <cell r="K22" t="str">
            <v>******</v>
          </cell>
          <cell r="L22" t="str">
            <v>******</v>
          </cell>
          <cell r="M22" t="str">
            <v> </v>
          </cell>
        </row>
        <row r="23">
          <cell r="C23" t="str">
            <v>LA: BOR</v>
          </cell>
          <cell r="D23" t="str">
            <v>****</v>
          </cell>
          <cell r="E23" t="str">
            <v>******</v>
          </cell>
          <cell r="F23" t="str">
            <v>******</v>
          </cell>
          <cell r="G23" t="str">
            <v>******</v>
          </cell>
          <cell r="H23" t="str">
            <v>******</v>
          </cell>
          <cell r="I23" t="str">
            <v>******</v>
          </cell>
          <cell r="J23" t="str">
            <v>******</v>
          </cell>
          <cell r="K23" t="str">
            <v>******</v>
          </cell>
          <cell r="L23" t="str">
            <v>******</v>
          </cell>
          <cell r="M23" t="str">
            <v> </v>
          </cell>
        </row>
        <row r="24">
          <cell r="C24" t="str">
            <v>MD: HEC</v>
          </cell>
          <cell r="D24" t="str">
            <v>****</v>
          </cell>
          <cell r="E24" t="str">
            <v>******</v>
          </cell>
          <cell r="F24" t="str">
            <v>******</v>
          </cell>
          <cell r="G24" t="str">
            <v>******</v>
          </cell>
          <cell r="H24" t="str">
            <v>******</v>
          </cell>
          <cell r="I24" t="str">
            <v>******</v>
          </cell>
          <cell r="J24" t="str">
            <v>******</v>
          </cell>
          <cell r="K24" t="str">
            <v>******</v>
          </cell>
          <cell r="L24" t="str">
            <v>******</v>
          </cell>
          <cell r="M24" t="str">
            <v> </v>
          </cell>
        </row>
        <row r="25">
          <cell r="C25" t="str">
            <v>MS:IHL</v>
          </cell>
          <cell r="D25" t="str">
            <v>****</v>
          </cell>
          <cell r="E25" t="str">
            <v>******</v>
          </cell>
          <cell r="F25" t="str">
            <v>******</v>
          </cell>
          <cell r="G25" t="str">
            <v>******</v>
          </cell>
          <cell r="H25" t="str">
            <v>******</v>
          </cell>
          <cell r="I25" t="str">
            <v>******</v>
          </cell>
          <cell r="J25" t="str">
            <v>******</v>
          </cell>
          <cell r="K25" t="str">
            <v>******</v>
          </cell>
          <cell r="L25" t="str">
            <v>******</v>
          </cell>
          <cell r="M25" t="str">
            <v> </v>
          </cell>
        </row>
        <row r="26">
          <cell r="C26" t="str">
            <v>       SBCJC</v>
          </cell>
          <cell r="D26" t="str">
            <v>****</v>
          </cell>
          <cell r="E26" t="str">
            <v>******</v>
          </cell>
          <cell r="F26" t="str">
            <v>******</v>
          </cell>
          <cell r="G26" t="str">
            <v>******</v>
          </cell>
          <cell r="H26" t="str">
            <v>******</v>
          </cell>
          <cell r="I26" t="str">
            <v>******</v>
          </cell>
          <cell r="J26" t="str">
            <v>******</v>
          </cell>
          <cell r="K26" t="str">
            <v>******</v>
          </cell>
          <cell r="L26" t="str">
            <v>******</v>
          </cell>
          <cell r="M26" t="str">
            <v> </v>
          </cell>
        </row>
        <row r="27">
          <cell r="C27" t="str">
            <v>NC: UNCGA</v>
          </cell>
          <cell r="D27" t="str">
            <v>****</v>
          </cell>
          <cell r="E27" t="str">
            <v>******</v>
          </cell>
          <cell r="F27" t="str">
            <v>******</v>
          </cell>
          <cell r="G27" t="str">
            <v>******</v>
          </cell>
          <cell r="H27" t="str">
            <v>******</v>
          </cell>
          <cell r="I27" t="str">
            <v>******</v>
          </cell>
          <cell r="J27" t="str">
            <v>******</v>
          </cell>
          <cell r="K27" t="str">
            <v>******</v>
          </cell>
          <cell r="L27" t="str">
            <v>******</v>
          </cell>
          <cell r="M27" t="str">
            <v> </v>
          </cell>
        </row>
        <row r="28">
          <cell r="C28" t="str">
            <v>        CCS</v>
          </cell>
          <cell r="D28" t="str">
            <v>******</v>
          </cell>
          <cell r="E28" t="str">
            <v>******</v>
          </cell>
          <cell r="F28" t="str">
            <v>******</v>
          </cell>
          <cell r="G28" t="str">
            <v>******</v>
          </cell>
          <cell r="H28" t="str">
            <v>******</v>
          </cell>
          <cell r="I28" t="str">
            <v>******</v>
          </cell>
          <cell r="J28" t="str">
            <v>******</v>
          </cell>
          <cell r="K28" t="str">
            <v>******</v>
          </cell>
          <cell r="L28" t="str">
            <v>******</v>
          </cell>
        </row>
        <row r="29">
          <cell r="A29" t="str">
            <v>early Aug.</v>
          </cell>
          <cell r="C29" t="str">
            <v>OK: HE</v>
          </cell>
          <cell r="D29" t="str">
            <v>****</v>
          </cell>
          <cell r="E29" t="str">
            <v>******</v>
          </cell>
          <cell r="F29" t="str">
            <v>******</v>
          </cell>
          <cell r="G29" t="str">
            <v>******</v>
          </cell>
          <cell r="H29" t="str">
            <v>****</v>
          </cell>
          <cell r="I29" t="str">
            <v>****</v>
          </cell>
          <cell r="J29" t="str">
            <v>****</v>
          </cell>
          <cell r="K29" t="str">
            <v>****</v>
          </cell>
          <cell r="L29" t="str">
            <v>****</v>
          </cell>
        </row>
        <row r="30">
          <cell r="C30" t="str">
            <v>   DCTE</v>
          </cell>
          <cell r="D30" t="str">
            <v>****</v>
          </cell>
          <cell r="E30" t="str">
            <v>****</v>
          </cell>
          <cell r="G30" t="str">
            <v>****</v>
          </cell>
        </row>
        <row r="31">
          <cell r="C31" t="str">
            <v>SC: CHE</v>
          </cell>
          <cell r="D31" t="str">
            <v>****</v>
          </cell>
          <cell r="E31" t="str">
            <v>******</v>
          </cell>
          <cell r="F31" t="str">
            <v>******</v>
          </cell>
          <cell r="G31" t="str">
            <v>******</v>
          </cell>
          <cell r="H31" t="str">
            <v>******</v>
          </cell>
          <cell r="I31" t="str">
            <v>******</v>
          </cell>
          <cell r="J31" t="str">
            <v>******</v>
          </cell>
          <cell r="K31" t="str">
            <v>******</v>
          </cell>
          <cell r="L31" t="str">
            <v>******</v>
          </cell>
        </row>
        <row r="32">
          <cell r="C32" t="str">
            <v>TN: HEC</v>
          </cell>
          <cell r="D32" t="str">
            <v>****</v>
          </cell>
          <cell r="E32" t="str">
            <v>****</v>
          </cell>
          <cell r="F32" t="str">
            <v>****</v>
          </cell>
          <cell r="G32" t="str">
            <v>******</v>
          </cell>
          <cell r="H32" t="str">
            <v>******</v>
          </cell>
          <cell r="I32" t="str">
            <v>******</v>
          </cell>
          <cell r="J32" t="str">
            <v>******</v>
          </cell>
          <cell r="K32" t="str">
            <v>******</v>
          </cell>
          <cell r="L32" t="str">
            <v>******</v>
          </cell>
        </row>
        <row r="33">
          <cell r="C33" t="str">
            <v>TX: HECB</v>
          </cell>
          <cell r="D33" t="str">
            <v>****</v>
          </cell>
          <cell r="E33" t="str">
            <v>****</v>
          </cell>
          <cell r="F33" t="str">
            <v>****</v>
          </cell>
          <cell r="G33" t="str">
            <v>******</v>
          </cell>
          <cell r="H33" t="str">
            <v>******</v>
          </cell>
          <cell r="I33" t="str">
            <v>****</v>
          </cell>
          <cell r="J33" t="str">
            <v>******</v>
          </cell>
          <cell r="K33" t="str">
            <v>******</v>
          </cell>
          <cell r="L33" t="str">
            <v>******</v>
          </cell>
        </row>
        <row r="34">
          <cell r="C34" t="str">
            <v>VA: SCHEV</v>
          </cell>
          <cell r="D34" t="str">
            <v>******</v>
          </cell>
          <cell r="E34" t="str">
            <v>******</v>
          </cell>
          <cell r="F34" t="str">
            <v>******</v>
          </cell>
          <cell r="G34" t="str">
            <v>******</v>
          </cell>
          <cell r="H34" t="str">
            <v>******</v>
          </cell>
          <cell r="I34" t="str">
            <v>******</v>
          </cell>
          <cell r="J34" t="str">
            <v>******</v>
          </cell>
          <cell r="K34" t="str">
            <v>******</v>
          </cell>
          <cell r="L34" t="str">
            <v>******</v>
          </cell>
          <cell r="M34" t="str">
            <v> </v>
          </cell>
        </row>
        <row r="35">
          <cell r="C35" t="str">
            <v>WV: HEPC</v>
          </cell>
          <cell r="D35" t="str">
            <v>****</v>
          </cell>
          <cell r="E35" t="str">
            <v>******</v>
          </cell>
          <cell r="F35" t="str">
            <v>******</v>
          </cell>
          <cell r="G35" t="str">
            <v>******</v>
          </cell>
          <cell r="H35" t="str">
            <v>******</v>
          </cell>
          <cell r="I35" t="str">
            <v>******</v>
          </cell>
          <cell r="J35" t="str">
            <v>******</v>
          </cell>
          <cell r="K35" t="str">
            <v>******</v>
          </cell>
          <cell r="L35" t="str">
            <v>******</v>
          </cell>
          <cell r="M35" t="str">
            <v> </v>
          </cell>
        </row>
        <row r="36">
          <cell r="C36" t="str">
            <v>    DE</v>
          </cell>
        </row>
        <row r="38">
          <cell r="C38" t="str">
            <v>KEY:</v>
          </cell>
          <cell r="D38" t="str">
            <v>****</v>
          </cell>
          <cell r="E38" t="str">
            <v>= received</v>
          </cell>
          <cell r="G38" t="str">
            <v>****</v>
          </cell>
          <cell r="H38" t="str">
            <v>= review package sent</v>
          </cell>
          <cell r="L38" t="str">
            <v>****</v>
          </cell>
          <cell r="M38" t="str">
            <v> = verified/revised</v>
          </cell>
        </row>
        <row r="39">
          <cell r="D39" t="str">
            <v>****</v>
          </cell>
          <cell r="E39" t="str">
            <v>= entered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Completions"/>
      <sheetName val="2. Student Progression"/>
      <sheetName val="3. Student Credit Hours"/>
      <sheetName val="4. E-learning credit hours"/>
      <sheetName val="5. Public Funds"/>
      <sheetName val="6. Tuition &amp; Fees Data"/>
      <sheetName val="7. Tuition &amp; Fees Policies"/>
      <sheetName val="8. Faculty Salaries"/>
      <sheetName val="9.  Faculty Benefits"/>
      <sheetName val="10. Benefits Descrip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ponse History"/>
      <sheetName val="Surveys In"/>
      <sheetName val="Classification Poll"/>
      <sheetName val="Retention Data Poll"/>
      <sheetName val="Faculty Data Poll"/>
      <sheetName val="followup tracking"/>
      <sheetName val="Grad rate review"/>
    </sheetNames>
    <sheetDataSet>
      <sheetData sheetId="1">
        <row r="2">
          <cell r="C2" t="str">
            <v>SREB-State Data Exchange</v>
          </cell>
        </row>
        <row r="3">
          <cell r="A3" t="str">
            <v> </v>
          </cell>
          <cell r="C3" t="str">
            <v>   32 Years and Still Counting</v>
          </cell>
        </row>
        <row r="4">
          <cell r="C4" t="str">
            <v>Progress Report</v>
          </cell>
        </row>
        <row r="5">
          <cell r="C5" t="str">
            <v>To:</v>
          </cell>
          <cell r="D5" t="str">
            <v>Data Exchange Coordinators, Agency Heads, Finance Officers and Staff</v>
          </cell>
        </row>
        <row r="6">
          <cell r="C6" t="str">
            <v>From:</v>
          </cell>
          <cell r="D6" t="str">
            <v>Joe Marks, Director of Education Data Services</v>
          </cell>
        </row>
        <row r="7">
          <cell r="C7" t="str">
            <v>Date:</v>
          </cell>
          <cell r="D7">
            <v>37421</v>
          </cell>
        </row>
        <row r="8">
          <cell r="C8" t="str">
            <v>As can be seen in the charts, we're in the fourth quarter of this year's Data Exchange game. Entire surveys from five agencies are still due. Not counting Part 2, partial surveys are due from three agencies. Part 2 submissions are due from eight agencies.</v>
          </cell>
          <cell r="AA8" t="str">
            <v>Four-Year</v>
          </cell>
          <cell r="AB8" t="str">
            <v>Two- Year 1</v>
          </cell>
          <cell r="AC8" t="str">
            <v>Two- Year 2</v>
          </cell>
        </row>
        <row r="9">
          <cell r="C9" t="str">
            <v>Delaware, South Carolina, Tennessee and Texas also need to register their feedback on the proposed two-year college categories. Tennessee and Texas need to provide final verification or revisions for the 2000-01 student progression data.</v>
          </cell>
          <cell r="V9" t="str">
            <v>In</v>
          </cell>
        </row>
        <row r="10">
          <cell r="D10" t="str">
            <v>Survey Sections Received</v>
          </cell>
          <cell r="AA10">
            <v>0.9166666666666666</v>
          </cell>
          <cell r="AB10">
            <v>0.9166666666666666</v>
          </cell>
          <cell r="AC10">
            <v>0.5432098765432098</v>
          </cell>
        </row>
        <row r="11">
          <cell r="C11" t="str">
            <v>Agency</v>
          </cell>
          <cell r="D11" t="str">
            <v>1. Completions</v>
          </cell>
          <cell r="E11" t="str">
            <v>2. Student Progression</v>
          </cell>
          <cell r="F11" t="str">
            <v>3. Student Credit Hours</v>
          </cell>
          <cell r="G11" t="str">
            <v>4. Public Funds</v>
          </cell>
          <cell r="H11" t="str">
            <v>5. Tuition &amp; Fees Data</v>
          </cell>
          <cell r="I11" t="str">
            <v>6. Tuition &amp; Fees Policies</v>
          </cell>
          <cell r="J11" t="str">
            <v>7. Faculty Salaries</v>
          </cell>
          <cell r="K11" t="str">
            <v>8. Faculty Benefits</v>
          </cell>
          <cell r="L11" t="str">
            <v>9. Benefits Descriptions</v>
          </cell>
        </row>
        <row r="12">
          <cell r="C12" t="str">
            <v>due dates</v>
          </cell>
          <cell r="D12" t="str">
            <v>ASAP</v>
          </cell>
          <cell r="E12">
            <v>37406</v>
          </cell>
          <cell r="F12">
            <v>37316</v>
          </cell>
          <cell r="G12">
            <v>37316</v>
          </cell>
          <cell r="H12">
            <v>37316</v>
          </cell>
          <cell r="I12">
            <v>37316</v>
          </cell>
          <cell r="J12">
            <v>37316</v>
          </cell>
          <cell r="K12">
            <v>37316</v>
          </cell>
          <cell r="L12">
            <v>37316</v>
          </cell>
        </row>
        <row r="13">
          <cell r="C13" t="str">
            <v>AL: CHE</v>
          </cell>
          <cell r="D13" t="str">
            <v>******</v>
          </cell>
          <cell r="E13" t="str">
            <v>******</v>
          </cell>
          <cell r="F13" t="str">
            <v>******</v>
          </cell>
          <cell r="G13" t="str">
            <v>******</v>
          </cell>
          <cell r="H13" t="str">
            <v>******</v>
          </cell>
          <cell r="I13" t="str">
            <v>******</v>
          </cell>
          <cell r="J13" t="str">
            <v>******</v>
          </cell>
          <cell r="K13" t="str">
            <v>******</v>
          </cell>
          <cell r="L13" t="str">
            <v>******</v>
          </cell>
        </row>
        <row r="14">
          <cell r="C14" t="str">
            <v>AR: HECB</v>
          </cell>
          <cell r="D14" t="str">
            <v>****</v>
          </cell>
          <cell r="E14" t="str">
            <v>******</v>
          </cell>
          <cell r="F14" t="str">
            <v>******</v>
          </cell>
          <cell r="G14" t="str">
            <v>******</v>
          </cell>
          <cell r="H14" t="str">
            <v>******</v>
          </cell>
          <cell r="I14" t="str">
            <v>******</v>
          </cell>
          <cell r="J14" t="str">
            <v>******</v>
          </cell>
          <cell r="K14" t="str">
            <v>******</v>
          </cell>
          <cell r="L14" t="str">
            <v>******</v>
          </cell>
          <cell r="M14" t="str">
            <v> </v>
          </cell>
        </row>
        <row r="15">
          <cell r="C15" t="str">
            <v>  DWE</v>
          </cell>
          <cell r="D15" t="str">
            <v>Cannot respond this year. Data system in development.</v>
          </cell>
        </row>
        <row r="16">
          <cell r="C16" t="str">
            <v>DE: HEC</v>
          </cell>
        </row>
        <row r="17">
          <cell r="C17" t="str">
            <v>FL: BOR</v>
          </cell>
          <cell r="D17" t="str">
            <v>****</v>
          </cell>
          <cell r="E17" t="str">
            <v>******</v>
          </cell>
          <cell r="F17" t="str">
            <v>******</v>
          </cell>
          <cell r="G17" t="str">
            <v>******</v>
          </cell>
          <cell r="H17" t="str">
            <v>******</v>
          </cell>
          <cell r="I17" t="str">
            <v>******</v>
          </cell>
          <cell r="J17" t="str">
            <v>******</v>
          </cell>
          <cell r="K17" t="str">
            <v>******</v>
          </cell>
          <cell r="L17" t="str">
            <v>******</v>
          </cell>
          <cell r="M17" t="str">
            <v> </v>
          </cell>
        </row>
        <row r="18">
          <cell r="C18" t="str">
            <v>   CCS</v>
          </cell>
          <cell r="D18" t="str">
            <v>****</v>
          </cell>
          <cell r="E18" t="str">
            <v>******</v>
          </cell>
          <cell r="F18" t="str">
            <v>******</v>
          </cell>
          <cell r="G18" t="str">
            <v>******</v>
          </cell>
          <cell r="H18" t="str">
            <v>******</v>
          </cell>
          <cell r="I18" t="str">
            <v>******</v>
          </cell>
          <cell r="J18" t="str">
            <v>******</v>
          </cell>
          <cell r="K18" t="str">
            <v>******</v>
          </cell>
          <cell r="L18" t="str">
            <v>******</v>
          </cell>
        </row>
        <row r="19">
          <cell r="C19" t="str">
            <v>     DE</v>
          </cell>
        </row>
        <row r="20">
          <cell r="C20" t="str">
            <v>GA: BOR</v>
          </cell>
          <cell r="D20" t="str">
            <v>****</v>
          </cell>
          <cell r="E20" t="str">
            <v>******</v>
          </cell>
          <cell r="F20" t="str">
            <v>******</v>
          </cell>
          <cell r="G20" t="str">
            <v>******</v>
          </cell>
          <cell r="H20" t="str">
            <v>******</v>
          </cell>
          <cell r="I20" t="str">
            <v>******</v>
          </cell>
          <cell r="J20" t="str">
            <v>******</v>
          </cell>
          <cell r="K20" t="str">
            <v>******</v>
          </cell>
          <cell r="L20" t="str">
            <v>******</v>
          </cell>
          <cell r="M20" t="str">
            <v> </v>
          </cell>
        </row>
        <row r="21">
          <cell r="C21" t="str">
            <v>       DTAE</v>
          </cell>
          <cell r="D21" t="str">
            <v>****</v>
          </cell>
          <cell r="E21" t="str">
            <v>******</v>
          </cell>
          <cell r="F21" t="str">
            <v>******</v>
          </cell>
          <cell r="G21" t="str">
            <v>******</v>
          </cell>
          <cell r="H21" t="str">
            <v>******</v>
          </cell>
          <cell r="I21" t="str">
            <v>******</v>
          </cell>
          <cell r="J21" t="str">
            <v>****</v>
          </cell>
          <cell r="K21" t="str">
            <v>****</v>
          </cell>
          <cell r="L21" t="str">
            <v>****</v>
          </cell>
          <cell r="M21" t="str">
            <v> </v>
          </cell>
        </row>
        <row r="22">
          <cell r="C22" t="str">
            <v>KY: CPE</v>
          </cell>
          <cell r="D22" t="str">
            <v>****</v>
          </cell>
          <cell r="E22" t="str">
            <v>******</v>
          </cell>
          <cell r="F22" t="str">
            <v>******</v>
          </cell>
          <cell r="G22" t="str">
            <v>******</v>
          </cell>
          <cell r="H22" t="str">
            <v>******</v>
          </cell>
          <cell r="I22" t="str">
            <v>******</v>
          </cell>
          <cell r="J22" t="str">
            <v>******</v>
          </cell>
          <cell r="K22" t="str">
            <v>******</v>
          </cell>
          <cell r="L22" t="str">
            <v>******</v>
          </cell>
          <cell r="M22" t="str">
            <v> </v>
          </cell>
        </row>
        <row r="23">
          <cell r="C23" t="str">
            <v>LA: BOR</v>
          </cell>
          <cell r="D23" t="str">
            <v>****</v>
          </cell>
          <cell r="E23" t="str">
            <v>******</v>
          </cell>
          <cell r="F23" t="str">
            <v>******</v>
          </cell>
          <cell r="G23" t="str">
            <v>******</v>
          </cell>
          <cell r="H23" t="str">
            <v>******</v>
          </cell>
          <cell r="I23" t="str">
            <v>******</v>
          </cell>
          <cell r="J23" t="str">
            <v>******</v>
          </cell>
          <cell r="K23" t="str">
            <v>******</v>
          </cell>
          <cell r="L23" t="str">
            <v>******</v>
          </cell>
          <cell r="M23" t="str">
            <v> </v>
          </cell>
        </row>
        <row r="24">
          <cell r="C24" t="str">
            <v>MD: HEC</v>
          </cell>
          <cell r="D24" t="str">
            <v>****</v>
          </cell>
          <cell r="E24" t="str">
            <v>******</v>
          </cell>
          <cell r="F24" t="str">
            <v>******</v>
          </cell>
          <cell r="G24" t="str">
            <v>******</v>
          </cell>
          <cell r="H24" t="str">
            <v>******</v>
          </cell>
          <cell r="I24" t="str">
            <v>******</v>
          </cell>
          <cell r="J24" t="str">
            <v>******</v>
          </cell>
          <cell r="K24" t="str">
            <v>******</v>
          </cell>
          <cell r="L24" t="str">
            <v>******</v>
          </cell>
          <cell r="M24" t="str">
            <v> </v>
          </cell>
        </row>
        <row r="25">
          <cell r="C25" t="str">
            <v>MS:IHL</v>
          </cell>
          <cell r="D25" t="str">
            <v>****</v>
          </cell>
          <cell r="E25" t="str">
            <v>******</v>
          </cell>
          <cell r="F25" t="str">
            <v>******</v>
          </cell>
          <cell r="G25" t="str">
            <v>******</v>
          </cell>
          <cell r="H25" t="str">
            <v>******</v>
          </cell>
          <cell r="I25" t="str">
            <v>******</v>
          </cell>
          <cell r="J25" t="str">
            <v>******</v>
          </cell>
          <cell r="K25" t="str">
            <v>******</v>
          </cell>
          <cell r="L25" t="str">
            <v>******</v>
          </cell>
          <cell r="M25" t="str">
            <v> </v>
          </cell>
        </row>
        <row r="26">
          <cell r="C26" t="str">
            <v>       SBCJC</v>
          </cell>
          <cell r="D26" t="str">
            <v>****</v>
          </cell>
          <cell r="E26" t="str">
            <v>******</v>
          </cell>
          <cell r="F26" t="str">
            <v>******</v>
          </cell>
          <cell r="G26" t="str">
            <v>******</v>
          </cell>
          <cell r="H26" t="str">
            <v>******</v>
          </cell>
          <cell r="I26" t="str">
            <v>******</v>
          </cell>
          <cell r="J26" t="str">
            <v>******</v>
          </cell>
          <cell r="K26" t="str">
            <v>******</v>
          </cell>
          <cell r="L26" t="str">
            <v>******</v>
          </cell>
          <cell r="M26" t="str">
            <v> </v>
          </cell>
        </row>
        <row r="27">
          <cell r="C27" t="str">
            <v>NC: UNCGA</v>
          </cell>
          <cell r="D27" t="str">
            <v>****</v>
          </cell>
          <cell r="E27" t="str">
            <v>******</v>
          </cell>
          <cell r="F27" t="str">
            <v>******</v>
          </cell>
          <cell r="G27" t="str">
            <v>******</v>
          </cell>
          <cell r="H27" t="str">
            <v>******</v>
          </cell>
          <cell r="I27" t="str">
            <v>******</v>
          </cell>
          <cell r="J27" t="str">
            <v>******</v>
          </cell>
          <cell r="K27" t="str">
            <v>******</v>
          </cell>
          <cell r="L27" t="str">
            <v>******</v>
          </cell>
          <cell r="M27" t="str">
            <v> </v>
          </cell>
        </row>
        <row r="28">
          <cell r="C28" t="str">
            <v>        CCS</v>
          </cell>
          <cell r="D28" t="str">
            <v>******</v>
          </cell>
          <cell r="E28" t="str">
            <v>******</v>
          </cell>
          <cell r="F28" t="str">
            <v>******</v>
          </cell>
          <cell r="G28" t="str">
            <v>******</v>
          </cell>
          <cell r="H28" t="str">
            <v>******</v>
          </cell>
          <cell r="I28" t="str">
            <v>******</v>
          </cell>
          <cell r="J28" t="str">
            <v>******</v>
          </cell>
          <cell r="K28" t="str">
            <v>******</v>
          </cell>
          <cell r="L28" t="str">
            <v>******</v>
          </cell>
        </row>
        <row r="29">
          <cell r="A29" t="str">
            <v>early Aug.</v>
          </cell>
          <cell r="C29" t="str">
            <v>OK: HE</v>
          </cell>
          <cell r="D29" t="str">
            <v>****</v>
          </cell>
          <cell r="E29" t="str">
            <v>******</v>
          </cell>
          <cell r="F29" t="str">
            <v>******</v>
          </cell>
          <cell r="G29" t="str">
            <v>******</v>
          </cell>
          <cell r="H29" t="str">
            <v>****</v>
          </cell>
          <cell r="I29" t="str">
            <v>****</v>
          </cell>
          <cell r="J29" t="str">
            <v>****</v>
          </cell>
          <cell r="K29" t="str">
            <v>****</v>
          </cell>
          <cell r="L29" t="str">
            <v>****</v>
          </cell>
        </row>
        <row r="30">
          <cell r="C30" t="str">
            <v>   DCTE</v>
          </cell>
          <cell r="D30" t="str">
            <v>****</v>
          </cell>
          <cell r="E30" t="str">
            <v>****</v>
          </cell>
          <cell r="G30" t="str">
            <v>****</v>
          </cell>
        </row>
        <row r="31">
          <cell r="C31" t="str">
            <v>SC: CHE</v>
          </cell>
          <cell r="D31" t="str">
            <v>****</v>
          </cell>
          <cell r="E31" t="str">
            <v>******</v>
          </cell>
          <cell r="F31" t="str">
            <v>******</v>
          </cell>
          <cell r="G31" t="str">
            <v>******</v>
          </cell>
          <cell r="H31" t="str">
            <v>******</v>
          </cell>
          <cell r="I31" t="str">
            <v>******</v>
          </cell>
          <cell r="J31" t="str">
            <v>******</v>
          </cell>
          <cell r="K31" t="str">
            <v>******</v>
          </cell>
          <cell r="L31" t="str">
            <v>******</v>
          </cell>
        </row>
        <row r="32">
          <cell r="C32" t="str">
            <v>TN: HEC</v>
          </cell>
          <cell r="D32" t="str">
            <v>****</v>
          </cell>
          <cell r="E32" t="str">
            <v>****</v>
          </cell>
          <cell r="F32" t="str">
            <v>****</v>
          </cell>
          <cell r="G32" t="str">
            <v>******</v>
          </cell>
          <cell r="H32" t="str">
            <v>******</v>
          </cell>
          <cell r="I32" t="str">
            <v>******</v>
          </cell>
          <cell r="J32" t="str">
            <v>******</v>
          </cell>
          <cell r="K32" t="str">
            <v>******</v>
          </cell>
          <cell r="L32" t="str">
            <v>******</v>
          </cell>
        </row>
        <row r="33">
          <cell r="C33" t="str">
            <v>TX: HECB</v>
          </cell>
          <cell r="D33" t="str">
            <v>****</v>
          </cell>
          <cell r="E33" t="str">
            <v>****</v>
          </cell>
          <cell r="F33" t="str">
            <v>****</v>
          </cell>
          <cell r="G33" t="str">
            <v>******</v>
          </cell>
          <cell r="H33" t="str">
            <v>******</v>
          </cell>
          <cell r="I33" t="str">
            <v>****</v>
          </cell>
          <cell r="J33" t="str">
            <v>******</v>
          </cell>
          <cell r="K33" t="str">
            <v>******</v>
          </cell>
          <cell r="L33" t="str">
            <v>******</v>
          </cell>
        </row>
        <row r="34">
          <cell r="C34" t="str">
            <v>VA: SCHEV</v>
          </cell>
          <cell r="D34" t="str">
            <v>******</v>
          </cell>
          <cell r="E34" t="str">
            <v>******</v>
          </cell>
          <cell r="F34" t="str">
            <v>******</v>
          </cell>
          <cell r="G34" t="str">
            <v>******</v>
          </cell>
          <cell r="H34" t="str">
            <v>******</v>
          </cell>
          <cell r="I34" t="str">
            <v>******</v>
          </cell>
          <cell r="J34" t="str">
            <v>******</v>
          </cell>
          <cell r="K34" t="str">
            <v>******</v>
          </cell>
          <cell r="L34" t="str">
            <v>******</v>
          </cell>
          <cell r="M34" t="str">
            <v> </v>
          </cell>
        </row>
        <row r="35">
          <cell r="C35" t="str">
            <v>WV: HEPC</v>
          </cell>
          <cell r="D35" t="str">
            <v>****</v>
          </cell>
          <cell r="E35" t="str">
            <v>******</v>
          </cell>
          <cell r="F35" t="str">
            <v>******</v>
          </cell>
          <cell r="G35" t="str">
            <v>******</v>
          </cell>
          <cell r="H35" t="str">
            <v>******</v>
          </cell>
          <cell r="I35" t="str">
            <v>******</v>
          </cell>
          <cell r="J35" t="str">
            <v>******</v>
          </cell>
          <cell r="K35" t="str">
            <v>******</v>
          </cell>
          <cell r="L35" t="str">
            <v>******</v>
          </cell>
          <cell r="M35" t="str">
            <v> </v>
          </cell>
        </row>
        <row r="36">
          <cell r="C36" t="str">
            <v>    DE</v>
          </cell>
        </row>
        <row r="38">
          <cell r="C38" t="str">
            <v>KEY:</v>
          </cell>
          <cell r="D38" t="str">
            <v>****</v>
          </cell>
          <cell r="E38" t="str">
            <v>= received</v>
          </cell>
          <cell r="G38" t="str">
            <v>****</v>
          </cell>
          <cell r="H38" t="str">
            <v>= review package sent</v>
          </cell>
          <cell r="L38" t="str">
            <v>****</v>
          </cell>
          <cell r="M38" t="str">
            <v> = verified/revised</v>
          </cell>
        </row>
        <row r="39">
          <cell r="D39" t="str">
            <v>****</v>
          </cell>
          <cell r="E39" t="str">
            <v>= entered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35"/>
      <sheetName val="Table 36-37"/>
      <sheetName val="Table 38-46"/>
      <sheetName val="Pivot table"/>
      <sheetName val=" Benefits Data"/>
      <sheetName val="Benefits Descriptions"/>
      <sheetName val="Table 34"/>
      <sheetName val="Table 35-36"/>
      <sheetName val="Table 37-45"/>
      <sheetName val="Table 49"/>
      <sheetName val="Table 50-51"/>
      <sheetName val="Table 48-56"/>
      <sheetName val="Table 45"/>
      <sheetName val="Table 46"/>
      <sheetName val="Table 47"/>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AF704" sheet="E-learning credit hours"/>
  </cacheSource>
  <cacheFields count="69">
    <cacheField name="State">
      <sharedItems containsBlank="1" containsMixedTypes="0" count="17">
        <s v="AL"/>
        <s v="AR"/>
        <s v="DE"/>
        <s v="FL"/>
        <s v="GA"/>
        <s v="KY"/>
        <s v="LA"/>
        <s v="MD"/>
        <s v="MS"/>
        <s v="NC"/>
        <s v="OK"/>
        <s v="SC"/>
        <s v="TN"/>
        <s v="TX"/>
        <s v="VA"/>
        <s v="WV"/>
        <m/>
      </sharedItems>
    </cacheField>
    <cacheField name="Institution">
      <sharedItems containsMixedTypes="0"/>
    </cacheField>
    <cacheField name="ID">
      <sharedItems containsMixedTypes="1" containsNumber="1" containsInteger="1"/>
    </cacheField>
    <cacheField name="Type">
      <sharedItems containsSemiMixedTypes="0" containsString="0" containsMixedTypes="0" containsNumber="1" containsInteger="1" count="15">
        <n v="1"/>
        <n v="2"/>
        <n v="3"/>
        <n v="4"/>
        <n v="5"/>
        <n v="6"/>
        <n v="10"/>
        <n v="12"/>
        <n v="9"/>
        <n v="13"/>
        <n v="8"/>
        <n v="7"/>
        <n v="14"/>
        <n v="15"/>
        <n v="16"/>
      </sharedItems>
    </cacheField>
    <cacheField name="OLD-Tot UG SCH Calc">
      <sharedItems containsSemiMixedTypes="0" containsString="0" containsMixedTypes="0" containsNumber="1"/>
    </cacheField>
    <cacheField name="NEW-Tot UG SCH Calc">
      <sharedItems containsSemiMixedTypes="0" containsString="0" containsMixedTypes="0" containsNumber="1"/>
    </cacheField>
    <cacheField name="Old-UG OnC Trad">
      <sharedItems containsMixedTypes="1" containsNumber="1"/>
    </cacheField>
    <cacheField name="New-UG OnC Trad">
      <sharedItems containsMixedTypes="1" containsNumber="1"/>
    </cacheField>
    <cacheField name="Old-UG OffC Trad">
      <sharedItems containsMixedTypes="1" containsNumber="1"/>
    </cacheField>
    <cacheField name="New-UG OffC Trad">
      <sharedItems containsMixedTypes="1" containsNumber="1"/>
    </cacheField>
    <cacheField name="Old-UG EL Web">
      <sharedItems containsMixedTypes="1" containsNumber="1"/>
    </cacheField>
    <cacheField name="Old-UG EL CV">
      <sharedItems containsMixedTypes="1" containsNumber="1"/>
    </cacheField>
    <cacheField name="Old-UG EL O">
      <sharedItems containsMixedTypes="1" containsNumber="1"/>
    </cacheField>
    <cacheField name="New-UG EL Web">
      <sharedItems containsMixedTypes="1" containsNumber="1"/>
    </cacheField>
    <cacheField name="New-UG EL CV">
      <sharedItems containsMixedTypes="1" containsNumber="1"/>
    </cacheField>
    <cacheField name="New-UG EL O">
      <sharedItems containsMixedTypes="1" containsNumber="1"/>
    </cacheField>
    <cacheField name="Old-UG Cor">
      <sharedItems containsBlank="1" containsMixedTypes="1" containsNumber="1" count="27">
        <m/>
        <n v="0"/>
        <n v="8976"/>
        <n v="3456"/>
        <n v="512"/>
        <n v="252"/>
        <n v="14214"/>
        <n v="2701"/>
        <n v="10"/>
        <n v="742"/>
        <n v="345"/>
        <n v="11137"/>
        <n v="1298"/>
        <n v="501"/>
        <n v="153"/>
        <n v="320.3"/>
        <n v="686.4"/>
        <s v="na"/>
        <n v="126"/>
        <n v="134"/>
        <n v="1165"/>
        <n v="3298"/>
        <n v="1999"/>
        <n v="372"/>
        <n v="1610"/>
        <n v="1168"/>
        <n v="5205"/>
      </sharedItems>
    </cacheField>
    <cacheField name="New-UG Cor">
      <sharedItems containsString="0" containsBlank="1" containsMixedTypes="0" containsNumber="1" containsInteger="1" count="30">
        <n v="84"/>
        <n v="5344"/>
        <n v="0"/>
        <m/>
        <n v="4077"/>
        <n v="6224"/>
        <n v="3520"/>
        <n v="228"/>
        <n v="15297"/>
        <n v="4018"/>
        <n v="2400"/>
        <n v="201"/>
        <n v="11794"/>
        <n v="939"/>
        <n v="387"/>
        <n v="75"/>
        <n v="844"/>
        <n v="725"/>
        <n v="34932"/>
        <n v="344"/>
        <n v="429"/>
        <n v="153"/>
        <n v="1081"/>
        <n v="2217"/>
        <n v="1248"/>
        <n v="1575"/>
        <n v="817"/>
        <n v="5754"/>
        <n v="792"/>
        <n v="9"/>
      </sharedItems>
    </cacheField>
    <cacheField name="Old-Tot G SCH Calc">
      <sharedItems containsSemiMixedTypes="0" containsString="0" containsMixedTypes="0" containsNumber="1"/>
    </cacheField>
    <cacheField name="New-Tot G SCH Calc">
      <sharedItems containsSemiMixedTypes="0" containsString="0" containsMixedTypes="0" containsNumber="1"/>
    </cacheField>
    <cacheField name="Old-G OnC Trad">
      <sharedItems containsMixedTypes="1" containsNumber="1"/>
    </cacheField>
    <cacheField name="New-G OnC Trad">
      <sharedItems containsMixedTypes="1" containsNumber="1"/>
    </cacheField>
    <cacheField name="Old-G OffC Trad">
      <sharedItems containsMixedTypes="1" containsNumber="1"/>
    </cacheField>
    <cacheField name="New-G OffC Trad">
      <sharedItems containsMixedTypes="1" containsNumber="1" containsInteger="1"/>
    </cacheField>
    <cacheField name="Old-G EL Web">
      <sharedItems containsMixedTypes="1" containsNumber="1"/>
    </cacheField>
    <cacheField name="Old-G EL CV">
      <sharedItems containsMixedTypes="1" containsNumber="1"/>
    </cacheField>
    <cacheField name="Old-G EL O">
      <sharedItems containsMixedTypes="1" containsNumber="1"/>
    </cacheField>
    <cacheField name="New-G EL Web">
      <sharedItems containsMixedTypes="1" containsNumber="1"/>
    </cacheField>
    <cacheField name="New-G EL CV">
      <sharedItems containsMixedTypes="1" containsNumber="1" containsInteger="1"/>
    </cacheField>
    <cacheField name="New-G EL O">
      <sharedItems containsMixedTypes="1" containsNumber="1" containsInteger="1"/>
    </cacheField>
    <cacheField name="Old-G Cor">
      <sharedItems containsBlank="1" containsMixedTypes="1" containsNumber="1" count="9">
        <m/>
        <s v="nr"/>
        <n v="21"/>
        <n v="0"/>
        <n v="161.25"/>
        <s v="na"/>
        <n v="4"/>
        <n v="18"/>
        <n v="56"/>
      </sharedItems>
    </cacheField>
    <cacheField name="New-G Cor">
      <sharedItems containsBlank="1" containsMixedTypes="1" containsNumber="1" containsInteger="1" count="12">
        <m/>
        <n v="3"/>
        <s v="nr"/>
        <n v="444"/>
        <n v="75"/>
        <n v="0"/>
        <n v="44"/>
        <n v="354"/>
        <n v="1"/>
        <n v="35"/>
        <n v="42"/>
        <n v="4"/>
      </sharedItems>
    </cacheField>
    <cacheField name="Type2">
      <sharedItems containsMixedTypes="0" count="4">
        <n v="16"/>
        <s v="Group2"/>
        <s v="Group1"/>
        <s v="Group3"/>
      </sharedItems>
    </cacheField>
    <cacheField name="Old %UG OnC Trad" formula="IF('OLD-Tot UG SCH Calc'&gt;0,'Old-UG OnC Trad'/'OLD-Tot UG SCH Calc',)" databaseField="0"/>
    <cacheField name="New %UG OnC Trad" formula="IF('NEW-Tot UG SCH Calc'&gt;0,'New-UG OnC Trad'/'NEW-Tot UG SCH Calc',)" databaseField="0"/>
    <cacheField name="New %UG OffC Trad" formula="IF('NEW-Tot UG SCH Calc'&gt;0,'New-UG OffC Trad'/'NEW-Tot UG SCH Calc',)" databaseField="0"/>
    <cacheField name="Old %UG OffC Trad" formula="IF('OLD-Tot UG SCH Calc'&gt;0,'Old-UG OffC Trad'/'OLD-Tot UG SCH Calc',)" databaseField="0"/>
    <cacheField name="Old %G OffC Trad" formula="IF('Old-Tot G SCH Calc'&gt;0,'Old-G OffC Trad'/'Old-Tot G SCH Calc',)" databaseField="0"/>
    <cacheField name="Old %G OnC Trad" formula="IF('Old-Tot G SCH Calc'&gt;0,'Old-G OnC Trad'/'Old-Tot G SCH Calc',)" databaseField="0"/>
    <cacheField name="New %G OnC Trad" formula="IF('New-Tot G SCH Calc'&gt;0,'New-G OnC Trad'/'New-Tot G SCH Calc',)" databaseField="0"/>
    <cacheField name="New %G OffC Trad" formula="IF('New-Tot G SCH Calc'&gt;0,'New-G OffC Trad'/'New-Tot G SCH Calc',)" databaseField="0"/>
    <cacheField name="Old %UG EL Web" formula="IF('OLD-Tot UG SCH Calc'&gt;0,'Old-UG EL Web'/'OLD-Tot UG SCH Calc',)" databaseField="0"/>
    <cacheField name="New %UG EL Web" formula="IF('NEW-Tot UG SCH Calc'&gt;0,'New-UG EL Web'/'NEW-Tot UG SCH Calc',)" databaseField="0"/>
    <cacheField name="New %G EL Web" formula="IF('New-Tot G SCH Calc'&gt;0,'New-G EL Web'/'New-Tot G SCH Calc',)" databaseField="0"/>
    <cacheField name="Old %G EL Web" formula="IF('Old-Tot G SCH Calc'&gt;0,'Old-G EL Web'/'Old-Tot G SCH Calc',)" databaseField="0"/>
    <cacheField name="Old %G EL CV" formula="IF('Old-Tot G SCH Calc'&gt;0,'Old-G EL CV'/'Old-Tot G SCH Calc',)" databaseField="0"/>
    <cacheField name="New %G EL CV" formula="IF('New-Tot G SCH Calc'&gt;0,'New-G EL CV'/'New-Tot G SCH Calc',)" databaseField="0"/>
    <cacheField name="New %UG EL CV" formula="IF('NEW-Tot UG SCH Calc'&gt;0,'New-UG EL CV'/'NEW-Tot UG SCH Calc',)" databaseField="0"/>
    <cacheField name="Old %UG EL CV" formula="IF('OLD-Tot UG SCH Calc'&gt;0,'Old-UG EL CV'/'OLD-Tot UG SCH Calc',)" databaseField="0"/>
    <cacheField name="Old %UG EL O" formula="IF('OLD-Tot UG SCH Calc'&gt;0,'Old-UG EL O'/'OLD-Tot UG SCH Calc',)" databaseField="0"/>
    <cacheField name="New %UG EL O" formula="IF('NEW-Tot UG SCH Calc'&gt;0,'New-UG EL O'/'NEW-Tot UG SCH Calc',)" databaseField="0"/>
    <cacheField name="New %G EL O" formula="IF('New-Tot G SCH Calc'&gt;0,'New-G EL O'/'New-Tot G SCH Calc',)" databaseField="0"/>
    <cacheField name="Old %G EL O" formula="IF('Old-Tot G SCH Calc'&gt;0,'Old-G EL O'/'Old-Tot G SCH Calc',)" databaseField="0"/>
    <cacheField name="Old %G Cor" formula="IF('Old-Tot G SCH Calc'&gt;0,'Old-G Cor'/'Old-Tot G SCH Calc',)" databaseField="0"/>
    <cacheField name="New %G Cor" formula="IF('New-Tot G SCH Calc'&gt;0,'New-G Cor'/'New-Tot G SCH Calc',)" databaseField="0"/>
    <cacheField name="New %UG Cor" formula="IF('NEW-Tot UG SCH Calc'&gt;0,'New-UG Cor'/'NEW-Tot UG SCH Calc',)" databaseField="0"/>
    <cacheField name="Old %UG Cor" formula="IF('OLD-Tot UG SCH Calc'&gt;0,'Old-UG Cor'/'OLD-Tot UG SCH Calc',)" databaseField="0"/>
    <cacheField name="Change %UG OnC Trad" formula="IF(('Old %UG OnC Trad'&gt;0),('New %UG OnC Trad'-'Old %UG OnC Trad'),)*100" databaseField="0"/>
    <cacheField name="Change %G OnC Trad" formula="IF('Old %G OnC Trad'&gt;0,('New %G OnC Trad'-'Old %G OnC Trad'),)*100" databaseField="0"/>
    <cacheField name="Change %G OffC Trad" formula="IF('Old %G OffC Trad'&gt;0,('New %G OffC Trad'-'Old %G OffC Trad'),)*100" databaseField="0"/>
    <cacheField name="Change %UG OffC Trad" formula="IF('Old %UG OffC Trad'&gt;0,('New %UG OffC Trad'-'Old %UG OffC Trad'),)*100" databaseField="0"/>
    <cacheField name="Change %UG EL Web" formula="IF('Old %UG EL Web'&gt;0,('New %UG EL Web'-'Old %UG EL Web'),)*100" databaseField="0"/>
    <cacheField name="Change %G EL Web" formula="IF('Old %G EL Web'&gt;0,('New %G EL Web'-'Old %G EL Web'),)*100" databaseField="0"/>
    <cacheField name="Change %G EL CV" formula="IF('Old %G EL CV'&gt;0,('New %G EL CV'-'Old %G EL CV'),)*100" databaseField="0"/>
    <cacheField name="Change %UG EL CV" formula="IF('Old %UG EL CV'&gt;0,('New %UG EL CV'-'Old %UG EL CV'),)*100" databaseField="0"/>
    <cacheField name="Change %UG EL O" formula="IF('Old %UG EL O'&gt;0,('New %UG EL O'-'Old %UG EL O'),)*100" databaseField="0"/>
    <cacheField name="Change %G EL O" formula="IF('Old %G EL O'&gt;0,('New %G EL O'-'Old %G EL O'),)*100" databaseField="0"/>
    <cacheField name="Change %G Cor" formula="IF('Old %G Cor'&gt;0,('New %G Cor'-'Old %G Cor'),)*100" databaseField="0"/>
    <cacheField name="Change %UG Cor" formula="IF('Old %UG Cor'&gt;0,('New %UG Cor'-'Old %UG Cor'),)*100"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4" dataOnRows="1" applyNumberFormats="0" applyBorderFormats="0" applyFontFormats="0" applyPatternFormats="0" applyAlignmentFormats="0" applyWidthHeightFormats="0" dataCaption="Data" showMissing="1" preserveFormatting="1" useAutoFormatting="1" colGrandTotals="0" itemPrintTitles="1" compactData="0" updatedVersion="2" indent="0" showMemberPropertyTips="1">
  <location ref="A3:S617" firstHeaderRow="1" firstDataRow="3" firstDataCol="2"/>
  <pivotFields count="69">
    <pivotField axis="axisRow" compact="0" outline="0" subtotalTop="0" showAll="0" sortType="ascending">
      <items count="18">
        <item x="0"/>
        <item x="1"/>
        <item x="2"/>
        <item x="3"/>
        <item x="4"/>
        <item x="5"/>
        <item x="6"/>
        <item x="7"/>
        <item x="8"/>
        <item x="9"/>
        <item x="10"/>
        <item x="11"/>
        <item x="12"/>
        <item x="13"/>
        <item x="14"/>
        <item x="15"/>
        <item m="1" x="16"/>
        <item t="default"/>
      </items>
    </pivotField>
    <pivotField compact="0" outline="0" subtotalTop="0" showAll="0"/>
    <pivotField compact="0" outline="0" subtotalTop="0" showAll="0"/>
    <pivotField axis="axisCol" compact="0" outline="0" subtotalTop="0" showAll="0" defaultSubtotal="0">
      <items count="15">
        <item x="0"/>
        <item x="1"/>
        <item x="2"/>
        <item x="3"/>
        <item x="4"/>
        <item x="5"/>
        <item x="11"/>
        <item x="10"/>
        <item x="8"/>
        <item x="6"/>
        <item x="7"/>
        <item x="9"/>
        <item x="13"/>
        <item m="1" x="14"/>
        <item x="12"/>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5">
        <item n="Four-Year" x="2"/>
        <item n="Two-Year" x="1"/>
        <item n="Technical" x="3"/>
        <item h="1" x="0"/>
        <item t="default"/>
      </items>
    </pivotField>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s>
  <rowFields count="2">
    <field x="0"/>
    <field x="-2"/>
  </rowFields>
  <rowItems count="612">
    <i>
      <x/>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1"/>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2"/>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3"/>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4"/>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5"/>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6"/>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7"/>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8"/>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9"/>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10"/>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11"/>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12"/>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13"/>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14"/>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15"/>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t="grand">
      <x/>
    </i>
    <i t="grand" i="1">
      <x/>
    </i>
    <i t="grand" i="2">
      <x/>
    </i>
    <i t="grand" i="3">
      <x/>
    </i>
    <i t="grand" i="4">
      <x/>
    </i>
    <i t="grand" i="5">
      <x/>
    </i>
    <i t="grand" i="6">
      <x/>
    </i>
    <i t="grand" i="7">
      <x/>
    </i>
    <i t="grand" i="8">
      <x/>
    </i>
    <i t="grand" i="9">
      <x/>
    </i>
    <i t="grand" i="10">
      <x/>
    </i>
    <i t="grand" i="11">
      <x/>
    </i>
    <i t="grand" i="12">
      <x/>
    </i>
    <i t="grand" i="13">
      <x/>
    </i>
    <i t="grand" i="14">
      <x/>
    </i>
    <i t="grand" i="15">
      <x/>
    </i>
    <i t="grand" i="16">
      <x/>
    </i>
    <i t="grand" i="17">
      <x/>
    </i>
    <i t="grand" i="18">
      <x/>
    </i>
    <i t="grand" i="19">
      <x/>
    </i>
    <i t="grand" i="20">
      <x/>
    </i>
    <i t="grand" i="21">
      <x/>
    </i>
    <i t="grand" i="22">
      <x/>
    </i>
    <i t="grand" i="23">
      <x/>
    </i>
    <i t="grand" i="24">
      <x/>
    </i>
    <i t="grand" i="25">
      <x/>
    </i>
    <i t="grand" i="26">
      <x/>
    </i>
    <i t="grand" i="27">
      <x/>
    </i>
    <i t="grand" i="28">
      <x/>
    </i>
    <i t="grand" i="29">
      <x/>
    </i>
    <i t="grand" i="30">
      <x/>
    </i>
    <i t="grand" i="31">
      <x/>
    </i>
    <i t="grand" i="32">
      <x/>
    </i>
    <i t="grand" i="33">
      <x/>
    </i>
    <i t="grand" i="34">
      <x/>
    </i>
    <i t="grand" i="35">
      <x/>
    </i>
  </rowItems>
  <colFields count="2">
    <field x="32"/>
    <field x="3"/>
  </colFields>
  <colItems count="17">
    <i>
      <x/>
      <x/>
    </i>
    <i r="1">
      <x v="1"/>
    </i>
    <i r="1">
      <x v="2"/>
    </i>
    <i r="1">
      <x v="3"/>
    </i>
    <i r="1">
      <x v="4"/>
    </i>
    <i r="1">
      <x v="5"/>
    </i>
    <i r="1">
      <x v="12"/>
    </i>
    <i t="default">
      <x/>
    </i>
    <i>
      <x v="1"/>
      <x v="6"/>
    </i>
    <i r="1">
      <x v="7"/>
    </i>
    <i r="1">
      <x v="8"/>
    </i>
    <i r="1">
      <x v="9"/>
    </i>
    <i t="default">
      <x v="1"/>
    </i>
    <i>
      <x v="2"/>
      <x v="10"/>
    </i>
    <i r="1">
      <x v="11"/>
    </i>
    <i r="1">
      <x v="14"/>
    </i>
    <i t="default">
      <x v="2"/>
    </i>
  </colItems>
  <dataFields count="36">
    <dataField name=" Old %UG OnC Trad" fld="33" baseField="0" baseItem="0"/>
    <dataField name=" New %UG OnC Trad" fld="34" baseField="0" baseItem="0"/>
    <dataField name=" Change %UG OnC Trad" fld="57" baseField="0" baseItem="0"/>
    <dataField name=" Old %UG OffC Trad" fld="36" baseField="0" baseItem="0"/>
    <dataField name=" New %UG OffC Trad" fld="35" baseField="0" baseItem="0"/>
    <dataField name=" Change %UG OffC Trad" fld="60" baseField="0" baseItem="0"/>
    <dataField name=" Old %UG EL Web" fld="41" baseField="0" baseItem="0"/>
    <dataField name=" New %UG EL Web" fld="42" baseField="0" baseItem="0"/>
    <dataField name=" Change %UG EL Web" fld="61" baseField="0" baseItem="0"/>
    <dataField name=" Old %UG EL CV" fld="48" baseField="0" baseItem="0"/>
    <dataField name=" New %UG EL CV" fld="47" baseField="0" baseItem="0"/>
    <dataField name=" Change %UG EL CV" fld="64" baseField="0" baseItem="0"/>
    <dataField name=" Old %UG EL O" fld="49" baseField="0" baseItem="0"/>
    <dataField name=" New %UG EL O" fld="50" baseField="0" baseItem="0"/>
    <dataField name=" Change %UG EL O" fld="65" baseField="0" baseItem="0"/>
    <dataField name=" Old %UG Cor" fld="56" baseField="0" baseItem="0"/>
    <dataField name=" New %UG Cor" fld="55" baseField="0" baseItem="0"/>
    <dataField name=" Change %UG Cor" fld="68" baseField="0" baseItem="0"/>
    <dataField name=" Old %G OnC Trad" fld="38" baseField="0" baseItem="0"/>
    <dataField name=" New %G OnC Trad" fld="39" baseField="0" baseItem="0"/>
    <dataField name=" Change %G OnC Trad" fld="58" baseField="0" baseItem="0"/>
    <dataField name=" Old %G OffC Trad" fld="37" baseField="0" baseItem="0"/>
    <dataField name=" New %G OffC Trad" fld="40" baseField="0" baseItem="0"/>
    <dataField name=" Change %G OffC Trad" fld="59" baseField="0" baseItem="0"/>
    <dataField name=" Old %G EL Web" fld="44" baseField="0" baseItem="0"/>
    <dataField name=" New %G EL Web" fld="43" baseField="0" baseItem="0"/>
    <dataField name=" Change %G EL Web" fld="62" baseField="0" baseItem="0"/>
    <dataField name=" Old %G EL CV" fld="45" baseField="0" baseItem="0"/>
    <dataField name=" New %G EL CV" fld="46" baseField="0" baseItem="0"/>
    <dataField name=" Change %G EL CV" fld="63" baseField="0" baseItem="0"/>
    <dataField name=" Old %G EL O" fld="52" baseField="0" baseItem="0"/>
    <dataField name=" New %G EL O" fld="51" baseField="0" baseItem="0"/>
    <dataField name=" Change %G EL O" fld="66" baseField="0" baseItem="0"/>
    <dataField name=" Old %G Cor" fld="53" baseField="0" baseItem="0"/>
    <dataField name=" New %G Cor" fld="54" baseField="0" baseItem="0"/>
    <dataField name=" Change %G Cor" fld="67" baseField="0" baseItem="0"/>
  </dataFields>
  <formats count="222">
    <format dxfId="0">
      <pivotArea outline="0" fieldPosition="1" axis="axisCol" dataOnly="0" field="3" labelOnly="1" type="button"/>
    </format>
    <format dxfId="0">
      <pivotArea outline="0" fieldPosition="0" dataOnly="0" labelOnly="1" type="topRight"/>
    </format>
    <format dxfId="0">
      <pivotArea outline="0" fieldPosition="0" dataOnly="0" grandCol="1" labelOnly="1"/>
    </format>
    <format dxfId="1">
      <pivotArea outline="0" fieldPosition="0"/>
    </format>
    <format dxfId="2">
      <pivotArea outline="0" fieldPosition="0" dataOnly="0" labelOnly="1" offset="IV256">
        <references count="1">
          <reference field="0" count="1">
            <x v="2"/>
          </reference>
        </references>
      </pivotArea>
    </format>
    <format dxfId="2">
      <pivotArea outline="0" fieldPosition="0" dataOnly="0" labelOnly="1" offset="IV256">
        <references count="1">
          <reference field="0" count="1">
            <x v="3"/>
          </reference>
        </references>
      </pivotArea>
    </format>
    <format dxfId="2">
      <pivotArea outline="0" fieldPosition="0" dataOnly="0" labelOnly="1" offset="IV256">
        <references count="1">
          <reference field="0" count="1">
            <x v="4"/>
          </reference>
        </references>
      </pivotArea>
    </format>
    <format dxfId="2">
      <pivotArea outline="0" fieldPosition="0" dataOnly="0" labelOnly="1" offset="IV256">
        <references count="1">
          <reference field="0" count="1">
            <x v="5"/>
          </reference>
        </references>
      </pivotArea>
    </format>
    <format dxfId="2">
      <pivotArea outline="0" fieldPosition="0" dataOnly="0" labelOnly="1" offset="IV27:IV256">
        <references count="1">
          <reference field="0" count="1">
            <x v="6"/>
          </reference>
        </references>
      </pivotArea>
    </format>
    <format dxfId="2">
      <pivotArea outline="0" fieldPosition="0" dataOnly="0" labelOnly="1" offset="IV256">
        <references count="1">
          <reference field="0" count="1">
            <x v="7"/>
          </reference>
        </references>
      </pivotArea>
    </format>
    <format dxfId="2">
      <pivotArea outline="0" fieldPosition="0" dataOnly="0" labelOnly="1" offset="IV256">
        <references count="1">
          <reference field="0" count="1">
            <x v="8"/>
          </reference>
        </references>
      </pivotArea>
    </format>
    <format dxfId="2">
      <pivotArea outline="0" fieldPosition="0" dataOnly="0" labelOnly="1" offset="IV256">
        <references count="1">
          <reference field="0" count="1">
            <x v="9"/>
          </reference>
        </references>
      </pivotArea>
    </format>
    <format dxfId="2">
      <pivotArea outline="0" fieldPosition="0" dataOnly="0" labelOnly="1" offset="IV256">
        <references count="1">
          <reference field="0" count="1">
            <x v="10"/>
          </reference>
        </references>
      </pivotArea>
    </format>
    <format dxfId="2">
      <pivotArea outline="0" fieldPosition="0" dataOnly="0" labelOnly="1" offset="IV256">
        <references count="1">
          <reference field="0" count="1">
            <x v="11"/>
          </reference>
        </references>
      </pivotArea>
    </format>
    <format dxfId="2">
      <pivotArea outline="0" fieldPosition="0" dataOnly="0" labelOnly="1" offset="IV256">
        <references count="1">
          <reference field="0" count="1">
            <x v="12"/>
          </reference>
        </references>
      </pivotArea>
    </format>
    <format dxfId="2">
      <pivotArea outline="0" fieldPosition="0" dataOnly="0" labelOnly="1" offset="IV256">
        <references count="1">
          <reference field="0" count="1">
            <x v="13"/>
          </reference>
        </references>
      </pivotArea>
    </format>
    <format dxfId="2">
      <pivotArea outline="0" fieldPosition="0" dataOnly="0" labelOnly="1" offset="IV256">
        <references count="1">
          <reference field="0" count="1">
            <x v="14"/>
          </reference>
        </references>
      </pivotArea>
    </format>
    <format dxfId="3">
      <pivotArea outline="0" fieldPosition="0" dataOnly="0" labelOnly="1" offset="A2:B2" type="origin"/>
    </format>
    <format dxfId="4">
      <pivotArea outline="0" fieldPosition="0" dataOnly="0" labelOnly="1">
        <references count="1">
          <reference field="0" count="0"/>
        </references>
      </pivotArea>
    </format>
    <format dxfId="5">
      <pivotArea outline="0" fieldPosition="0" dataOnly="0" labelOnly="1" offset="IV1">
        <references count="1">
          <reference field="0" count="1">
            <x v="0"/>
          </reference>
        </references>
      </pivotArea>
    </format>
    <format dxfId="6">
      <pivotArea outline="0" fieldPosition="0" dataOnly="0" labelOnly="1" type="origin"/>
    </format>
    <format dxfId="6">
      <pivotArea outline="0" fieldPosition="0" axis="axisRow" dataOnly="0" field="0" labelOnly="1" type="button"/>
    </format>
    <format dxfId="6">
      <pivotArea outline="0" fieldPosition="1" axis="axisRow" dataOnly="0" field="-2" labelOnly="1" type="button"/>
    </format>
    <format dxfId="6">
      <pivotArea outline="0" fieldPosition="1" axis="axisCol" dataOnly="0" field="3" labelOnly="1" type="button"/>
    </format>
    <format dxfId="6">
      <pivotArea outline="0" fieldPosition="0" dataOnly="0" labelOnly="1" type="topRight"/>
    </format>
    <format dxfId="7">
      <pivotArea outline="0" fieldPosition="0" dataOnly="0" labelOnly="1" offset="IV5:IV6">
        <references count="1">
          <reference field="0" count="1">
            <x v="1"/>
          </reference>
        </references>
      </pivotArea>
    </format>
    <format dxfId="8">
      <pivotArea outline="0" fieldPosition="0" dataOnly="0" labelOnly="1" offset="IV7:IV8">
        <references count="1">
          <reference field="0" count="1">
            <x v="1"/>
          </reference>
        </references>
      </pivotArea>
    </format>
    <format dxfId="9">
      <pivotArea outline="0" fieldPosition="0" dataOnly="0" labelOnly="1" offset="IV9:IV10">
        <references count="1">
          <reference field="0" count="1">
            <x v="1"/>
          </reference>
        </references>
      </pivotArea>
    </format>
    <format dxfId="10">
      <pivotArea outline="0" fieldPosition="0" dataOnly="0" labelOnly="1" offset="IV11:IV12">
        <references count="1">
          <reference field="0" count="1">
            <x v="1"/>
          </reference>
        </references>
      </pivotArea>
    </format>
    <format dxfId="11">
      <pivotArea outline="0" fieldPosition="0" dataOnly="0" labelOnly="1" offset="IV5:IV12">
        <references count="1">
          <reference field="0" count="1">
            <x v="1"/>
          </reference>
        </references>
      </pivotArea>
    </format>
    <format dxfId="12">
      <pivotArea outline="0" fieldPosition="0" dataOnly="0" labelOnly="1" offset="IV256">
        <references count="1">
          <reference field="0" count="1">
            <x v="0"/>
          </reference>
        </references>
      </pivotArea>
    </format>
    <format dxfId="2">
      <pivotArea outline="0" fieldPosition="0" dataOnly="0" grandCol="1" labelOnly="1" offset="IV256"/>
    </format>
    <format dxfId="13">
      <pivotArea outline="0" fieldPosition="0" dataOnly="0" labelOnly="1">
        <references count="2">
          <reference field="4294967294" count="1">
            <x v="2"/>
          </reference>
          <reference field="0" count="1">
            <x v="0"/>
          </reference>
        </references>
      </pivotArea>
    </format>
    <format dxfId="4">
      <pivotArea outline="0" fieldPosition="0" dataOnly="0" labelOnly="1">
        <references count="2">
          <reference field="4294967294" count="1">
            <x v="2"/>
          </reference>
          <reference field="0" count="1">
            <x v="0"/>
          </reference>
        </references>
      </pivotArea>
    </format>
    <format dxfId="14">
      <pivotArea outline="0" fieldPosition="0" dataOnly="0" labelOnly="1">
        <references count="2">
          <reference field="4294967294" count="1">
            <x v="5"/>
          </reference>
          <reference field="0" count="1">
            <x v="1"/>
          </reference>
        </references>
      </pivotArea>
    </format>
    <format dxfId="14">
      <pivotArea outline="0" fieldPosition="0" dataOnly="0" labelOnly="1">
        <references count="2">
          <reference field="4294967294" count="1">
            <x v="8"/>
          </reference>
          <reference field="0" count="1">
            <x v="1"/>
          </reference>
        </references>
      </pivotArea>
    </format>
    <format dxfId="14">
      <pivotArea outline="0" fieldPosition="0" dataOnly="0" labelOnly="1">
        <references count="2">
          <reference field="4294967294" count="1">
            <x v="11"/>
          </reference>
          <reference field="0" count="1">
            <x v="1"/>
          </reference>
        </references>
      </pivotArea>
    </format>
    <format dxfId="14">
      <pivotArea outline="0" fieldPosition="0" dataOnly="0" labelOnly="1">
        <references count="2">
          <reference field="4294967294" count="1">
            <x v="14"/>
          </reference>
          <reference field="0" count="1">
            <x v="1"/>
          </reference>
        </references>
      </pivotArea>
    </format>
    <format dxfId="14">
      <pivotArea outline="0" fieldPosition="0" dataOnly="0" labelOnly="1">
        <references count="2">
          <reference field="4294967294" count="1">
            <x v="17"/>
          </reference>
          <reference field="0" count="1">
            <x v="1"/>
          </reference>
        </references>
      </pivotArea>
    </format>
    <format dxfId="14">
      <pivotArea outline="0" fieldPosition="0" dataOnly="0" labelOnly="1">
        <references count="2">
          <reference field="4294967294" count="1">
            <x v="20"/>
          </reference>
          <reference field="0" count="1">
            <x v="1"/>
          </reference>
        </references>
      </pivotArea>
    </format>
    <format dxfId="14">
      <pivotArea outline="0" fieldPosition="0" dataOnly="0" labelOnly="1">
        <references count="2">
          <reference field="4294967294" count="1">
            <x v="23"/>
          </reference>
          <reference field="0" count="1">
            <x v="1"/>
          </reference>
        </references>
      </pivotArea>
    </format>
    <format dxfId="14">
      <pivotArea outline="0" fieldPosition="0" dataOnly="0" labelOnly="1">
        <references count="2">
          <reference field="4294967294" count="1">
            <x v="26"/>
          </reference>
          <reference field="0" count="1">
            <x v="1"/>
          </reference>
        </references>
      </pivotArea>
    </format>
    <format dxfId="14">
      <pivotArea outline="0" fieldPosition="0" dataOnly="0" labelOnly="1">
        <references count="2">
          <reference field="4294967294" count="1">
            <x v="29"/>
          </reference>
          <reference field="0" count="1">
            <x v="1"/>
          </reference>
        </references>
      </pivotArea>
    </format>
    <format dxfId="14">
      <pivotArea outline="0" fieldPosition="0" dataOnly="0" labelOnly="1">
        <references count="2">
          <reference field="4294967294" count="1">
            <x v="32"/>
          </reference>
          <reference field="0" count="1">
            <x v="1"/>
          </reference>
        </references>
      </pivotArea>
    </format>
    <format dxfId="14">
      <pivotArea outline="0" fieldPosition="0" dataOnly="0" labelOnly="1">
        <references count="2">
          <reference field="4294967294" count="1">
            <x v="35"/>
          </reference>
          <reference field="0" count="1">
            <x v="1"/>
          </reference>
        </references>
      </pivotArea>
    </format>
    <format dxfId="2">
      <pivotArea outline="0" fieldPosition="0">
        <references count="2">
          <reference field="4294967294" count="1">
            <x v="35"/>
          </reference>
          <reference field="0" count="1">
            <x v="1"/>
          </reference>
        </references>
      </pivotArea>
    </format>
    <format dxfId="2">
      <pivotArea outline="0" fieldPosition="0" dataOnly="0" labelOnly="1" offset="IV256">
        <references count="1">
          <reference field="0" count="1">
            <x v="1"/>
          </reference>
        </references>
      </pivotArea>
    </format>
    <format dxfId="2">
      <pivotArea outline="0" fieldPosition="0" dataOnly="0" labelOnly="1">
        <references count="2">
          <reference field="4294967294" count="1">
            <x v="35"/>
          </reference>
          <reference field="0" count="1">
            <x v="1"/>
          </reference>
        </references>
      </pivotArea>
    </format>
    <format dxfId="15">
      <pivotArea outline="0" fieldPosition="0">
        <references count="3">
          <reference field="4294967294" count="1">
            <x v="34"/>
          </reference>
          <reference field="0" count="1">
            <x v="0"/>
          </reference>
          <reference field="32" defaultSubtotal="1" count="1">
            <x v="0"/>
          </reference>
        </references>
      </pivotArea>
    </format>
    <format dxfId="16">
      <pivotArea outline="0" fieldPosition="0">
        <references count="4">
          <reference field="4294967294" count="3">
            <x v="21"/>
            <x v="22"/>
            <x v="23"/>
          </reference>
          <reference field="0" count="1">
            <x v="9"/>
          </reference>
          <reference field="3" count="1">
            <x v="2"/>
          </reference>
          <reference field="32" count="1">
            <x v="0"/>
          </reference>
        </references>
      </pivotArea>
    </format>
    <format dxfId="17">
      <pivotArea outline="0" fieldPosition="0">
        <references count="4">
          <reference field="4294967294" count="3">
            <x v="27"/>
            <x v="28"/>
            <x v="29"/>
          </reference>
          <reference field="0" count="1">
            <x v="10"/>
          </reference>
          <reference field="3" count="1">
            <x v="0"/>
          </reference>
          <reference field="32" count="1">
            <x v="0"/>
          </reference>
        </references>
      </pivotArea>
    </format>
    <format dxfId="17">
      <pivotArea outline="0" fieldPosition="0">
        <references count="4">
          <reference field="4294967294" count="3">
            <x v="18"/>
            <x v="19"/>
            <x v="20"/>
          </reference>
          <reference field="0" count="1">
            <x v="10"/>
          </reference>
          <reference field="3" count="1">
            <x v="0"/>
          </reference>
          <reference field="32" count="1">
            <x v="0"/>
          </reference>
        </references>
      </pivotArea>
    </format>
    <format dxfId="18">
      <pivotArea outline="0" fieldPosition="0">
        <references count="4">
          <reference field="4294967294" count="3">
            <x v="21"/>
            <x v="22"/>
            <x v="23"/>
          </reference>
          <reference field="0" count="1">
            <x v="10"/>
          </reference>
          <reference field="3" count="1">
            <x v="0"/>
          </reference>
          <reference field="32" count="1">
            <x v="0"/>
          </reference>
        </references>
      </pivotArea>
    </format>
    <format dxfId="19">
      <pivotArea outline="0" fieldPosition="0">
        <references count="4">
          <reference field="4294967294" count="3">
            <x v="24"/>
            <x v="25"/>
            <x v="26"/>
          </reference>
          <reference field="0" count="1">
            <x v="10"/>
          </reference>
          <reference field="3" count="1">
            <x v="0"/>
          </reference>
          <reference field="32" count="1">
            <x v="0"/>
          </reference>
        </references>
      </pivotArea>
    </format>
    <format dxfId="1">
      <pivotArea outline="0" fieldPosition="0">
        <references count="2">
          <reference field="4294967294" count="1">
            <x v="2"/>
          </reference>
          <reference field="0" count="1">
            <x v="1"/>
          </reference>
        </references>
      </pivotArea>
    </format>
    <format dxfId="20">
      <pivotArea outline="0" fieldPosition="0">
        <references count="4">
          <reference field="4294967294" count="1">
            <x v="2"/>
          </reference>
          <reference field="0" count="1">
            <x v="1"/>
          </reference>
          <reference field="3" count="1">
            <x v="1"/>
          </reference>
          <reference field="32" count="1">
            <x v="0"/>
          </reference>
        </references>
      </pivotArea>
    </format>
    <format dxfId="20">
      <pivotArea outline="0" fieldPosition="0">
        <references count="2">
          <reference field="4294967294" count="1">
            <x v="2"/>
          </reference>
          <reference field="0" count="1">
            <x v="0"/>
          </reference>
        </references>
      </pivotArea>
    </format>
    <format dxfId="6">
      <pivotArea outline="0" fieldPosition="0">
        <references count="2">
          <reference field="4294967294" count="1">
            <x v="2"/>
          </reference>
          <reference field="0" count="1">
            <x v="0"/>
          </reference>
        </references>
      </pivotArea>
    </format>
    <format dxfId="14">
      <pivotArea outline="0" fieldPosition="0" dataOnly="0" labelOnly="1">
        <references count="2">
          <reference field="4294967294" count="1">
            <x v="5"/>
          </reference>
          <reference field="0" count="1">
            <x v="0"/>
          </reference>
        </references>
      </pivotArea>
    </format>
    <format dxfId="14">
      <pivotArea outline="0" fieldPosition="0" dataOnly="0" labelOnly="1">
        <references count="2">
          <reference field="4294967294" count="1">
            <x v="8"/>
          </reference>
          <reference field="0" count="1">
            <x v="0"/>
          </reference>
        </references>
      </pivotArea>
    </format>
    <format dxfId="14">
      <pivotArea outline="0" fieldPosition="0" dataOnly="0" labelOnly="1">
        <references count="2">
          <reference field="4294967294" count="1">
            <x v="11"/>
          </reference>
          <reference field="0" count="1">
            <x v="0"/>
          </reference>
        </references>
      </pivotArea>
    </format>
    <format dxfId="14">
      <pivotArea outline="0" fieldPosition="0" dataOnly="0" labelOnly="1">
        <references count="2">
          <reference field="4294967294" count="1">
            <x v="14"/>
          </reference>
          <reference field="0" count="1">
            <x v="0"/>
          </reference>
        </references>
      </pivotArea>
    </format>
    <format dxfId="14">
      <pivotArea outline="0" fieldPosition="0" dataOnly="0" labelOnly="1">
        <references count="2">
          <reference field="4294967294" count="1">
            <x v="17"/>
          </reference>
          <reference field="0" count="1">
            <x v="0"/>
          </reference>
        </references>
      </pivotArea>
    </format>
    <format dxfId="14">
      <pivotArea outline="0" fieldPosition="0" dataOnly="0" labelOnly="1">
        <references count="2">
          <reference field="4294967294" count="1">
            <x v="20"/>
          </reference>
          <reference field="0" count="1">
            <x v="0"/>
          </reference>
        </references>
      </pivotArea>
    </format>
    <format dxfId="14">
      <pivotArea outline="0" fieldPosition="0" dataOnly="0" labelOnly="1">
        <references count="2">
          <reference field="4294967294" count="1">
            <x v="23"/>
          </reference>
          <reference field="0" count="1">
            <x v="0"/>
          </reference>
        </references>
      </pivotArea>
    </format>
    <format dxfId="14">
      <pivotArea outline="0" fieldPosition="0" dataOnly="0" labelOnly="1">
        <references count="2">
          <reference field="4294967294" count="1">
            <x v="26"/>
          </reference>
          <reference field="0" count="1">
            <x v="0"/>
          </reference>
        </references>
      </pivotArea>
    </format>
    <format dxfId="14">
      <pivotArea outline="0" fieldPosition="0" dataOnly="0" labelOnly="1">
        <references count="2">
          <reference field="4294967294" count="1">
            <x v="29"/>
          </reference>
          <reference field="0" count="1">
            <x v="0"/>
          </reference>
        </references>
      </pivotArea>
    </format>
    <format dxfId="14">
      <pivotArea outline="0" fieldPosition="0" dataOnly="0" labelOnly="1">
        <references count="2">
          <reference field="4294967294" count="1">
            <x v="32"/>
          </reference>
          <reference field="0" count="1">
            <x v="0"/>
          </reference>
        </references>
      </pivotArea>
    </format>
    <format dxfId="14">
      <pivotArea outline="0" fieldPosition="0" dataOnly="0" labelOnly="1">
        <references count="2">
          <reference field="4294967294" count="1">
            <x v="35"/>
          </reference>
          <reference field="0" count="1">
            <x v="0"/>
          </reference>
        </references>
      </pivotArea>
    </format>
    <format dxfId="2">
      <pivotArea outline="0" fieldPosition="0">
        <references count="2">
          <reference field="4294967294" count="1">
            <x v="35"/>
          </reference>
          <reference field="0" count="1">
            <x v="0"/>
          </reference>
        </references>
      </pivotArea>
    </format>
    <format dxfId="2">
      <pivotArea outline="0" fieldPosition="0" dataOnly="0" labelOnly="1" offset="IV256">
        <references count="1">
          <reference field="0" count="1">
            <x v="0"/>
          </reference>
        </references>
      </pivotArea>
    </format>
    <format dxfId="2">
      <pivotArea outline="0" fieldPosition="0" dataOnly="0" labelOnly="1">
        <references count="2">
          <reference field="4294967294" count="1">
            <x v="35"/>
          </reference>
          <reference field="0" count="1">
            <x v="0"/>
          </reference>
        </references>
      </pivotArea>
    </format>
    <format dxfId="4">
      <pivotArea outline="0" fieldPosition="0">
        <references count="4">
          <reference field="4294967294" count="1">
            <x v="2"/>
          </reference>
          <reference field="0" count="1">
            <x v="1"/>
          </reference>
          <reference field="3" count="6">
            <x v="1"/>
            <x v="2"/>
            <x v="3"/>
            <x v="4"/>
            <x v="5"/>
            <x v="12"/>
          </reference>
          <reference field="32" count="1">
            <x v="0"/>
          </reference>
        </references>
      </pivotArea>
    </format>
    <format dxfId="4">
      <pivotArea outline="0" fieldPosition="0">
        <references count="3">
          <reference field="4294967294" count="1">
            <x v="2"/>
          </reference>
          <reference field="0" count="1">
            <x v="1"/>
          </reference>
          <reference field="32" defaultSubtotal="1" count="1">
            <x v="0"/>
          </reference>
        </references>
      </pivotArea>
    </format>
    <format dxfId="4">
      <pivotArea outline="0" fieldPosition="0">
        <references count="3">
          <reference field="4294967294" count="1">
            <x v="2"/>
          </reference>
          <reference field="0" count="1">
            <x v="1"/>
          </reference>
          <reference field="32" defaultSubtotal="1" count="2">
            <x v="1"/>
            <x v="2"/>
          </reference>
        </references>
      </pivotArea>
    </format>
    <format dxfId="21">
      <pivotArea outline="0" fieldPosition="0">
        <references count="4">
          <reference field="4294967294" count="1">
            <x v="5"/>
          </reference>
          <reference field="0" count="1">
            <x v="1"/>
          </reference>
          <reference field="3" count="1">
            <x v="1"/>
          </reference>
          <reference field="32" count="1">
            <x v="0"/>
          </reference>
        </references>
      </pivotArea>
    </format>
    <format dxfId="21">
      <pivotArea outline="0" fieldPosition="0">
        <references count="4">
          <reference field="4294967294" count="1">
            <x v="8"/>
          </reference>
          <reference field="0" count="1">
            <x v="1"/>
          </reference>
          <reference field="3" count="1">
            <x v="1"/>
          </reference>
          <reference field="32" count="1">
            <x v="0"/>
          </reference>
        </references>
      </pivotArea>
    </format>
    <format dxfId="21">
      <pivotArea outline="0" fieldPosition="0">
        <references count="4">
          <reference field="4294967294" count="1">
            <x v="11"/>
          </reference>
          <reference field="0" count="1">
            <x v="1"/>
          </reference>
          <reference field="3" count="1">
            <x v="1"/>
          </reference>
          <reference field="32" count="1">
            <x v="0"/>
          </reference>
        </references>
      </pivotArea>
    </format>
    <format dxfId="21">
      <pivotArea outline="0" fieldPosition="0">
        <references count="4">
          <reference field="4294967294" count="1">
            <x v="14"/>
          </reference>
          <reference field="0" count="1">
            <x v="1"/>
          </reference>
          <reference field="3" count="1">
            <x v="1"/>
          </reference>
          <reference field="32" count="1">
            <x v="0"/>
          </reference>
        </references>
      </pivotArea>
    </format>
    <format dxfId="21">
      <pivotArea outline="0" fieldPosition="0">
        <references count="4">
          <reference field="4294967294" count="1">
            <x v="17"/>
          </reference>
          <reference field="0" count="1">
            <x v="1"/>
          </reference>
          <reference field="3" count="1">
            <x v="1"/>
          </reference>
          <reference field="32" count="1">
            <x v="0"/>
          </reference>
        </references>
      </pivotArea>
    </format>
    <format dxfId="21">
      <pivotArea outline="0" fieldPosition="0">
        <references count="4">
          <reference field="4294967294" count="1">
            <x v="20"/>
          </reference>
          <reference field="0" count="1">
            <x v="1"/>
          </reference>
          <reference field="3" count="1">
            <x v="1"/>
          </reference>
          <reference field="32" count="1">
            <x v="0"/>
          </reference>
        </references>
      </pivotArea>
    </format>
    <format dxfId="21">
      <pivotArea outline="0" fieldPosition="0">
        <references count="4">
          <reference field="4294967294" count="1">
            <x v="23"/>
          </reference>
          <reference field="0" count="1">
            <x v="1"/>
          </reference>
          <reference field="3" count="1">
            <x v="1"/>
          </reference>
          <reference field="32" count="1">
            <x v="0"/>
          </reference>
        </references>
      </pivotArea>
    </format>
    <format dxfId="21">
      <pivotArea outline="0" fieldPosition="0">
        <references count="4">
          <reference field="4294967294" count="1">
            <x v="26"/>
          </reference>
          <reference field="0" count="1">
            <x v="1"/>
          </reference>
          <reference field="3" count="1">
            <x v="1"/>
          </reference>
          <reference field="32" count="1">
            <x v="0"/>
          </reference>
        </references>
      </pivotArea>
    </format>
    <format dxfId="21">
      <pivotArea outline="0" fieldPosition="0">
        <references count="4">
          <reference field="4294967294" count="1">
            <x v="29"/>
          </reference>
          <reference field="0" count="1">
            <x v="1"/>
          </reference>
          <reference field="3" count="1">
            <x v="1"/>
          </reference>
          <reference field="32" count="1">
            <x v="0"/>
          </reference>
        </references>
      </pivotArea>
    </format>
    <format dxfId="21">
      <pivotArea outline="0" fieldPosition="0">
        <references count="4">
          <reference field="4294967294" count="1">
            <x v="32"/>
          </reference>
          <reference field="0" count="1">
            <x v="1"/>
          </reference>
          <reference field="3" count="1">
            <x v="1"/>
          </reference>
          <reference field="32" count="1">
            <x v="0"/>
          </reference>
        </references>
      </pivotArea>
    </format>
    <format dxfId="21">
      <pivotArea outline="0" fieldPosition="0">
        <references count="4">
          <reference field="4294967294" count="1">
            <x v="35"/>
          </reference>
          <reference field="0" count="1">
            <x v="1"/>
          </reference>
          <reference field="3" count="1">
            <x v="1"/>
          </reference>
          <reference field="32" count="1">
            <x v="0"/>
          </reference>
        </references>
      </pivotArea>
    </format>
    <format dxfId="4">
      <pivotArea outline="0" fieldPosition="0">
        <references count="4">
          <reference field="4294967294" count="1">
            <x v="2"/>
          </reference>
          <reference field="0" count="1">
            <x v="3"/>
          </reference>
          <reference field="3" count="1">
            <x v="0"/>
          </reference>
          <reference field="32" count="1">
            <x v="0"/>
          </reference>
        </references>
      </pivotArea>
    </format>
    <format dxfId="4">
      <pivotArea outline="0" fieldPosition="0">
        <references count="4">
          <reference field="4294967294" count="1">
            <x v="5"/>
          </reference>
          <reference field="0" count="1">
            <x v="3"/>
          </reference>
          <reference field="3" count="1">
            <x v="0"/>
          </reference>
          <reference field="32" count="1">
            <x v="0"/>
          </reference>
        </references>
      </pivotArea>
    </format>
    <format dxfId="4">
      <pivotArea outline="0" fieldPosition="0">
        <references count="4">
          <reference field="4294967294" count="1">
            <x v="8"/>
          </reference>
          <reference field="0" count="1">
            <x v="3"/>
          </reference>
          <reference field="3" count="1">
            <x v="0"/>
          </reference>
          <reference field="32" count="1">
            <x v="0"/>
          </reference>
        </references>
      </pivotArea>
    </format>
    <format dxfId="4">
      <pivotArea outline="0" fieldPosition="0">
        <references count="4">
          <reference field="4294967294" count="1">
            <x v="11"/>
          </reference>
          <reference field="0" count="1">
            <x v="3"/>
          </reference>
          <reference field="3" count="1">
            <x v="0"/>
          </reference>
          <reference field="32" count="1">
            <x v="0"/>
          </reference>
        </references>
      </pivotArea>
    </format>
    <format dxfId="4">
      <pivotArea outline="0" fieldPosition="0">
        <references count="4">
          <reference field="4294967294" count="1">
            <x v="14"/>
          </reference>
          <reference field="0" count="1">
            <x v="3"/>
          </reference>
          <reference field="3" count="1">
            <x v="0"/>
          </reference>
          <reference field="32" count="1">
            <x v="0"/>
          </reference>
        </references>
      </pivotArea>
    </format>
    <format dxfId="4">
      <pivotArea outline="0" fieldPosition="0">
        <references count="4">
          <reference field="4294967294" count="1">
            <x v="17"/>
          </reference>
          <reference field="0" count="1">
            <x v="3"/>
          </reference>
          <reference field="3" count="1">
            <x v="0"/>
          </reference>
          <reference field="32" count="1">
            <x v="0"/>
          </reference>
        </references>
      </pivotArea>
    </format>
    <format dxfId="4">
      <pivotArea outline="0" fieldPosition="0">
        <references count="4">
          <reference field="4294967294" count="1">
            <x v="20"/>
          </reference>
          <reference field="0" count="1">
            <x v="3"/>
          </reference>
          <reference field="3" count="1">
            <x v="0"/>
          </reference>
          <reference field="32" count="1">
            <x v="0"/>
          </reference>
        </references>
      </pivotArea>
    </format>
    <format dxfId="4">
      <pivotArea outline="0" fieldPosition="0">
        <references count="4">
          <reference field="4294967294" count="1">
            <x v="23"/>
          </reference>
          <reference field="0" count="1">
            <x v="3"/>
          </reference>
          <reference field="3" count="1">
            <x v="0"/>
          </reference>
          <reference field="32" count="1">
            <x v="0"/>
          </reference>
        </references>
      </pivotArea>
    </format>
    <format dxfId="4">
      <pivotArea outline="0" fieldPosition="0">
        <references count="4">
          <reference field="4294967294" count="1">
            <x v="26"/>
          </reference>
          <reference field="0" count="1">
            <x v="3"/>
          </reference>
          <reference field="3" count="1">
            <x v="0"/>
          </reference>
          <reference field="32" count="1">
            <x v="0"/>
          </reference>
        </references>
      </pivotArea>
    </format>
    <format dxfId="4">
      <pivotArea outline="0" fieldPosition="0">
        <references count="4">
          <reference field="4294967294" count="1">
            <x v="29"/>
          </reference>
          <reference field="0" count="1">
            <x v="3"/>
          </reference>
          <reference field="3" count="1">
            <x v="0"/>
          </reference>
          <reference field="32" count="1">
            <x v="0"/>
          </reference>
        </references>
      </pivotArea>
    </format>
    <format dxfId="4">
      <pivotArea outline="0" fieldPosition="0">
        <references count="4">
          <reference field="4294967294" count="1">
            <x v="32"/>
          </reference>
          <reference field="0" count="1">
            <x v="3"/>
          </reference>
          <reference field="3" count="1">
            <x v="0"/>
          </reference>
          <reference field="32" count="1">
            <x v="0"/>
          </reference>
        </references>
      </pivotArea>
    </format>
    <format dxfId="4">
      <pivotArea outline="0" fieldPosition="0">
        <references count="4">
          <reference field="4294967294" count="1">
            <x v="35"/>
          </reference>
          <reference field="0" count="1">
            <x v="3"/>
          </reference>
          <reference field="3" count="1">
            <x v="0"/>
          </reference>
          <reference field="32" count="1">
            <x v="0"/>
          </reference>
        </references>
      </pivotArea>
    </format>
    <format dxfId="22">
      <pivotArea outline="0" fieldPosition="0">
        <references count="4">
          <reference field="4294967294" count="2">
            <x v="33"/>
            <x v="34"/>
          </reference>
          <reference field="0" count="1">
            <x v="3"/>
          </reference>
          <reference field="3" count="1">
            <x v="0"/>
          </reference>
          <reference field="32" count="1">
            <x v="0"/>
          </reference>
        </references>
      </pivotArea>
    </format>
    <format dxfId="15">
      <pivotArea outline="0" fieldPosition="0">
        <references count="4">
          <reference field="4294967294" count="1">
            <x v="33"/>
          </reference>
          <reference field="0" count="1">
            <x v="3"/>
          </reference>
          <reference field="3" count="1">
            <x v="0"/>
          </reference>
          <reference field="32" count="1">
            <x v="0"/>
          </reference>
        </references>
      </pivotArea>
    </format>
    <format dxfId="22">
      <pivotArea outline="0" fieldPosition="0">
        <references count="3">
          <reference field="4294967294" count="1">
            <x v="34"/>
          </reference>
          <reference field="0" count="1">
            <x v="3"/>
          </reference>
          <reference field="32" defaultSubtotal="1" count="1">
            <x v="0"/>
          </reference>
        </references>
      </pivotArea>
    </format>
    <format dxfId="15">
      <pivotArea outline="0" fieldPosition="0">
        <references count="3">
          <reference field="4294967294" count="1">
            <x v="33"/>
          </reference>
          <reference field="0" count="1">
            <x v="3"/>
          </reference>
          <reference field="32" defaultSubtotal="1" count="1">
            <x v="0"/>
          </reference>
        </references>
      </pivotArea>
    </format>
    <format dxfId="17">
      <pivotArea outline="0" fieldPosition="0">
        <references count="4">
          <reference field="4294967294" count="3">
            <x v="18"/>
            <x v="19"/>
            <x v="20"/>
          </reference>
          <reference field="0" count="1">
            <x v="1"/>
          </reference>
          <reference field="3" count="1">
            <x v="5"/>
          </reference>
          <reference field="32" count="1">
            <x v="0"/>
          </reference>
        </references>
      </pivotArea>
    </format>
    <format dxfId="17">
      <pivotArea outline="0" fieldPosition="0">
        <references count="4">
          <reference field="4294967294" count="3">
            <x v="24"/>
            <x v="25"/>
            <x v="26"/>
          </reference>
          <reference field="0" count="1">
            <x v="1"/>
          </reference>
          <reference field="3" count="1">
            <x v="5"/>
          </reference>
          <reference field="32" count="1">
            <x v="0"/>
          </reference>
        </references>
      </pivotArea>
    </format>
    <format dxfId="17">
      <pivotArea outline="0" fieldPosition="0">
        <references count="4">
          <reference field="4294967294" count="3">
            <x v="0"/>
            <x v="1"/>
            <x v="2"/>
          </reference>
          <reference field="0" count="1">
            <x v="3"/>
          </reference>
          <reference field="3" count="1">
            <x v="5"/>
          </reference>
          <reference field="32" count="1">
            <x v="0"/>
          </reference>
        </references>
      </pivotArea>
    </format>
    <format dxfId="18">
      <pivotArea outline="0" fieldPosition="0">
        <references count="4">
          <reference field="4294967294" count="3">
            <x v="3"/>
            <x v="4"/>
            <x v="5"/>
          </reference>
          <reference field="0" count="1">
            <x v="3"/>
          </reference>
          <reference field="3" count="1">
            <x v="5"/>
          </reference>
          <reference field="32" count="1">
            <x v="0"/>
          </reference>
        </references>
      </pivotArea>
    </format>
    <format dxfId="15">
      <pivotArea outline="0" fieldPosition="0">
        <references count="4">
          <reference field="4294967294" count="1">
            <x v="9"/>
          </reference>
          <reference field="0" count="1">
            <x v="4"/>
          </reference>
          <reference field="3" count="1">
            <x v="0"/>
          </reference>
          <reference field="32" count="1">
            <x v="0"/>
          </reference>
        </references>
      </pivotArea>
    </format>
    <format dxfId="15">
      <pivotArea outline="0" fieldPosition="0">
        <references count="4">
          <reference field="4294967294" count="1">
            <x v="13"/>
          </reference>
          <reference field="0" count="1">
            <x v="4"/>
          </reference>
          <reference field="3" count="1">
            <x v="0"/>
          </reference>
          <reference field="32" count="1">
            <x v="0"/>
          </reference>
        </references>
      </pivotArea>
    </format>
    <format dxfId="22">
      <pivotArea outline="0" fieldPosition="0">
        <references count="4">
          <reference field="4294967294" count="1">
            <x v="15"/>
          </reference>
          <reference field="0" count="1">
            <x v="4"/>
          </reference>
          <reference field="3" count="1">
            <x v="3"/>
          </reference>
          <reference field="32" count="1">
            <x v="0"/>
          </reference>
        </references>
      </pivotArea>
    </format>
    <format dxfId="17">
      <pivotArea outline="0" fieldPosition="0">
        <references count="4">
          <reference field="4294967294" count="3">
            <x v="0"/>
            <x v="1"/>
            <x v="2"/>
          </reference>
          <reference field="0" count="1">
            <x v="5"/>
          </reference>
          <reference field="3" count="1">
            <x v="1"/>
          </reference>
          <reference field="32" count="1">
            <x v="0"/>
          </reference>
        </references>
      </pivotArea>
    </format>
    <format dxfId="17">
      <pivotArea outline="0" fieldPosition="0">
        <references count="4">
          <reference field="4294967294" count="3">
            <x v="6"/>
            <x v="7"/>
            <x v="8"/>
          </reference>
          <reference field="0" count="1">
            <x v="5"/>
          </reference>
          <reference field="3" count="1">
            <x v="1"/>
          </reference>
          <reference field="32" count="1">
            <x v="0"/>
          </reference>
        </references>
      </pivotArea>
    </format>
    <format dxfId="17">
      <pivotArea outline="0" fieldPosition="0">
        <references count="4">
          <reference field="4294967294" count="3">
            <x v="18"/>
            <x v="19"/>
            <x v="20"/>
          </reference>
          <reference field="0" count="1">
            <x v="5"/>
          </reference>
          <reference field="3" count="1">
            <x v="1"/>
          </reference>
          <reference field="32" count="1">
            <x v="0"/>
          </reference>
        </references>
      </pivotArea>
    </format>
    <format dxfId="17">
      <pivotArea outline="0" fieldPosition="0">
        <references count="4">
          <reference field="4294967294" count="3">
            <x v="24"/>
            <x v="25"/>
            <x v="26"/>
          </reference>
          <reference field="0" count="1">
            <x v="5"/>
          </reference>
          <reference field="3" count="1">
            <x v="1"/>
          </reference>
          <reference field="32" count="1">
            <x v="0"/>
          </reference>
        </references>
      </pivotArea>
    </format>
    <format dxfId="17">
      <pivotArea outline="0" fieldPosition="0">
        <references count="4">
          <reference field="4294967294" count="3">
            <x v="18"/>
            <x v="19"/>
            <x v="20"/>
          </reference>
          <reference field="0" count="1">
            <x v="7"/>
          </reference>
          <reference field="3" count="1">
            <x v="2"/>
          </reference>
          <reference field="32" count="1">
            <x v="0"/>
          </reference>
        </references>
      </pivotArea>
    </format>
    <format dxfId="18">
      <pivotArea outline="0" fieldPosition="0">
        <references count="4">
          <reference field="4294967294" count="3">
            <x v="21"/>
            <x v="22"/>
            <x v="23"/>
          </reference>
          <reference field="0" count="1">
            <x v="7"/>
          </reference>
          <reference field="3" count="1">
            <x v="2"/>
          </reference>
          <reference field="32" count="1">
            <x v="0"/>
          </reference>
        </references>
      </pivotArea>
    </format>
    <format dxfId="17">
      <pivotArea outline="0" fieldPosition="0">
        <references count="4">
          <reference field="4294967294" count="3">
            <x v="21"/>
            <x v="22"/>
            <x v="23"/>
          </reference>
          <reference field="0" count="1">
            <x v="8"/>
          </reference>
          <reference field="3" count="1">
            <x v="2"/>
          </reference>
          <reference field="32" count="1">
            <x v="0"/>
          </reference>
        </references>
      </pivotArea>
    </format>
    <format dxfId="17">
      <pivotArea outline="0" fieldPosition="0">
        <references count="4">
          <reference field="4294967294" count="3">
            <x v="21"/>
            <x v="22"/>
            <x v="23"/>
          </reference>
          <reference field="0" count="1">
            <x v="9"/>
          </reference>
          <reference field="3" count="1">
            <x v="3"/>
          </reference>
          <reference field="32" count="1">
            <x v="0"/>
          </reference>
        </references>
      </pivotArea>
    </format>
    <format dxfId="18">
      <pivotArea outline="0" fieldPosition="0">
        <references count="4">
          <reference field="4294967294" count="3">
            <x v="24"/>
            <x v="25"/>
            <x v="26"/>
          </reference>
          <reference field="0" count="1">
            <x v="9"/>
          </reference>
          <reference field="3" count="1">
            <x v="3"/>
          </reference>
          <reference field="32" count="1">
            <x v="0"/>
          </reference>
        </references>
      </pivotArea>
    </format>
    <format dxfId="17">
      <pivotArea outline="0" fieldPosition="0">
        <references count="4">
          <reference field="4294967294" count="3">
            <x v="18"/>
            <x v="19"/>
            <x v="20"/>
          </reference>
          <reference field="0" count="1">
            <x v="10"/>
          </reference>
          <reference field="3" count="1">
            <x v="4"/>
          </reference>
          <reference field="32" count="1">
            <x v="0"/>
          </reference>
        </references>
      </pivotArea>
    </format>
    <format dxfId="17">
      <pivotArea outline="0" fieldPosition="0">
        <references count="4">
          <reference field="4294967294" count="3">
            <x v="24"/>
            <x v="25"/>
            <x v="26"/>
          </reference>
          <reference field="0" count="1">
            <x v="10"/>
          </reference>
          <reference field="3" count="1">
            <x v="4"/>
          </reference>
          <reference field="32" count="1">
            <x v="0"/>
          </reference>
        </references>
      </pivotArea>
    </format>
    <format dxfId="18">
      <pivotArea outline="0" fieldPosition="0">
        <references count="4">
          <reference field="4294967294" count="3">
            <x v="27"/>
            <x v="28"/>
            <x v="29"/>
          </reference>
          <reference field="0" count="1">
            <x v="10"/>
          </reference>
          <reference field="3" count="1">
            <x v="4"/>
          </reference>
          <reference field="32" count="1">
            <x v="0"/>
          </reference>
        </references>
      </pivotArea>
    </format>
    <format dxfId="17">
      <pivotArea outline="0" fieldPosition="0">
        <references count="4">
          <reference field="4294967294" count="3">
            <x v="3"/>
            <x v="4"/>
            <x v="5"/>
          </reference>
          <reference field="0" count="1">
            <x v="15"/>
          </reference>
          <reference field="3" count="1">
            <x v="5"/>
          </reference>
          <reference field="32" count="1">
            <x v="0"/>
          </reference>
        </references>
      </pivotArea>
    </format>
    <format dxfId="17">
      <pivotArea outline="0" fieldPosition="0">
        <references count="4">
          <reference field="4294967294" count="3">
            <x v="18"/>
            <x v="19"/>
            <x v="20"/>
          </reference>
          <reference field="0" count="1">
            <x v="15"/>
          </reference>
          <reference field="3" count="1">
            <x v="5"/>
          </reference>
          <reference field="32" count="1">
            <x v="0"/>
          </reference>
        </references>
      </pivotArea>
    </format>
    <format dxfId="17">
      <pivotArea outline="0" fieldPosition="0">
        <references count="4">
          <reference field="4294967294" count="3">
            <x v="24"/>
            <x v="25"/>
            <x v="26"/>
          </reference>
          <reference field="0" count="1">
            <x v="15"/>
          </reference>
          <reference field="3" count="1">
            <x v="5"/>
          </reference>
          <reference field="32" count="1">
            <x v="0"/>
          </reference>
        </references>
      </pivotArea>
    </format>
    <format dxfId="17">
      <pivotArea outline="0" fieldPosition="0">
        <references count="4">
          <reference field="4294967294" count="3">
            <x v="21"/>
            <x v="22"/>
            <x v="23"/>
          </reference>
          <reference field="0" count="1">
            <x v="15"/>
          </reference>
          <reference field="3" count="1">
            <x v="2"/>
          </reference>
          <reference field="32" count="1">
            <x v="0"/>
          </reference>
        </references>
      </pivotArea>
    </format>
    <format dxfId="22">
      <pivotArea outline="0" fieldPosition="0">
        <references count="3">
          <reference field="4294967294" count="1">
            <x v="31"/>
          </reference>
          <reference field="0" count="1">
            <x v="15"/>
          </reference>
          <reference field="32" defaultSubtotal="1" count="1">
            <x v="0"/>
          </reference>
        </references>
      </pivotArea>
    </format>
    <format dxfId="22">
      <pivotArea outline="0" fieldPosition="0">
        <references count="4">
          <reference field="4294967294" count="1">
            <x v="31"/>
          </reference>
          <reference field="0" count="1">
            <x v="15"/>
          </reference>
          <reference field="3" count="1">
            <x v="0"/>
          </reference>
          <reference field="32" count="1">
            <x v="0"/>
          </reference>
        </references>
      </pivotArea>
    </format>
    <format dxfId="22">
      <pivotArea outline="0" fieldPosition="0">
        <references count="4">
          <reference field="4294967294" count="1">
            <x v="31"/>
          </reference>
          <reference field="0" count="1">
            <x v="13"/>
          </reference>
          <reference field="3" count="1">
            <x v="3"/>
          </reference>
          <reference field="32" count="1">
            <x v="0"/>
          </reference>
        </references>
      </pivotArea>
    </format>
    <format dxfId="22">
      <pivotArea outline="0" fieldPosition="0">
        <references count="4">
          <reference field="4294967294" count="1">
            <x v="33"/>
          </reference>
          <reference field="0" count="1">
            <x v="10"/>
          </reference>
          <reference field="3" count="1">
            <x v="0"/>
          </reference>
          <reference field="32" count="1">
            <x v="0"/>
          </reference>
        </references>
      </pivotArea>
    </format>
    <format dxfId="22">
      <pivotArea outline="0" fieldPosition="0">
        <references count="4">
          <reference field="4294967294" count="1">
            <x v="31"/>
          </reference>
          <reference field="0" count="1">
            <x v="10"/>
          </reference>
          <reference field="3" count="1">
            <x v="0"/>
          </reference>
          <reference field="32" count="1">
            <x v="0"/>
          </reference>
        </references>
      </pivotArea>
    </format>
    <format dxfId="22">
      <pivotArea outline="0" fieldPosition="0">
        <references count="4">
          <reference field="4294967294" count="1">
            <x v="13"/>
          </reference>
          <reference field="0" count="1">
            <x v="10"/>
          </reference>
          <reference field="3" count="1">
            <x v="5"/>
          </reference>
          <reference field="32" count="1">
            <x v="0"/>
          </reference>
        </references>
      </pivotArea>
    </format>
    <format dxfId="22">
      <pivotArea outline="0" fieldPosition="0">
        <references count="4">
          <reference field="4294967294" count="1">
            <x v="10"/>
          </reference>
          <reference field="0" count="1">
            <x v="10"/>
          </reference>
          <reference field="3" count="1">
            <x v="2"/>
          </reference>
          <reference field="32" count="1">
            <x v="0"/>
          </reference>
        </references>
      </pivotArea>
    </format>
    <format dxfId="22">
      <pivotArea outline="0" fieldPosition="0">
        <references count="4">
          <reference field="4294967294" count="1">
            <x v="31"/>
          </reference>
          <reference field="0" count="1">
            <x v="9"/>
          </reference>
          <reference field="3" count="1">
            <x v="0"/>
          </reference>
          <reference field="32" count="1">
            <x v="0"/>
          </reference>
        </references>
      </pivotArea>
    </format>
    <format dxfId="22">
      <pivotArea outline="0" fieldPosition="0">
        <references count="4">
          <reference field="4294967294" count="1">
            <x v="12"/>
          </reference>
          <reference field="0" count="1">
            <x v="9"/>
          </reference>
          <reference field="3" count="1">
            <x v="2"/>
          </reference>
          <reference field="32" count="1">
            <x v="0"/>
          </reference>
        </references>
      </pivotArea>
    </format>
    <format dxfId="22">
      <pivotArea outline="0" fieldPosition="0">
        <references count="4">
          <reference field="4294967294" count="2">
            <x v="9"/>
            <x v="10"/>
          </reference>
          <reference field="0" count="1">
            <x v="9"/>
          </reference>
          <reference field="3" count="2">
            <x v="1"/>
            <x v="2"/>
          </reference>
          <reference field="32" count="1">
            <x v="0"/>
          </reference>
        </references>
      </pivotArea>
    </format>
    <format dxfId="22">
      <pivotArea outline="0" fieldPosition="0">
        <references count="4">
          <reference field="4294967294" count="1">
            <x v="33"/>
          </reference>
          <reference field="0" count="1">
            <x v="8"/>
          </reference>
          <reference field="3" count="1">
            <x v="0"/>
          </reference>
          <reference field="32" count="1">
            <x v="0"/>
          </reference>
        </references>
      </pivotArea>
    </format>
    <format dxfId="1">
      <pivotArea outline="0" fieldPosition="0">
        <references count="4">
          <reference field="4294967294" count="1">
            <x v="34"/>
          </reference>
          <reference field="0" count="1">
            <x v="8"/>
          </reference>
          <reference field="3" count="1">
            <x v="0"/>
          </reference>
          <reference field="32" count="1">
            <x v="0"/>
          </reference>
        </references>
      </pivotArea>
    </format>
    <format dxfId="22">
      <pivotArea outline="0" fieldPosition="0">
        <references count="4">
          <reference field="4294967294" count="1">
            <x v="31"/>
          </reference>
          <reference field="0" count="1">
            <x v="8"/>
          </reference>
          <reference field="3" count="1">
            <x v="2"/>
          </reference>
          <reference field="32" count="1">
            <x v="0"/>
          </reference>
        </references>
      </pivotArea>
    </format>
    <format dxfId="22">
      <pivotArea outline="0" fieldPosition="0">
        <references count="4">
          <reference field="4294967294" count="2">
            <x v="12"/>
            <x v="13"/>
          </reference>
          <reference field="0" count="1">
            <x v="8"/>
          </reference>
          <reference field="3" count="1">
            <x v="0"/>
          </reference>
          <reference field="32" count="1">
            <x v="0"/>
          </reference>
        </references>
      </pivotArea>
    </format>
    <format dxfId="15">
      <pivotArea outline="0" fieldPosition="0">
        <references count="4">
          <reference field="4294967294" count="1">
            <x v="12"/>
          </reference>
          <reference field="0" count="1">
            <x v="8"/>
          </reference>
          <reference field="3" count="1">
            <x v="1"/>
          </reference>
          <reference field="32" count="1">
            <x v="0"/>
          </reference>
        </references>
      </pivotArea>
    </format>
    <format dxfId="22">
      <pivotArea outline="0" fieldPosition="0">
        <references count="4">
          <reference field="4294967294" count="1">
            <x v="12"/>
          </reference>
          <reference field="0" count="1">
            <x v="8"/>
          </reference>
          <reference field="3" count="1">
            <x v="3"/>
          </reference>
          <reference field="32" count="1">
            <x v="0"/>
          </reference>
        </references>
      </pivotArea>
    </format>
    <format dxfId="22">
      <pivotArea outline="0" fieldPosition="0">
        <references count="4">
          <reference field="4294967294" count="1">
            <x v="10"/>
          </reference>
          <reference field="0" count="1">
            <x v="8"/>
          </reference>
          <reference field="3" count="1">
            <x v="3"/>
          </reference>
          <reference field="32" count="1">
            <x v="0"/>
          </reference>
        </references>
      </pivotArea>
    </format>
    <format dxfId="22">
      <pivotArea outline="0" fieldPosition="0">
        <references count="4">
          <reference field="4294967294" count="1">
            <x v="28"/>
          </reference>
          <reference field="0" count="1">
            <x v="7"/>
          </reference>
          <reference field="3" count="1">
            <x v="1"/>
          </reference>
          <reference field="32" count="1">
            <x v="0"/>
          </reference>
        </references>
      </pivotArea>
    </format>
    <format dxfId="22">
      <pivotArea outline="0" fieldPosition="0">
        <references count="4">
          <reference field="4294967294" count="1">
            <x v="10"/>
          </reference>
          <reference field="0" count="1">
            <x v="7"/>
          </reference>
          <reference field="3" count="1">
            <x v="2"/>
          </reference>
          <reference field="32" count="1">
            <x v="0"/>
          </reference>
        </references>
      </pivotArea>
    </format>
    <format dxfId="22">
      <pivotArea outline="0" fieldPosition="0">
        <references count="4">
          <reference field="4294967294" count="1">
            <x v="31"/>
          </reference>
          <reference field="0" count="1">
            <x v="6"/>
          </reference>
          <reference field="3" count="1">
            <x v="1"/>
          </reference>
          <reference field="32" count="1">
            <x v="0"/>
          </reference>
        </references>
      </pivotArea>
    </format>
    <format dxfId="22">
      <pivotArea outline="0" fieldPosition="0">
        <references count="4">
          <reference field="4294967294" count="1">
            <x v="10"/>
          </reference>
          <reference field="0" count="1">
            <x v="6"/>
          </reference>
          <reference field="3" count="1">
            <x v="0"/>
          </reference>
          <reference field="32" count="1">
            <x v="0"/>
          </reference>
        </references>
      </pivotArea>
    </format>
    <format dxfId="22">
      <pivotArea outline="0" fieldPosition="0">
        <references count="4">
          <reference field="4294967294" count="2">
            <x v="30"/>
            <x v="31"/>
          </reference>
          <reference field="0" count="1">
            <x v="5"/>
          </reference>
          <reference field="3" count="2">
            <x v="0"/>
            <x v="1"/>
          </reference>
          <reference field="32" count="1">
            <x v="0"/>
          </reference>
        </references>
      </pivotArea>
    </format>
    <format dxfId="22">
      <pivotArea outline="0" fieldPosition="0">
        <references count="4">
          <reference field="4294967294" count="2">
            <x v="30"/>
            <x v="31"/>
          </reference>
          <reference field="0" count="1">
            <x v="5"/>
          </reference>
          <reference field="3" count="1">
            <x v="3"/>
          </reference>
          <reference field="32" count="1">
            <x v="0"/>
          </reference>
        </references>
      </pivotArea>
    </format>
    <format dxfId="22">
      <pivotArea outline="0" fieldPosition="0">
        <references count="4">
          <reference field="4294967294" count="1">
            <x v="27"/>
          </reference>
          <reference field="0" count="1">
            <x v="5"/>
          </reference>
          <reference field="3" count="1">
            <x v="1"/>
          </reference>
          <reference field="32" count="1">
            <x v="0"/>
          </reference>
        </references>
      </pivotArea>
    </format>
    <format dxfId="22">
      <pivotArea outline="0" fieldPosition="0">
        <references count="4">
          <reference field="4294967294" count="1">
            <x v="30"/>
          </reference>
          <reference field="0" count="1">
            <x v="4"/>
          </reference>
          <reference field="3" count="1">
            <x v="2"/>
          </reference>
          <reference field="32" count="1">
            <x v="0"/>
          </reference>
        </references>
      </pivotArea>
    </format>
    <format dxfId="22">
      <pivotArea outline="0" fieldPosition="0">
        <references count="4">
          <reference field="4294967294" count="1">
            <x v="27"/>
          </reference>
          <reference field="0" count="1">
            <x v="4"/>
          </reference>
          <reference field="3" count="1">
            <x v="1"/>
          </reference>
          <reference field="32" count="1">
            <x v="0"/>
          </reference>
        </references>
      </pivotArea>
    </format>
    <format dxfId="22">
      <pivotArea outline="0" fieldPosition="0">
        <references count="4">
          <reference field="4294967294" count="1">
            <x v="10"/>
          </reference>
          <reference field="0" count="1">
            <x v="3"/>
          </reference>
          <reference field="3" count="1">
            <x v="0"/>
          </reference>
          <reference field="32" count="1">
            <x v="0"/>
          </reference>
        </references>
      </pivotArea>
    </format>
    <format dxfId="22">
      <pivotArea outline="0" fieldPosition="0">
        <references count="4">
          <reference field="4294967294" count="1">
            <x v="9"/>
          </reference>
          <reference field="0" count="1">
            <x v="3"/>
          </reference>
          <reference field="3" count="1">
            <x v="2"/>
          </reference>
          <reference field="32" count="1">
            <x v="0"/>
          </reference>
        </references>
      </pivotArea>
    </format>
    <format dxfId="22">
      <pivotArea outline="0" fieldPosition="0">
        <references count="4">
          <reference field="4294967294" count="1">
            <x v="10"/>
          </reference>
          <reference field="0" count="1">
            <x v="3"/>
          </reference>
          <reference field="3" count="1">
            <x v="4"/>
          </reference>
          <reference field="32" count="1">
            <x v="0"/>
          </reference>
        </references>
      </pivotArea>
    </format>
    <format dxfId="22">
      <pivotArea outline="0" fieldPosition="0">
        <references count="4">
          <reference field="4294967294" count="1">
            <x v="13"/>
          </reference>
          <reference field="0" count="1">
            <x v="1"/>
          </reference>
          <reference field="3" count="1">
            <x v="1"/>
          </reference>
          <reference field="32" count="1">
            <x v="0"/>
          </reference>
        </references>
      </pivotArea>
    </format>
    <format dxfId="15">
      <pivotArea outline="0" fieldPosition="0">
        <references count="4">
          <reference field="4294967294" count="1">
            <x v="34"/>
          </reference>
          <reference field="0" count="1">
            <x v="0"/>
          </reference>
          <reference field="3" count="1">
            <x v="0"/>
          </reference>
          <reference field="32" count="1">
            <x v="0"/>
          </reference>
        </references>
      </pivotArea>
    </format>
    <format dxfId="22">
      <pivotArea outline="0" fieldPosition="0">
        <references count="4">
          <reference field="4294967294" count="1">
            <x v="10"/>
          </reference>
          <reference field="0" count="1">
            <x v="0"/>
          </reference>
          <reference field="3" count="1">
            <x v="0"/>
          </reference>
          <reference field="32" count="1">
            <x v="0"/>
          </reference>
        </references>
      </pivotArea>
    </format>
    <format dxfId="17">
      <pivotArea outline="0" fieldPosition="0">
        <references count="4">
          <reference field="4294967294" count="6">
            <x v="0"/>
            <x v="1"/>
            <x v="2"/>
            <x v="3"/>
            <x v="4"/>
            <x v="5"/>
          </reference>
          <reference field="0" count="1">
            <x v="3"/>
          </reference>
          <reference field="3" count="3">
            <x v="7"/>
            <x v="8"/>
            <x v="9"/>
          </reference>
          <reference field="32" count="1">
            <x v="1"/>
          </reference>
        </references>
      </pivotArea>
    </format>
    <format dxfId="17">
      <pivotArea outline="0" fieldPosition="0">
        <references count="3">
          <reference field="4294967294" count="6">
            <x v="0"/>
            <x v="1"/>
            <x v="2"/>
            <x v="3"/>
            <x v="4"/>
            <x v="5"/>
          </reference>
          <reference field="0" count="1">
            <x v="3"/>
          </reference>
          <reference field="32" defaultSubtotal="1" count="1">
            <x v="1"/>
          </reference>
        </references>
      </pivotArea>
    </format>
    <format dxfId="17">
      <pivotArea outline="0" fieldPosition="0">
        <references count="4">
          <reference field="4294967294" count="3">
            <x v="0"/>
            <x v="1"/>
            <x v="2"/>
          </reference>
          <reference field="0" count="1">
            <x v="5"/>
          </reference>
          <reference field="3" count="1">
            <x v="7"/>
          </reference>
          <reference field="32" count="1">
            <x v="1"/>
          </reference>
        </references>
      </pivotArea>
    </format>
    <format dxfId="17">
      <pivotArea outline="0" fieldPosition="0">
        <references count="4">
          <reference field="4294967294" count="3">
            <x v="0"/>
            <x v="1"/>
            <x v="2"/>
          </reference>
          <reference field="0" count="1">
            <x v="5"/>
          </reference>
          <reference field="3" count="1">
            <x v="9"/>
          </reference>
          <reference field="32" count="1">
            <x v="1"/>
          </reference>
        </references>
      </pivotArea>
    </format>
    <format dxfId="17">
      <pivotArea outline="0" fieldPosition="0">
        <references count="4">
          <reference field="4294967294" count="3">
            <x v="6"/>
            <x v="7"/>
            <x v="8"/>
          </reference>
          <reference field="0" count="1">
            <x v="5"/>
          </reference>
          <reference field="3" count="1">
            <x v="7"/>
          </reference>
          <reference field="32" count="1">
            <x v="1"/>
          </reference>
        </references>
      </pivotArea>
    </format>
    <format dxfId="17">
      <pivotArea outline="0" fieldPosition="0">
        <references count="4">
          <reference field="4294967294" count="9">
            <x v="0"/>
            <x v="1"/>
            <x v="2"/>
            <x v="3"/>
            <x v="4"/>
            <x v="5"/>
            <x v="6"/>
            <x v="7"/>
            <x v="8"/>
          </reference>
          <reference field="0" count="1">
            <x v="15"/>
          </reference>
          <reference field="3" count="1">
            <x v="8"/>
          </reference>
          <reference field="32" count="1">
            <x v="1"/>
          </reference>
        </references>
      </pivotArea>
    </format>
    <format dxfId="23">
      <pivotArea outline="0" fieldPosition="0">
        <references count="4">
          <reference field="4294967294" count="9">
            <x v="0"/>
            <x v="1"/>
            <x v="2"/>
            <x v="3"/>
            <x v="4"/>
            <x v="5"/>
            <x v="6"/>
            <x v="7"/>
            <x v="8"/>
          </reference>
          <reference field="0" count="1">
            <x v="15"/>
          </reference>
          <reference field="3" count="1">
            <x v="9"/>
          </reference>
          <reference field="32" count="1">
            <x v="1"/>
          </reference>
        </references>
      </pivotArea>
    </format>
    <format dxfId="17">
      <pivotArea outline="0" fieldPosition="0">
        <references count="4">
          <reference field="4294967294" count="8">
            <x v="18"/>
            <x v="19"/>
            <x v="20"/>
            <x v="21"/>
            <x v="22"/>
            <x v="23"/>
            <x v="24"/>
            <x v="25"/>
          </reference>
          <reference field="0" count="1">
            <x v="15"/>
          </reference>
          <reference field="3" count="1">
            <x v="8"/>
          </reference>
          <reference field="32" count="1">
            <x v="1"/>
          </reference>
        </references>
      </pivotArea>
    </format>
    <format dxfId="2">
      <pivotArea outline="0" fieldPosition="0" axis="axisRow" field="0" grandRow="1">
        <references count="1">
          <reference field="4294967294" count="1">
            <x v="35"/>
          </reference>
        </references>
      </pivotArea>
    </format>
    <format dxfId="2">
      <pivotArea outline="0" fieldPosition="0" axis="axisRow" dataOnly="0" field="0" grandRow="1" labelOnly="1">
        <references count="1">
          <reference field="4294967294" count="1">
            <x v="0"/>
          </reference>
        </references>
      </pivotArea>
    </format>
    <format dxfId="2">
      <pivotArea outline="0" fieldPosition="0" axis="axisRow" dataOnly="0" field="0" grandRow="1" labelOnly="1">
        <references count="1">
          <reference field="4294967294" count="1">
            <x v="1"/>
          </reference>
        </references>
      </pivotArea>
    </format>
    <format dxfId="2">
      <pivotArea outline="0" fieldPosition="0" axis="axisRow" dataOnly="0" field="0" grandRow="1" labelOnly="1">
        <references count="1">
          <reference field="4294967294" count="1">
            <x v="2"/>
          </reference>
        </references>
      </pivotArea>
    </format>
    <format dxfId="2">
      <pivotArea outline="0" fieldPosition="0" axis="axisRow" dataOnly="0" field="0" grandRow="1" labelOnly="1">
        <references count="1">
          <reference field="4294967294" count="1">
            <x v="3"/>
          </reference>
        </references>
      </pivotArea>
    </format>
    <format dxfId="2">
      <pivotArea outline="0" fieldPosition="0" axis="axisRow" dataOnly="0" field="0" grandRow="1" labelOnly="1">
        <references count="1">
          <reference field="4294967294" count="1">
            <x v="4"/>
          </reference>
        </references>
      </pivotArea>
    </format>
    <format dxfId="2">
      <pivotArea outline="0" fieldPosition="0" axis="axisRow" dataOnly="0" field="0" grandRow="1" labelOnly="1">
        <references count="1">
          <reference field="4294967294" count="1">
            <x v="5"/>
          </reference>
        </references>
      </pivotArea>
    </format>
    <format dxfId="2">
      <pivotArea outline="0" fieldPosition="0" axis="axisRow" dataOnly="0" field="0" grandRow="1" labelOnly="1">
        <references count="1">
          <reference field="4294967294" count="1">
            <x v="6"/>
          </reference>
        </references>
      </pivotArea>
    </format>
    <format dxfId="2">
      <pivotArea outline="0" fieldPosition="0" axis="axisRow" dataOnly="0" field="0" grandRow="1" labelOnly="1">
        <references count="1">
          <reference field="4294967294" count="1">
            <x v="7"/>
          </reference>
        </references>
      </pivotArea>
    </format>
    <format dxfId="2">
      <pivotArea outline="0" fieldPosition="0" axis="axisRow" dataOnly="0" field="0" grandRow="1" labelOnly="1">
        <references count="1">
          <reference field="4294967294" count="1">
            <x v="8"/>
          </reference>
        </references>
      </pivotArea>
    </format>
    <format dxfId="2">
      <pivotArea outline="0" fieldPosition="0" axis="axisRow" dataOnly="0" field="0" grandRow="1" labelOnly="1">
        <references count="1">
          <reference field="4294967294" count="1">
            <x v="9"/>
          </reference>
        </references>
      </pivotArea>
    </format>
    <format dxfId="2">
      <pivotArea outline="0" fieldPosition="0" axis="axisRow" dataOnly="0" field="0" grandRow="1" labelOnly="1">
        <references count="1">
          <reference field="4294967294" count="1">
            <x v="10"/>
          </reference>
        </references>
      </pivotArea>
    </format>
    <format dxfId="2">
      <pivotArea outline="0" fieldPosition="0" axis="axisRow" dataOnly="0" field="0" grandRow="1" labelOnly="1">
        <references count="1">
          <reference field="4294967294" count="1">
            <x v="11"/>
          </reference>
        </references>
      </pivotArea>
    </format>
    <format dxfId="2">
      <pivotArea outline="0" fieldPosition="0" axis="axisRow" dataOnly="0" field="0" grandRow="1" labelOnly="1">
        <references count="1">
          <reference field="4294967294" count="1">
            <x v="12"/>
          </reference>
        </references>
      </pivotArea>
    </format>
    <format dxfId="2">
      <pivotArea outline="0" fieldPosition="0" axis="axisRow" dataOnly="0" field="0" grandRow="1" labelOnly="1">
        <references count="1">
          <reference field="4294967294" count="1">
            <x v="13"/>
          </reference>
        </references>
      </pivotArea>
    </format>
    <format dxfId="2">
      <pivotArea outline="0" fieldPosition="0" axis="axisRow" dataOnly="0" field="0" grandRow="1" labelOnly="1">
        <references count="1">
          <reference field="4294967294" count="1">
            <x v="14"/>
          </reference>
        </references>
      </pivotArea>
    </format>
    <format dxfId="2">
      <pivotArea outline="0" fieldPosition="0" axis="axisRow" dataOnly="0" field="0" grandRow="1" labelOnly="1">
        <references count="1">
          <reference field="4294967294" count="1">
            <x v="15"/>
          </reference>
        </references>
      </pivotArea>
    </format>
    <format dxfId="2">
      <pivotArea outline="0" fieldPosition="0" axis="axisRow" dataOnly="0" field="0" grandRow="1" labelOnly="1">
        <references count="1">
          <reference field="4294967294" count="1">
            <x v="16"/>
          </reference>
        </references>
      </pivotArea>
    </format>
    <format dxfId="2">
      <pivotArea outline="0" fieldPosition="0" axis="axisRow" dataOnly="0" field="0" grandRow="1" labelOnly="1">
        <references count="1">
          <reference field="4294967294" count="1">
            <x v="17"/>
          </reference>
        </references>
      </pivotArea>
    </format>
    <format dxfId="2">
      <pivotArea outline="0" fieldPosition="0" axis="axisRow" dataOnly="0" field="0" grandRow="1" labelOnly="1">
        <references count="1">
          <reference field="4294967294" count="1">
            <x v="18"/>
          </reference>
        </references>
      </pivotArea>
    </format>
    <format dxfId="2">
      <pivotArea outline="0" fieldPosition="0" axis="axisRow" dataOnly="0" field="0" grandRow="1" labelOnly="1">
        <references count="1">
          <reference field="4294967294" count="1">
            <x v="19"/>
          </reference>
        </references>
      </pivotArea>
    </format>
    <format dxfId="2">
      <pivotArea outline="0" fieldPosition="0" axis="axisRow" dataOnly="0" field="0" grandRow="1" labelOnly="1">
        <references count="1">
          <reference field="4294967294" count="1">
            <x v="20"/>
          </reference>
        </references>
      </pivotArea>
    </format>
    <format dxfId="2">
      <pivotArea outline="0" fieldPosition="0" axis="axisRow" dataOnly="0" field="0" grandRow="1" labelOnly="1">
        <references count="1">
          <reference field="4294967294" count="1">
            <x v="21"/>
          </reference>
        </references>
      </pivotArea>
    </format>
    <format dxfId="2">
      <pivotArea outline="0" fieldPosition="0" axis="axisRow" dataOnly="0" field="0" grandRow="1" labelOnly="1">
        <references count="1">
          <reference field="4294967294" count="1">
            <x v="22"/>
          </reference>
        </references>
      </pivotArea>
    </format>
    <format dxfId="2">
      <pivotArea outline="0" fieldPosition="0" axis="axisRow" dataOnly="0" field="0" grandRow="1" labelOnly="1">
        <references count="1">
          <reference field="4294967294" count="1">
            <x v="23"/>
          </reference>
        </references>
      </pivotArea>
    </format>
    <format dxfId="2">
      <pivotArea outline="0" fieldPosition="0" axis="axisRow" dataOnly="0" field="0" grandRow="1" labelOnly="1">
        <references count="1">
          <reference field="4294967294" count="1">
            <x v="24"/>
          </reference>
        </references>
      </pivotArea>
    </format>
    <format dxfId="2">
      <pivotArea outline="0" fieldPosition="0" axis="axisRow" dataOnly="0" field="0" grandRow="1" labelOnly="1">
        <references count="1">
          <reference field="4294967294" count="1">
            <x v="25"/>
          </reference>
        </references>
      </pivotArea>
    </format>
    <format dxfId="2">
      <pivotArea outline="0" fieldPosition="0" axis="axisRow" dataOnly="0" field="0" grandRow="1" labelOnly="1">
        <references count="1">
          <reference field="4294967294" count="1">
            <x v="26"/>
          </reference>
        </references>
      </pivotArea>
    </format>
    <format dxfId="2">
      <pivotArea outline="0" fieldPosition="0" axis="axisRow" dataOnly="0" field="0" grandRow="1" labelOnly="1">
        <references count="1">
          <reference field="4294967294" count="1">
            <x v="27"/>
          </reference>
        </references>
      </pivotArea>
    </format>
    <format dxfId="2">
      <pivotArea outline="0" fieldPosition="0" axis="axisRow" dataOnly="0" field="0" grandRow="1" labelOnly="1">
        <references count="1">
          <reference field="4294967294" count="1">
            <x v="28"/>
          </reference>
        </references>
      </pivotArea>
    </format>
    <format dxfId="2">
      <pivotArea outline="0" fieldPosition="0" axis="axisRow" dataOnly="0" field="0" grandRow="1" labelOnly="1">
        <references count="1">
          <reference field="4294967294" count="1">
            <x v="29"/>
          </reference>
        </references>
      </pivotArea>
    </format>
    <format dxfId="2">
      <pivotArea outline="0" fieldPosition="0" axis="axisRow" dataOnly="0" field="0" grandRow="1" labelOnly="1">
        <references count="1">
          <reference field="4294967294" count="1">
            <x v="30"/>
          </reference>
        </references>
      </pivotArea>
    </format>
    <format dxfId="2">
      <pivotArea outline="0" fieldPosition="0" axis="axisRow" dataOnly="0" field="0" grandRow="1" labelOnly="1">
        <references count="1">
          <reference field="4294967294" count="1">
            <x v="31"/>
          </reference>
        </references>
      </pivotArea>
    </format>
    <format dxfId="2">
      <pivotArea outline="0" fieldPosition="0" axis="axisRow" dataOnly="0" field="0" grandRow="1" labelOnly="1">
        <references count="1">
          <reference field="4294967294" count="1">
            <x v="32"/>
          </reference>
        </references>
      </pivotArea>
    </format>
    <format dxfId="2">
      <pivotArea outline="0" fieldPosition="0" axis="axisRow" dataOnly="0" field="0" grandRow="1" labelOnly="1">
        <references count="1">
          <reference field="4294967294" count="1">
            <x v="33"/>
          </reference>
        </references>
      </pivotArea>
    </format>
    <format dxfId="2">
      <pivotArea outline="0" fieldPosition="0" axis="axisRow" dataOnly="0" field="0" grandRow="1" labelOnly="1">
        <references count="1">
          <reference field="4294967294" count="1">
            <x v="34"/>
          </reference>
        </references>
      </pivotArea>
    </format>
    <format dxfId="2">
      <pivotArea outline="0" fieldPosition="0" axis="axisRow" dataOnly="0" field="0" grandRow="1" labelOnly="1">
        <references count="1">
          <reference field="4294967294" count="1">
            <x v="35"/>
          </reference>
        </references>
      </pivotArea>
    </format>
    <format dxfId="3">
      <pivotArea outline="0" fieldPosition="0">
        <references count="2">
          <reference field="4294967294" count="1">
            <x v="0"/>
          </reference>
          <reference field="0" count="1">
            <x v="0"/>
          </reference>
        </references>
      </pivotArea>
    </format>
    <format dxfId="3">
      <pivotArea outline="0" fieldPosition="0" dataOnly="0" labelOnly="1" offset="IV1">
        <references count="1">
          <reference field="0" count="1">
            <x v="0"/>
          </reference>
        </references>
      </pivotArea>
    </format>
    <format dxfId="3">
      <pivotArea outline="0" fieldPosition="0" dataOnly="0" labelOnly="1">
        <references count="2">
          <reference field="4294967294" count="1">
            <x v="0"/>
          </reference>
          <reference field="0" count="1">
            <x v="0"/>
          </reference>
        </references>
      </pivotArea>
    </format>
    <format dxfId="3">
      <pivotArea outline="0" fieldPosition="0">
        <references count="2">
          <reference field="4294967294" count="1">
            <x v="0"/>
          </reference>
          <reference field="0" count="1">
            <x v="1"/>
          </reference>
        </references>
      </pivotArea>
    </format>
    <format dxfId="3">
      <pivotArea outline="0" fieldPosition="0" dataOnly="0" labelOnly="1" offset="IV1">
        <references count="1">
          <reference field="0" count="1">
            <x v="1"/>
          </reference>
        </references>
      </pivotArea>
    </format>
    <format dxfId="3">
      <pivotArea outline="0" fieldPosition="0" dataOnly="0" labelOnly="1">
        <references count="2">
          <reference field="4294967294" count="1">
            <x v="0"/>
          </reference>
          <reference field="0" count="1">
            <x v="1"/>
          </reference>
        </references>
      </pivotArea>
    </format>
    <format dxfId="3">
      <pivotArea outline="0" fieldPosition="0">
        <references count="2">
          <reference field="4294967294" count="1">
            <x v="0"/>
          </reference>
          <reference field="0" count="1">
            <x v="2"/>
          </reference>
        </references>
      </pivotArea>
    </format>
    <format dxfId="3">
      <pivotArea outline="0" fieldPosition="0" dataOnly="0" labelOnly="1" offset="IV1">
        <references count="1">
          <reference field="0" count="1">
            <x v="2"/>
          </reference>
        </references>
      </pivotArea>
    </format>
    <format dxfId="3">
      <pivotArea outline="0" fieldPosition="0" dataOnly="0" labelOnly="1">
        <references count="2">
          <reference field="4294967294" count="1">
            <x v="0"/>
          </reference>
          <reference field="0" count="1">
            <x v="2"/>
          </reference>
        </references>
      </pivotArea>
    </format>
    <format dxfId="3">
      <pivotArea outline="0" fieldPosition="0">
        <references count="2">
          <reference field="4294967294" count="1">
            <x v="0"/>
          </reference>
          <reference field="0" count="1">
            <x v="3"/>
          </reference>
        </references>
      </pivotArea>
    </format>
    <format dxfId="3">
      <pivotArea outline="0" fieldPosition="0" dataOnly="0" labelOnly="1" offset="IV1">
        <references count="1">
          <reference field="0" count="1">
            <x v="3"/>
          </reference>
        </references>
      </pivotArea>
    </format>
    <format dxfId="3">
      <pivotArea outline="0" fieldPosition="0" dataOnly="0" labelOnly="1">
        <references count="2">
          <reference field="4294967294" count="1">
            <x v="0"/>
          </reference>
          <reference field="0" count="1">
            <x v="3"/>
          </reference>
        </references>
      </pivotArea>
    </format>
    <format dxfId="3">
      <pivotArea outline="0" fieldPosition="0">
        <references count="2">
          <reference field="4294967294" count="1">
            <x v="0"/>
          </reference>
          <reference field="0" count="1">
            <x v="4"/>
          </reference>
        </references>
      </pivotArea>
    </format>
    <format dxfId="3">
      <pivotArea outline="0" fieldPosition="0" dataOnly="0" labelOnly="1" offset="IV1">
        <references count="1">
          <reference field="0" count="1">
            <x v="4"/>
          </reference>
        </references>
      </pivotArea>
    </format>
    <format dxfId="3">
      <pivotArea outline="0" fieldPosition="0" dataOnly="0" labelOnly="1">
        <references count="2">
          <reference field="4294967294" count="1">
            <x v="0"/>
          </reference>
          <reference field="0" count="1">
            <x v="4"/>
          </reference>
        </references>
      </pivotArea>
    </format>
    <format dxfId="24">
      <pivotArea outline="0" fieldPosition="0">
        <references count="2">
          <reference field="4294967294" count="1">
            <x v="35"/>
          </reference>
          <reference field="0" count="1">
            <x v="15"/>
          </reference>
        </references>
      </pivotArea>
    </format>
    <format dxfId="24">
      <pivotArea outline="0" fieldPosition="0" dataOnly="0" labelOnly="1" offset="IV256">
        <references count="1">
          <reference field="0" count="1">
            <x v="15"/>
          </reference>
        </references>
      </pivotArea>
    </format>
    <format dxfId="24">
      <pivotArea outline="0" fieldPosition="0" dataOnly="0" labelOnly="1">
        <references count="2">
          <reference field="4294967294" count="1">
            <x v="35"/>
          </reference>
          <reference field="0" count="1">
            <x v="15"/>
          </reference>
        </references>
      </pivotArea>
    </format>
    <format dxfId="10">
      <pivotArea outline="0" fieldPosition="0">
        <references count="4">
          <reference field="4294967294" count="6">
            <x v="18"/>
            <x v="19"/>
            <x v="20"/>
            <x v="21"/>
            <x v="22"/>
            <x v="23"/>
          </reference>
          <reference field="0" count="1">
            <x v="7"/>
          </reference>
          <reference field="3" count="1">
            <x v="2"/>
          </reference>
          <reference field="32" count="1">
            <x v="0"/>
          </reference>
        </references>
      </pivotArea>
    </format>
    <format dxfId="1">
      <pivotArea outline="0" fieldPosition="0">
        <references count="4">
          <reference field="4294967294" count="1">
            <x v="0"/>
          </reference>
          <reference field="0" count="1">
            <x v="3"/>
          </reference>
          <reference field="3" count="1">
            <x v="5"/>
          </reference>
          <reference field="32"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8"/>
  </sheetPr>
  <dimension ref="A1:AF704"/>
  <sheetViews>
    <sheetView zoomScale="75" zoomScaleNormal="75" workbookViewId="0" topLeftCell="A1">
      <pane xSplit="4" ySplit="5" topLeftCell="AA341" activePane="bottomRight" state="frozen"/>
      <selection pane="topLeft" activeCell="A1" sqref="A1"/>
      <selection pane="topRight" activeCell="E1" sqref="E1"/>
      <selection pane="bottomLeft" activeCell="A6" sqref="A6"/>
      <selection pane="bottomRight" activeCell="AB356" sqref="AB356:AD356"/>
    </sheetView>
  </sheetViews>
  <sheetFormatPr defaultColWidth="9.140625" defaultRowHeight="12.75"/>
  <cols>
    <col min="1" max="1" width="6.421875" style="216" customWidth="1"/>
    <col min="2" max="2" width="30.28125" style="216" customWidth="1"/>
    <col min="3" max="3" width="10.140625" style="216" customWidth="1"/>
    <col min="4" max="4" width="6.7109375" style="216" customWidth="1"/>
    <col min="5" max="5" width="11.8515625" style="216" customWidth="1"/>
    <col min="6" max="6" width="15.28125" style="221" customWidth="1"/>
    <col min="7" max="7" width="13.57421875" style="216" customWidth="1"/>
    <col min="8" max="8" width="13.57421875" style="221" customWidth="1"/>
    <col min="9" max="9" width="13.57421875" style="216" customWidth="1"/>
    <col min="10" max="10" width="13.57421875" style="221" customWidth="1"/>
    <col min="11" max="11" width="9.140625" style="216" customWidth="1"/>
    <col min="12" max="13" width="8.7109375" style="216" customWidth="1"/>
    <col min="14" max="14" width="11.140625" style="222" customWidth="1"/>
    <col min="15" max="15" width="8.7109375" style="222" customWidth="1"/>
    <col min="16" max="16" width="11.57421875" style="222" customWidth="1"/>
    <col min="17" max="17" width="17.140625" style="216" customWidth="1"/>
    <col min="18" max="18" width="17.140625" style="221" customWidth="1"/>
    <col min="19" max="19" width="10.140625" style="216" customWidth="1"/>
    <col min="20" max="20" width="11.421875" style="221" customWidth="1"/>
    <col min="21" max="21" width="14.00390625" style="216" customWidth="1"/>
    <col min="22" max="22" width="14.00390625" style="221" customWidth="1"/>
    <col min="23" max="23" width="14.140625" style="216" customWidth="1"/>
    <col min="24" max="24" width="14.140625" style="221" customWidth="1"/>
    <col min="25" max="25" width="10.00390625" style="216" customWidth="1"/>
    <col min="26" max="27" width="8.57421875" style="216" customWidth="1"/>
    <col min="28" max="28" width="12.140625" style="221" customWidth="1"/>
    <col min="29" max="29" width="9.7109375" style="221" customWidth="1"/>
    <col min="30" max="30" width="8.57421875" style="221" customWidth="1"/>
    <col min="31" max="31" width="17.421875" style="216" customWidth="1"/>
    <col min="32" max="32" width="17.421875" style="221" customWidth="1"/>
    <col min="33" max="16384" width="9.140625" style="216" customWidth="1"/>
  </cols>
  <sheetData>
    <row r="1" spans="2:32" s="87" customFormat="1" ht="16.5" customHeight="1">
      <c r="B1" s="272"/>
      <c r="C1" s="272"/>
      <c r="D1" s="273"/>
      <c r="E1" s="274" t="s">
        <v>613</v>
      </c>
      <c r="F1" s="275"/>
      <c r="G1" s="275"/>
      <c r="H1" s="275"/>
      <c r="I1" s="275"/>
      <c r="J1" s="275"/>
      <c r="K1" s="275"/>
      <c r="L1" s="275"/>
      <c r="M1" s="275"/>
      <c r="N1" s="275"/>
      <c r="O1" s="275"/>
      <c r="P1" s="275"/>
      <c r="Q1" s="275"/>
      <c r="R1" s="275"/>
      <c r="S1" s="274" t="s">
        <v>614</v>
      </c>
      <c r="T1" s="275"/>
      <c r="U1" s="275"/>
      <c r="V1" s="275"/>
      <c r="W1" s="275"/>
      <c r="X1" s="275"/>
      <c r="Y1" s="275"/>
      <c r="Z1" s="275"/>
      <c r="AA1" s="275"/>
      <c r="AB1" s="275"/>
      <c r="AC1" s="275"/>
      <c r="AD1" s="275"/>
      <c r="AE1" s="275"/>
      <c r="AF1" s="275"/>
    </row>
    <row r="2" spans="2:32" s="276" customFormat="1" ht="36.75" customHeight="1">
      <c r="B2" s="277"/>
      <c r="C2" s="278"/>
      <c r="D2" s="279"/>
      <c r="E2" s="280" t="s">
        <v>615</v>
      </c>
      <c r="F2" s="280" t="s">
        <v>615</v>
      </c>
      <c r="G2" s="281"/>
      <c r="H2" s="282"/>
      <c r="I2" s="387" t="s">
        <v>886</v>
      </c>
      <c r="J2" s="398" t="s">
        <v>888</v>
      </c>
      <c r="K2" s="395" t="s">
        <v>889</v>
      </c>
      <c r="L2" s="396"/>
      <c r="M2" s="397"/>
      <c r="N2" s="401" t="s">
        <v>890</v>
      </c>
      <c r="O2" s="402"/>
      <c r="P2" s="403"/>
      <c r="Q2" s="281"/>
      <c r="R2" s="282"/>
      <c r="S2" s="283"/>
      <c r="T2" s="284"/>
      <c r="U2" s="281"/>
      <c r="V2" s="282"/>
      <c r="W2" s="387" t="s">
        <v>891</v>
      </c>
      <c r="X2" s="398" t="s">
        <v>892</v>
      </c>
      <c r="Y2" s="395" t="s">
        <v>889</v>
      </c>
      <c r="Z2" s="382"/>
      <c r="AA2" s="383"/>
      <c r="AB2" s="401" t="s">
        <v>890</v>
      </c>
      <c r="AC2" s="384"/>
      <c r="AD2" s="385"/>
      <c r="AE2" s="281"/>
      <c r="AF2" s="285"/>
    </row>
    <row r="3" spans="1:32" s="276" customFormat="1" ht="34.5" customHeight="1">
      <c r="A3" s="279"/>
      <c r="B3" s="279"/>
      <c r="C3" s="279"/>
      <c r="D3" s="279"/>
      <c r="E3" s="391" t="s">
        <v>893</v>
      </c>
      <c r="F3" s="393" t="s">
        <v>894</v>
      </c>
      <c r="G3" s="387" t="s">
        <v>895</v>
      </c>
      <c r="H3" s="398" t="s">
        <v>896</v>
      </c>
      <c r="I3" s="388"/>
      <c r="J3" s="398"/>
      <c r="K3" s="387" t="s">
        <v>71</v>
      </c>
      <c r="L3" s="387" t="s">
        <v>897</v>
      </c>
      <c r="M3" s="387" t="s">
        <v>72</v>
      </c>
      <c r="N3" s="398" t="s">
        <v>71</v>
      </c>
      <c r="O3" s="398" t="s">
        <v>898</v>
      </c>
      <c r="P3" s="398" t="s">
        <v>72</v>
      </c>
      <c r="Q3" s="387" t="s">
        <v>899</v>
      </c>
      <c r="R3" s="398" t="s">
        <v>900</v>
      </c>
      <c r="S3" s="405" t="s">
        <v>901</v>
      </c>
      <c r="T3" s="393" t="s">
        <v>902</v>
      </c>
      <c r="U3" s="387" t="s">
        <v>903</v>
      </c>
      <c r="V3" s="398" t="s">
        <v>896</v>
      </c>
      <c r="W3" s="388"/>
      <c r="X3" s="409"/>
      <c r="Y3" s="387" t="s">
        <v>71</v>
      </c>
      <c r="Z3" s="387" t="s">
        <v>904</v>
      </c>
      <c r="AA3" s="387" t="s">
        <v>72</v>
      </c>
      <c r="AB3" s="398" t="s">
        <v>71</v>
      </c>
      <c r="AC3" s="398" t="s">
        <v>905</v>
      </c>
      <c r="AD3" s="398" t="s">
        <v>72</v>
      </c>
      <c r="AE3" s="387" t="s">
        <v>906</v>
      </c>
      <c r="AF3" s="407" t="s">
        <v>900</v>
      </c>
    </row>
    <row r="4" spans="1:32" s="87" customFormat="1" ht="72.75" customHeight="1">
      <c r="A4" s="286" t="s">
        <v>74</v>
      </c>
      <c r="B4" s="286" t="s">
        <v>75</v>
      </c>
      <c r="C4" s="287" t="s">
        <v>76</v>
      </c>
      <c r="D4" s="288" t="s">
        <v>616</v>
      </c>
      <c r="E4" s="392"/>
      <c r="F4" s="394"/>
      <c r="G4" s="390"/>
      <c r="H4" s="399"/>
      <c r="I4" s="389"/>
      <c r="J4" s="399"/>
      <c r="K4" s="390"/>
      <c r="L4" s="390"/>
      <c r="M4" s="390" t="s">
        <v>73</v>
      </c>
      <c r="N4" s="399"/>
      <c r="O4" s="404"/>
      <c r="P4" s="399" t="s">
        <v>73</v>
      </c>
      <c r="Q4" s="390"/>
      <c r="R4" s="399"/>
      <c r="S4" s="406"/>
      <c r="T4" s="394"/>
      <c r="U4" s="390"/>
      <c r="V4" s="399"/>
      <c r="W4" s="389"/>
      <c r="X4" s="410"/>
      <c r="Y4" s="400"/>
      <c r="Z4" s="390"/>
      <c r="AA4" s="400" t="s">
        <v>73</v>
      </c>
      <c r="AB4" s="399"/>
      <c r="AC4" s="399"/>
      <c r="AD4" s="399" t="s">
        <v>73</v>
      </c>
      <c r="AE4" s="390"/>
      <c r="AF4" s="408"/>
    </row>
    <row r="5" spans="1:32" s="43" customFormat="1" ht="2.25" customHeight="1">
      <c r="A5" s="217" t="s">
        <v>74</v>
      </c>
      <c r="B5" s="217" t="s">
        <v>75</v>
      </c>
      <c r="C5" s="218" t="s">
        <v>202</v>
      </c>
      <c r="D5" s="218" t="s">
        <v>203</v>
      </c>
      <c r="E5" s="219" t="s">
        <v>858</v>
      </c>
      <c r="F5" s="219" t="s">
        <v>859</v>
      </c>
      <c r="G5" s="219" t="s">
        <v>860</v>
      </c>
      <c r="H5" s="219" t="s">
        <v>861</v>
      </c>
      <c r="I5" s="220" t="s">
        <v>862</v>
      </c>
      <c r="J5" s="219" t="s">
        <v>863</v>
      </c>
      <c r="K5" s="219" t="s">
        <v>864</v>
      </c>
      <c r="L5" s="219" t="s">
        <v>865</v>
      </c>
      <c r="M5" s="219" t="s">
        <v>866</v>
      </c>
      <c r="N5" s="219" t="s">
        <v>867</v>
      </c>
      <c r="O5" s="219" t="s">
        <v>868</v>
      </c>
      <c r="P5" s="219" t="s">
        <v>869</v>
      </c>
      <c r="Q5" s="219" t="s">
        <v>870</v>
      </c>
      <c r="R5" s="219" t="s">
        <v>871</v>
      </c>
      <c r="S5" s="219" t="s">
        <v>872</v>
      </c>
      <c r="T5" s="219" t="s">
        <v>873</v>
      </c>
      <c r="U5" s="219" t="s">
        <v>874</v>
      </c>
      <c r="V5" s="219" t="s">
        <v>875</v>
      </c>
      <c r="W5" s="220" t="s">
        <v>876</v>
      </c>
      <c r="X5" s="220" t="s">
        <v>877</v>
      </c>
      <c r="Y5" s="219" t="s">
        <v>878</v>
      </c>
      <c r="Z5" s="219" t="s">
        <v>879</v>
      </c>
      <c r="AA5" s="219" t="s">
        <v>880</v>
      </c>
      <c r="AB5" s="219" t="s">
        <v>881</v>
      </c>
      <c r="AC5" s="219" t="s">
        <v>882</v>
      </c>
      <c r="AD5" s="219" t="s">
        <v>883</v>
      </c>
      <c r="AE5" s="219" t="s">
        <v>884</v>
      </c>
      <c r="AF5" s="254" t="s">
        <v>885</v>
      </c>
    </row>
    <row r="6" spans="1:32" s="223" customFormat="1" ht="15" customHeight="1">
      <c r="A6" s="149" t="s">
        <v>316</v>
      </c>
      <c r="B6" s="170" t="s">
        <v>617</v>
      </c>
      <c r="C6" s="171">
        <v>100858</v>
      </c>
      <c r="D6" s="203">
        <v>1</v>
      </c>
      <c r="E6" s="174">
        <f>SUM(G6,I6,K6,L6,M6,Q6)</f>
        <v>0</v>
      </c>
      <c r="F6" s="269">
        <f>SUM(H6,J6,N6,O6,P6,R6)</f>
        <v>570303</v>
      </c>
      <c r="G6" s="175"/>
      <c r="H6" s="176">
        <v>567729</v>
      </c>
      <c r="I6" s="175"/>
      <c r="J6" s="176">
        <v>1605</v>
      </c>
      <c r="K6" s="175"/>
      <c r="L6" s="175"/>
      <c r="M6" s="175"/>
      <c r="N6" s="176"/>
      <c r="O6" s="176"/>
      <c r="P6" s="176">
        <v>885</v>
      </c>
      <c r="Q6" s="175"/>
      <c r="R6" s="176">
        <v>84</v>
      </c>
      <c r="S6" s="174">
        <f>SUM(U6,W6,Y6,Z6,AA6,AE6)</f>
        <v>0</v>
      </c>
      <c r="T6" s="269">
        <f>SUM(V6,X6,AB6,AC6,AD6,AF6)</f>
        <v>72327</v>
      </c>
      <c r="U6" s="175"/>
      <c r="V6" s="177">
        <v>66647</v>
      </c>
      <c r="W6" s="225"/>
      <c r="X6" s="177"/>
      <c r="Y6" s="226"/>
      <c r="Z6" s="226"/>
      <c r="AA6" s="225"/>
      <c r="AB6" s="234"/>
      <c r="AC6" s="234"/>
      <c r="AD6" s="176">
        <v>5680</v>
      </c>
      <c r="AE6" s="225"/>
      <c r="AF6" s="255"/>
    </row>
    <row r="7" spans="1:32" s="223" customFormat="1" ht="15" customHeight="1">
      <c r="A7" s="149" t="s">
        <v>316</v>
      </c>
      <c r="B7" s="150" t="s">
        <v>618</v>
      </c>
      <c r="C7" s="138">
        <v>100751</v>
      </c>
      <c r="D7" s="204">
        <v>1</v>
      </c>
      <c r="E7" s="178">
        <f aca="true" t="shared" si="0" ref="E7:E70">SUM(G7,I7,K7,L7,M7,Q7)</f>
        <v>0</v>
      </c>
      <c r="F7" s="195">
        <f aca="true" t="shared" si="1" ref="F7:F70">SUM(H7,J7,N7,O7,P7,R7)</f>
        <v>482640</v>
      </c>
      <c r="G7" s="179"/>
      <c r="H7" s="180">
        <v>470606</v>
      </c>
      <c r="I7" s="179"/>
      <c r="J7" s="180">
        <v>1749</v>
      </c>
      <c r="K7" s="179"/>
      <c r="L7" s="179"/>
      <c r="M7" s="179"/>
      <c r="N7" s="180">
        <v>3873</v>
      </c>
      <c r="O7" s="180">
        <v>324</v>
      </c>
      <c r="P7" s="180">
        <v>744</v>
      </c>
      <c r="Q7" s="179"/>
      <c r="R7" s="180">
        <v>5344</v>
      </c>
      <c r="S7" s="178">
        <f aca="true" t="shared" si="2" ref="S7:S70">SUM(U7,W7,Y7,Z7,AA7,AE7)</f>
        <v>0</v>
      </c>
      <c r="T7" s="195">
        <f aca="true" t="shared" si="3" ref="T7:T70">SUM(V7,X7,AB7,AC7,AD7,AF7)</f>
        <v>92654</v>
      </c>
      <c r="U7" s="179"/>
      <c r="V7" s="180">
        <v>74197</v>
      </c>
      <c r="W7" s="179"/>
      <c r="X7" s="180">
        <v>10722</v>
      </c>
      <c r="Y7" s="179"/>
      <c r="Z7" s="179"/>
      <c r="AA7" s="179"/>
      <c r="AB7" s="180">
        <v>1751</v>
      </c>
      <c r="AC7" s="180">
        <v>1593</v>
      </c>
      <c r="AD7" s="180">
        <v>4388</v>
      </c>
      <c r="AE7" s="179"/>
      <c r="AF7" s="256">
        <v>3</v>
      </c>
    </row>
    <row r="8" spans="1:32" s="223" customFormat="1" ht="15" customHeight="1">
      <c r="A8" s="149" t="s">
        <v>316</v>
      </c>
      <c r="B8" s="150" t="s">
        <v>619</v>
      </c>
      <c r="C8" s="138">
        <v>100663</v>
      </c>
      <c r="D8" s="204">
        <v>1</v>
      </c>
      <c r="E8" s="178">
        <f t="shared" si="0"/>
        <v>0</v>
      </c>
      <c r="F8" s="195">
        <f t="shared" si="1"/>
        <v>275222</v>
      </c>
      <c r="G8" s="179"/>
      <c r="H8" s="180">
        <v>273467</v>
      </c>
      <c r="I8" s="179"/>
      <c r="J8" s="231">
        <v>0</v>
      </c>
      <c r="K8" s="179"/>
      <c r="L8" s="179"/>
      <c r="M8" s="179"/>
      <c r="N8" s="180">
        <v>1731</v>
      </c>
      <c r="O8" s="180">
        <v>24</v>
      </c>
      <c r="P8" s="180">
        <v>0</v>
      </c>
      <c r="Q8" s="179">
        <v>0</v>
      </c>
      <c r="R8" s="180">
        <v>0</v>
      </c>
      <c r="S8" s="178">
        <f t="shared" si="2"/>
        <v>0</v>
      </c>
      <c r="T8" s="195">
        <f t="shared" si="3"/>
        <v>49597</v>
      </c>
      <c r="U8" s="179"/>
      <c r="V8" s="180">
        <v>47884</v>
      </c>
      <c r="W8" s="179"/>
      <c r="X8" s="180">
        <v>1125</v>
      </c>
      <c r="Y8" s="179"/>
      <c r="Z8" s="179"/>
      <c r="AA8" s="179"/>
      <c r="AB8" s="180">
        <v>306</v>
      </c>
      <c r="AC8" s="180">
        <v>282</v>
      </c>
      <c r="AD8" s="180"/>
      <c r="AE8" s="179"/>
      <c r="AF8" s="256"/>
    </row>
    <row r="9" spans="1:32" s="223" customFormat="1" ht="15" customHeight="1">
      <c r="A9" s="149" t="s">
        <v>316</v>
      </c>
      <c r="B9" s="150" t="s">
        <v>620</v>
      </c>
      <c r="C9" s="138">
        <v>100706</v>
      </c>
      <c r="D9" s="204">
        <v>2</v>
      </c>
      <c r="E9" s="178">
        <f t="shared" si="0"/>
        <v>0</v>
      </c>
      <c r="F9" s="195">
        <f t="shared" si="1"/>
        <v>0</v>
      </c>
      <c r="G9" s="179"/>
      <c r="H9" s="180"/>
      <c r="I9" s="179"/>
      <c r="J9" s="180"/>
      <c r="K9" s="179"/>
      <c r="L9" s="179"/>
      <c r="M9" s="179"/>
      <c r="N9" s="180"/>
      <c r="O9" s="180"/>
      <c r="P9" s="180"/>
      <c r="Q9" s="179"/>
      <c r="R9" s="180"/>
      <c r="S9" s="178">
        <f t="shared" si="2"/>
        <v>0</v>
      </c>
      <c r="T9" s="195">
        <f t="shared" si="3"/>
        <v>22972</v>
      </c>
      <c r="U9" s="179"/>
      <c r="V9" s="188">
        <v>22972</v>
      </c>
      <c r="W9" s="179"/>
      <c r="X9" s="180"/>
      <c r="Y9" s="179"/>
      <c r="Z9" s="179"/>
      <c r="AA9" s="179"/>
      <c r="AB9" s="180"/>
      <c r="AC9" s="180"/>
      <c r="AD9" s="180"/>
      <c r="AE9" s="179"/>
      <c r="AF9" s="256"/>
    </row>
    <row r="10" spans="1:32" s="223" customFormat="1" ht="15" customHeight="1">
      <c r="A10" s="149" t="s">
        <v>316</v>
      </c>
      <c r="B10" s="150" t="s">
        <v>621</v>
      </c>
      <c r="C10" s="138">
        <v>100654</v>
      </c>
      <c r="D10" s="204">
        <v>3</v>
      </c>
      <c r="E10" s="178">
        <f t="shared" si="0"/>
        <v>0</v>
      </c>
      <c r="F10" s="195">
        <f t="shared" si="1"/>
        <v>0</v>
      </c>
      <c r="G10" s="179"/>
      <c r="H10" s="180"/>
      <c r="I10" s="179"/>
      <c r="J10" s="180"/>
      <c r="K10" s="179"/>
      <c r="L10" s="179"/>
      <c r="M10" s="179"/>
      <c r="N10" s="180"/>
      <c r="O10" s="180"/>
      <c r="P10" s="180"/>
      <c r="Q10" s="179"/>
      <c r="R10" s="180"/>
      <c r="S10" s="178">
        <f t="shared" si="2"/>
        <v>0</v>
      </c>
      <c r="T10" s="195">
        <f t="shared" si="3"/>
        <v>22231</v>
      </c>
      <c r="U10" s="179"/>
      <c r="V10" s="188">
        <v>22231</v>
      </c>
      <c r="W10" s="179"/>
      <c r="X10" s="180"/>
      <c r="Y10" s="179"/>
      <c r="Z10" s="179"/>
      <c r="AA10" s="179"/>
      <c r="AB10" s="180"/>
      <c r="AC10" s="180"/>
      <c r="AD10" s="180"/>
      <c r="AE10" s="179"/>
      <c r="AF10" s="256"/>
    </row>
    <row r="11" spans="1:32" s="223" customFormat="1" ht="15" customHeight="1">
      <c r="A11" s="149" t="s">
        <v>316</v>
      </c>
      <c r="B11" s="150" t="s">
        <v>622</v>
      </c>
      <c r="C11" s="138">
        <v>101480</v>
      </c>
      <c r="D11" s="204">
        <v>3</v>
      </c>
      <c r="E11" s="178">
        <f t="shared" si="0"/>
        <v>0</v>
      </c>
      <c r="F11" s="195">
        <f t="shared" si="1"/>
        <v>200784</v>
      </c>
      <c r="G11" s="179"/>
      <c r="H11" s="180">
        <v>181372</v>
      </c>
      <c r="I11" s="179"/>
      <c r="J11" s="180">
        <v>5448</v>
      </c>
      <c r="K11" s="179"/>
      <c r="L11" s="179"/>
      <c r="M11" s="179"/>
      <c r="N11" s="180">
        <v>10646</v>
      </c>
      <c r="O11" s="180">
        <v>264</v>
      </c>
      <c r="P11" s="180">
        <v>3054</v>
      </c>
      <c r="Q11" s="179"/>
      <c r="R11" s="180"/>
      <c r="S11" s="178">
        <f t="shared" si="2"/>
        <v>0</v>
      </c>
      <c r="T11" s="195">
        <f t="shared" si="3"/>
        <v>27201</v>
      </c>
      <c r="U11" s="179"/>
      <c r="V11" s="180">
        <v>17793</v>
      </c>
      <c r="W11" s="179"/>
      <c r="X11" s="180">
        <v>972</v>
      </c>
      <c r="Y11" s="179"/>
      <c r="Z11" s="179"/>
      <c r="AA11" s="179"/>
      <c r="AB11" s="180">
        <v>6657</v>
      </c>
      <c r="AC11" s="180">
        <v>1665</v>
      </c>
      <c r="AD11" s="180">
        <v>114</v>
      </c>
      <c r="AE11" s="179"/>
      <c r="AF11" s="256"/>
    </row>
    <row r="12" spans="1:32" s="223" customFormat="1" ht="15" customHeight="1">
      <c r="A12" s="149" t="s">
        <v>316</v>
      </c>
      <c r="B12" s="150" t="s">
        <v>623</v>
      </c>
      <c r="C12" s="138">
        <v>102094</v>
      </c>
      <c r="D12" s="204">
        <v>3</v>
      </c>
      <c r="E12" s="178">
        <f t="shared" si="0"/>
        <v>0</v>
      </c>
      <c r="F12" s="195">
        <f t="shared" si="1"/>
        <v>250438</v>
      </c>
      <c r="G12" s="179"/>
      <c r="H12" s="188">
        <v>247835</v>
      </c>
      <c r="I12" s="179"/>
      <c r="J12" s="180">
        <v>47</v>
      </c>
      <c r="K12" s="179"/>
      <c r="L12" s="179"/>
      <c r="M12" s="179"/>
      <c r="N12" s="180">
        <v>2556</v>
      </c>
      <c r="O12" s="180"/>
      <c r="P12" s="180"/>
      <c r="Q12" s="179"/>
      <c r="R12" s="180"/>
      <c r="S12" s="178">
        <f t="shared" si="2"/>
        <v>0</v>
      </c>
      <c r="T12" s="195">
        <f t="shared" si="3"/>
        <v>25955</v>
      </c>
      <c r="U12" s="179"/>
      <c r="V12" s="180">
        <v>22292</v>
      </c>
      <c r="W12" s="179"/>
      <c r="X12" s="180"/>
      <c r="Y12" s="179"/>
      <c r="Z12" s="179"/>
      <c r="AA12" s="179"/>
      <c r="AB12" s="180">
        <v>3663</v>
      </c>
      <c r="AC12" s="180"/>
      <c r="AD12" s="180"/>
      <c r="AE12" s="179"/>
      <c r="AF12" s="256"/>
    </row>
    <row r="13" spans="1:32" s="223" customFormat="1" ht="15" customHeight="1">
      <c r="A13" s="149" t="s">
        <v>316</v>
      </c>
      <c r="B13" s="150" t="s">
        <v>624</v>
      </c>
      <c r="C13" s="138">
        <v>100724</v>
      </c>
      <c r="D13" s="204">
        <v>4</v>
      </c>
      <c r="E13" s="178">
        <f t="shared" si="0"/>
        <v>0</v>
      </c>
      <c r="F13" s="195">
        <f t="shared" si="1"/>
        <v>65034</v>
      </c>
      <c r="G13" s="179"/>
      <c r="H13" s="180">
        <v>65034</v>
      </c>
      <c r="I13" s="179"/>
      <c r="J13" s="180"/>
      <c r="K13" s="179"/>
      <c r="L13" s="179"/>
      <c r="M13" s="179"/>
      <c r="N13" s="231"/>
      <c r="O13" s="180"/>
      <c r="P13" s="180"/>
      <c r="Q13" s="179"/>
      <c r="R13" s="180"/>
      <c r="S13" s="178">
        <f t="shared" si="2"/>
        <v>0</v>
      </c>
      <c r="T13" s="195">
        <f t="shared" si="3"/>
        <v>16857</v>
      </c>
      <c r="U13" s="179"/>
      <c r="V13" s="188">
        <v>16782</v>
      </c>
      <c r="W13" s="179"/>
      <c r="X13" s="180"/>
      <c r="Y13" s="179"/>
      <c r="Z13" s="179"/>
      <c r="AA13" s="179"/>
      <c r="AB13" s="180">
        <v>75</v>
      </c>
      <c r="AC13" s="180"/>
      <c r="AD13" s="180"/>
      <c r="AE13" s="179"/>
      <c r="AF13" s="256"/>
    </row>
    <row r="14" spans="1:32" s="223" customFormat="1" ht="15" customHeight="1">
      <c r="A14" s="149" t="s">
        <v>316</v>
      </c>
      <c r="B14" s="150" t="s">
        <v>625</v>
      </c>
      <c r="C14" s="138">
        <v>100830</v>
      </c>
      <c r="D14" s="204">
        <v>4</v>
      </c>
      <c r="E14" s="178">
        <f t="shared" si="0"/>
        <v>0</v>
      </c>
      <c r="F14" s="195">
        <f t="shared" si="1"/>
        <v>0</v>
      </c>
      <c r="G14" s="179"/>
      <c r="H14" s="180"/>
      <c r="I14" s="179"/>
      <c r="J14" s="180"/>
      <c r="K14" s="179"/>
      <c r="L14" s="179"/>
      <c r="M14" s="179"/>
      <c r="N14" s="180"/>
      <c r="O14" s="180"/>
      <c r="P14" s="180"/>
      <c r="Q14" s="179"/>
      <c r="R14" s="180"/>
      <c r="S14" s="178">
        <f t="shared" si="2"/>
        <v>0</v>
      </c>
      <c r="T14" s="195">
        <f t="shared" si="3"/>
        <v>13527</v>
      </c>
      <c r="U14" s="179"/>
      <c r="V14" s="188">
        <v>13527</v>
      </c>
      <c r="W14" s="179"/>
      <c r="X14" s="180"/>
      <c r="Y14" s="179"/>
      <c r="Z14" s="179"/>
      <c r="AA14" s="179"/>
      <c r="AB14" s="180"/>
      <c r="AC14" s="180"/>
      <c r="AD14" s="180"/>
      <c r="AE14" s="179"/>
      <c r="AF14" s="256"/>
    </row>
    <row r="15" spans="1:32" s="223" customFormat="1" ht="15" customHeight="1">
      <c r="A15" s="149" t="s">
        <v>316</v>
      </c>
      <c r="B15" s="150" t="s">
        <v>626</v>
      </c>
      <c r="C15" s="138">
        <v>102368</v>
      </c>
      <c r="D15" s="204">
        <v>4</v>
      </c>
      <c r="E15" s="178">
        <f t="shared" si="0"/>
        <v>0</v>
      </c>
      <c r="F15" s="195">
        <f t="shared" si="1"/>
        <v>138127</v>
      </c>
      <c r="G15" s="179"/>
      <c r="H15" s="180">
        <v>134898</v>
      </c>
      <c r="I15" s="179"/>
      <c r="J15" s="180">
        <v>256</v>
      </c>
      <c r="K15" s="179"/>
      <c r="L15" s="179"/>
      <c r="M15" s="179"/>
      <c r="N15" s="181">
        <v>2292</v>
      </c>
      <c r="O15" s="181">
        <v>681</v>
      </c>
      <c r="P15" s="180"/>
      <c r="Q15" s="179"/>
      <c r="R15" s="180"/>
      <c r="S15" s="178">
        <f t="shared" si="2"/>
        <v>0</v>
      </c>
      <c r="T15" s="195">
        <f t="shared" si="3"/>
        <v>45797</v>
      </c>
      <c r="U15" s="179"/>
      <c r="V15" s="180">
        <v>21253</v>
      </c>
      <c r="W15" s="179"/>
      <c r="X15" s="180"/>
      <c r="Y15" s="179"/>
      <c r="Z15" s="179"/>
      <c r="AA15" s="179"/>
      <c r="AB15" s="180">
        <v>18665</v>
      </c>
      <c r="AC15" s="180">
        <v>5879</v>
      </c>
      <c r="AD15" s="180"/>
      <c r="AE15" s="179"/>
      <c r="AF15" s="256"/>
    </row>
    <row r="16" spans="1:32" s="223" customFormat="1" ht="15" customHeight="1">
      <c r="A16" s="149" t="s">
        <v>316</v>
      </c>
      <c r="B16" s="150" t="s">
        <v>627</v>
      </c>
      <c r="C16" s="138">
        <v>101879</v>
      </c>
      <c r="D16" s="204">
        <v>4</v>
      </c>
      <c r="E16" s="178">
        <f t="shared" si="0"/>
        <v>0</v>
      </c>
      <c r="F16" s="195">
        <f t="shared" si="1"/>
        <v>137970</v>
      </c>
      <c r="G16" s="179"/>
      <c r="H16" s="180">
        <v>128364</v>
      </c>
      <c r="I16" s="179"/>
      <c r="J16" s="180">
        <v>0</v>
      </c>
      <c r="K16" s="179"/>
      <c r="L16" s="179"/>
      <c r="M16" s="179"/>
      <c r="N16" s="180">
        <v>7569</v>
      </c>
      <c r="O16" s="180">
        <v>2037</v>
      </c>
      <c r="P16" s="180"/>
      <c r="Q16" s="179"/>
      <c r="R16" s="180"/>
      <c r="S16" s="178">
        <f t="shared" si="2"/>
        <v>0</v>
      </c>
      <c r="T16" s="195">
        <f t="shared" si="3"/>
        <v>11640</v>
      </c>
      <c r="U16" s="179"/>
      <c r="V16" s="180">
        <v>10122</v>
      </c>
      <c r="W16" s="179"/>
      <c r="X16" s="180"/>
      <c r="Y16" s="179"/>
      <c r="Z16" s="179"/>
      <c r="AA16" s="179"/>
      <c r="AB16" s="180">
        <v>1401</v>
      </c>
      <c r="AC16" s="180">
        <v>117</v>
      </c>
      <c r="AD16" s="180"/>
      <c r="AE16" s="179"/>
      <c r="AF16" s="256"/>
    </row>
    <row r="17" spans="1:32" s="223" customFormat="1" ht="15" customHeight="1">
      <c r="A17" s="149" t="s">
        <v>316</v>
      </c>
      <c r="B17" s="150" t="s">
        <v>628</v>
      </c>
      <c r="C17" s="138">
        <v>102322</v>
      </c>
      <c r="D17" s="204">
        <v>5</v>
      </c>
      <c r="E17" s="178">
        <f t="shared" si="0"/>
        <v>0</v>
      </c>
      <c r="F17" s="195">
        <f t="shared" si="1"/>
        <v>38793</v>
      </c>
      <c r="G17" s="179"/>
      <c r="H17" s="180">
        <v>28285</v>
      </c>
      <c r="I17" s="179"/>
      <c r="J17" s="180">
        <v>3874</v>
      </c>
      <c r="K17" s="179"/>
      <c r="L17" s="179"/>
      <c r="M17" s="179"/>
      <c r="N17" s="180">
        <v>5199</v>
      </c>
      <c r="O17" s="180">
        <v>1435</v>
      </c>
      <c r="P17" s="180"/>
      <c r="Q17" s="179"/>
      <c r="R17" s="180">
        <v>0</v>
      </c>
      <c r="S17" s="178">
        <f t="shared" si="2"/>
        <v>0</v>
      </c>
      <c r="T17" s="195">
        <f t="shared" si="3"/>
        <v>6116</v>
      </c>
      <c r="U17" s="179"/>
      <c r="V17" s="180">
        <v>4727</v>
      </c>
      <c r="W17" s="179"/>
      <c r="X17" s="180">
        <v>447</v>
      </c>
      <c r="Y17" s="179"/>
      <c r="Z17" s="179"/>
      <c r="AA17" s="179"/>
      <c r="AB17" s="180">
        <v>942</v>
      </c>
      <c r="AC17" s="180"/>
      <c r="AD17" s="180"/>
      <c r="AE17" s="179"/>
      <c r="AF17" s="256"/>
    </row>
    <row r="18" spans="1:32" s="223" customFormat="1" ht="15" customHeight="1">
      <c r="A18" s="149" t="s">
        <v>316</v>
      </c>
      <c r="B18" s="150" t="s">
        <v>629</v>
      </c>
      <c r="C18" s="138">
        <v>102359</v>
      </c>
      <c r="D18" s="204">
        <v>5</v>
      </c>
      <c r="E18" s="178">
        <f t="shared" si="0"/>
        <v>0</v>
      </c>
      <c r="F18" s="195">
        <f t="shared" si="1"/>
        <v>73292</v>
      </c>
      <c r="G18" s="179"/>
      <c r="H18" s="180">
        <v>41205</v>
      </c>
      <c r="I18" s="179"/>
      <c r="J18" s="180">
        <v>5876</v>
      </c>
      <c r="K18" s="179"/>
      <c r="L18" s="179"/>
      <c r="M18" s="179"/>
      <c r="N18" s="180">
        <v>15634</v>
      </c>
      <c r="O18" s="180">
        <v>6500</v>
      </c>
      <c r="P18" s="180"/>
      <c r="Q18" s="179"/>
      <c r="R18" s="180">
        <v>4077</v>
      </c>
      <c r="S18" s="178">
        <f t="shared" si="2"/>
        <v>0</v>
      </c>
      <c r="T18" s="195">
        <f t="shared" si="3"/>
        <v>11561</v>
      </c>
      <c r="U18" s="179"/>
      <c r="V18" s="180">
        <v>6653</v>
      </c>
      <c r="W18" s="179"/>
      <c r="X18" s="180">
        <v>4392</v>
      </c>
      <c r="Y18" s="179"/>
      <c r="Z18" s="179"/>
      <c r="AA18" s="179"/>
      <c r="AB18" s="180">
        <v>486</v>
      </c>
      <c r="AC18" s="180">
        <v>30</v>
      </c>
      <c r="AD18" s="180"/>
      <c r="AE18" s="179"/>
      <c r="AF18" s="256"/>
    </row>
    <row r="19" spans="1:32" s="223" customFormat="1" ht="15" customHeight="1">
      <c r="A19" s="149" t="s">
        <v>316</v>
      </c>
      <c r="B19" s="150" t="s">
        <v>630</v>
      </c>
      <c r="C19" s="138">
        <v>101709</v>
      </c>
      <c r="D19" s="204">
        <v>5</v>
      </c>
      <c r="E19" s="178">
        <f t="shared" si="0"/>
        <v>0</v>
      </c>
      <c r="F19" s="195">
        <f t="shared" si="1"/>
        <v>74608</v>
      </c>
      <c r="G19" s="179"/>
      <c r="H19" s="180">
        <v>74608</v>
      </c>
      <c r="I19" s="179"/>
      <c r="J19" s="180"/>
      <c r="K19" s="179"/>
      <c r="L19" s="179"/>
      <c r="M19" s="179"/>
      <c r="N19" s="180"/>
      <c r="O19" s="180"/>
      <c r="P19" s="180"/>
      <c r="Q19" s="179"/>
      <c r="R19" s="180"/>
      <c r="S19" s="178">
        <f t="shared" si="2"/>
        <v>0</v>
      </c>
      <c r="T19" s="195">
        <f t="shared" si="3"/>
        <v>7984</v>
      </c>
      <c r="U19" s="179"/>
      <c r="V19" s="180">
        <v>7984</v>
      </c>
      <c r="W19" s="179"/>
      <c r="X19" s="180"/>
      <c r="Y19" s="179"/>
      <c r="Z19" s="179"/>
      <c r="AA19" s="179"/>
      <c r="AB19" s="180"/>
      <c r="AC19" s="180"/>
      <c r="AD19" s="180"/>
      <c r="AE19" s="179"/>
      <c r="AF19" s="256"/>
    </row>
    <row r="20" spans="1:32" s="223" customFormat="1" ht="15" customHeight="1">
      <c r="A20" s="149" t="s">
        <v>316</v>
      </c>
      <c r="B20" s="150" t="s">
        <v>631</v>
      </c>
      <c r="C20" s="138">
        <v>101587</v>
      </c>
      <c r="D20" s="204">
        <v>5</v>
      </c>
      <c r="E20" s="178">
        <f t="shared" si="0"/>
        <v>0</v>
      </c>
      <c r="F20" s="195">
        <f t="shared" si="1"/>
        <v>45746</v>
      </c>
      <c r="G20" s="179"/>
      <c r="H20" s="180">
        <v>45642</v>
      </c>
      <c r="I20" s="179"/>
      <c r="J20" s="180">
        <v>6</v>
      </c>
      <c r="K20" s="179"/>
      <c r="L20" s="179"/>
      <c r="M20" s="179"/>
      <c r="N20" s="180">
        <v>98</v>
      </c>
      <c r="O20" s="180"/>
      <c r="P20" s="180"/>
      <c r="Q20" s="179"/>
      <c r="R20" s="180"/>
      <c r="S20" s="178">
        <f t="shared" si="2"/>
        <v>0</v>
      </c>
      <c r="T20" s="195">
        <f t="shared" si="3"/>
        <v>13277</v>
      </c>
      <c r="U20" s="179"/>
      <c r="V20" s="180">
        <v>6498</v>
      </c>
      <c r="W20" s="179"/>
      <c r="X20" s="180">
        <v>411</v>
      </c>
      <c r="Y20" s="179"/>
      <c r="Z20" s="179"/>
      <c r="AA20" s="179"/>
      <c r="AB20" s="180">
        <v>6368</v>
      </c>
      <c r="AC20" s="180"/>
      <c r="AD20" s="180"/>
      <c r="AE20" s="179"/>
      <c r="AF20" s="256"/>
    </row>
    <row r="21" spans="1:32" s="223" customFormat="1" ht="15" customHeight="1">
      <c r="A21" s="149" t="s">
        <v>316</v>
      </c>
      <c r="B21" s="150" t="s">
        <v>632</v>
      </c>
      <c r="C21" s="138">
        <v>100812</v>
      </c>
      <c r="D21" s="204">
        <v>6</v>
      </c>
      <c r="E21" s="178">
        <f t="shared" si="0"/>
        <v>0</v>
      </c>
      <c r="F21" s="195">
        <f t="shared" si="1"/>
        <v>63584</v>
      </c>
      <c r="G21" s="179"/>
      <c r="H21" s="180">
        <v>46127</v>
      </c>
      <c r="I21" s="179"/>
      <c r="J21" s="180">
        <v>6818</v>
      </c>
      <c r="K21" s="179"/>
      <c r="L21" s="179"/>
      <c r="M21" s="179"/>
      <c r="N21" s="180">
        <v>10639</v>
      </c>
      <c r="O21" s="180"/>
      <c r="P21" s="180"/>
      <c r="Q21" s="179"/>
      <c r="R21" s="231"/>
      <c r="S21" s="178">
        <f t="shared" si="2"/>
        <v>0</v>
      </c>
      <c r="T21" s="195">
        <f t="shared" si="3"/>
        <v>0</v>
      </c>
      <c r="U21" s="179"/>
      <c r="V21" s="180"/>
      <c r="W21" s="179"/>
      <c r="X21" s="180"/>
      <c r="Y21" s="179"/>
      <c r="Z21" s="179"/>
      <c r="AA21" s="179"/>
      <c r="AB21" s="180"/>
      <c r="AC21" s="180"/>
      <c r="AD21" s="180"/>
      <c r="AE21" s="179"/>
      <c r="AF21" s="256"/>
    </row>
    <row r="22" spans="1:32" s="223" customFormat="1" ht="15" customHeight="1">
      <c r="A22" s="149" t="s">
        <v>316</v>
      </c>
      <c r="B22" s="150" t="s">
        <v>644</v>
      </c>
      <c r="C22" s="138">
        <v>101949</v>
      </c>
      <c r="D22" s="204">
        <v>10</v>
      </c>
      <c r="E22" s="178">
        <f>SUM(G22,I22,K22,L22,M22,Q22)</f>
        <v>0</v>
      </c>
      <c r="F22" s="195">
        <f>SUM(H22,J22,N22,O22,P22,R22)</f>
        <v>35779</v>
      </c>
      <c r="G22" s="179"/>
      <c r="H22" s="180">
        <v>29943</v>
      </c>
      <c r="I22" s="179"/>
      <c r="J22" s="180">
        <v>4960</v>
      </c>
      <c r="K22" s="179"/>
      <c r="L22" s="179"/>
      <c r="M22" s="179"/>
      <c r="N22" s="180">
        <v>273</v>
      </c>
      <c r="O22" s="180">
        <v>603</v>
      </c>
      <c r="P22" s="180"/>
      <c r="Q22" s="179"/>
      <c r="R22" s="180"/>
      <c r="S22" s="178">
        <f>SUM(U22,W22,Y22,Z22,AA22,AE22)</f>
        <v>0</v>
      </c>
      <c r="T22" s="195">
        <f>SUM(V22,X22,AB22,AC22,AD22,AF22)</f>
        <v>0</v>
      </c>
      <c r="U22" s="179"/>
      <c r="V22" s="180"/>
      <c r="W22" s="179"/>
      <c r="X22" s="180"/>
      <c r="Y22" s="179"/>
      <c r="Z22" s="179"/>
      <c r="AA22" s="179"/>
      <c r="AB22" s="180"/>
      <c r="AC22" s="180"/>
      <c r="AD22" s="180"/>
      <c r="AE22" s="179"/>
      <c r="AF22" s="256"/>
    </row>
    <row r="23" spans="1:32" s="223" customFormat="1" ht="15" customHeight="1">
      <c r="A23" s="149" t="s">
        <v>316</v>
      </c>
      <c r="B23" s="150" t="s">
        <v>654</v>
      </c>
      <c r="C23" s="138">
        <v>100919</v>
      </c>
      <c r="D23" s="204">
        <v>12</v>
      </c>
      <c r="E23" s="178">
        <f>SUM(G23,I23,K23,L23,M23,Q23)</f>
        <v>0</v>
      </c>
      <c r="F23" s="195">
        <f>SUM(H23,J23,N23,O23,P23,R23)</f>
        <v>0</v>
      </c>
      <c r="G23" s="179"/>
      <c r="H23" s="180"/>
      <c r="I23" s="179"/>
      <c r="J23" s="180"/>
      <c r="K23" s="179"/>
      <c r="L23" s="179"/>
      <c r="M23" s="179"/>
      <c r="N23" s="180"/>
      <c r="O23" s="180"/>
      <c r="P23" s="180"/>
      <c r="Q23" s="179"/>
      <c r="R23" s="180"/>
      <c r="S23" s="178">
        <f>SUM(U23,W23,Y23,Z23,AA23,AE23)</f>
        <v>0</v>
      </c>
      <c r="T23" s="195">
        <f>SUM(V23,X23,AB23,AC23,AD23,AF23)</f>
        <v>0</v>
      </c>
      <c r="U23" s="179"/>
      <c r="V23" s="180"/>
      <c r="W23" s="179"/>
      <c r="X23" s="180"/>
      <c r="Y23" s="179"/>
      <c r="Z23" s="179"/>
      <c r="AA23" s="179"/>
      <c r="AB23" s="180"/>
      <c r="AC23" s="180"/>
      <c r="AD23" s="180"/>
      <c r="AE23" s="179"/>
      <c r="AF23" s="256"/>
    </row>
    <row r="24" spans="1:32" s="223" customFormat="1" ht="15" customHeight="1">
      <c r="A24" s="149" t="s">
        <v>316</v>
      </c>
      <c r="B24" s="150" t="s">
        <v>634</v>
      </c>
      <c r="C24" s="138">
        <v>102429</v>
      </c>
      <c r="D24" s="204">
        <v>9</v>
      </c>
      <c r="E24" s="178">
        <f>SUM(G24,I24,K24,L24,M24,Q24)</f>
        <v>0</v>
      </c>
      <c r="F24" s="195">
        <f>SUM(H24,J24,N24,O24,P24,R24)</f>
        <v>0</v>
      </c>
      <c r="G24" s="179"/>
      <c r="H24" s="180"/>
      <c r="I24" s="179"/>
      <c r="J24" s="180"/>
      <c r="K24" s="179"/>
      <c r="L24" s="179"/>
      <c r="M24" s="179"/>
      <c r="N24" s="180"/>
      <c r="O24" s="180"/>
      <c r="P24" s="180"/>
      <c r="Q24" s="179"/>
      <c r="R24" s="180"/>
      <c r="S24" s="178">
        <f>SUM(U24,W24,Y24,Z24,AA24,AE24)</f>
        <v>0</v>
      </c>
      <c r="T24" s="195">
        <f>SUM(V24,X24,AB24,AC24,AD24,AF24)</f>
        <v>0</v>
      </c>
      <c r="U24" s="179"/>
      <c r="V24" s="180"/>
      <c r="W24" s="179"/>
      <c r="X24" s="180"/>
      <c r="Y24" s="179"/>
      <c r="Z24" s="179"/>
      <c r="AA24" s="179"/>
      <c r="AB24" s="180"/>
      <c r="AC24" s="180"/>
      <c r="AD24" s="180"/>
      <c r="AE24" s="179"/>
      <c r="AF24" s="256"/>
    </row>
    <row r="25" spans="1:32" s="223" customFormat="1" ht="15" customHeight="1">
      <c r="A25" s="149" t="s">
        <v>316</v>
      </c>
      <c r="B25" s="150" t="s">
        <v>635</v>
      </c>
      <c r="C25" s="138">
        <v>102030</v>
      </c>
      <c r="D25" s="204">
        <v>9</v>
      </c>
      <c r="E25" s="178">
        <f>SUM(G25,I25,K25,L25,M25,Q25)</f>
        <v>0</v>
      </c>
      <c r="F25" s="195">
        <f>SUM(H25,J25,N25,O25,P25,R25)</f>
        <v>0</v>
      </c>
      <c r="G25" s="179"/>
      <c r="H25" s="180"/>
      <c r="I25" s="179"/>
      <c r="J25" s="180"/>
      <c r="K25" s="179"/>
      <c r="L25" s="179"/>
      <c r="M25" s="179"/>
      <c r="N25" s="180"/>
      <c r="O25" s="180"/>
      <c r="P25" s="180"/>
      <c r="Q25" s="179"/>
      <c r="R25" s="180"/>
      <c r="S25" s="178">
        <f>SUM(U25,W25,Y25,Z25,AA25,AE25)</f>
        <v>0</v>
      </c>
      <c r="T25" s="195">
        <f>SUM(V25,X25,AB25,AC25,AD25,AF25)</f>
        <v>0</v>
      </c>
      <c r="U25" s="179"/>
      <c r="V25" s="180"/>
      <c r="W25" s="179"/>
      <c r="X25" s="180"/>
      <c r="Y25" s="179"/>
      <c r="Z25" s="179"/>
      <c r="AA25" s="179"/>
      <c r="AB25" s="180"/>
      <c r="AC25" s="180"/>
      <c r="AD25" s="180"/>
      <c r="AE25" s="179"/>
      <c r="AF25" s="256"/>
    </row>
    <row r="26" spans="1:32" s="223" customFormat="1" ht="15" customHeight="1">
      <c r="A26" s="149" t="s">
        <v>316</v>
      </c>
      <c r="B26" s="150" t="s">
        <v>645</v>
      </c>
      <c r="C26" s="138">
        <v>100760</v>
      </c>
      <c r="D26" s="204">
        <v>10</v>
      </c>
      <c r="E26" s="178">
        <f>SUM(G26,I26,K26,L26,M26,Q26)</f>
        <v>0</v>
      </c>
      <c r="F26" s="195">
        <f>SUM(H26,J26,N26,O26,P26,R26)</f>
        <v>50806</v>
      </c>
      <c r="G26" s="179"/>
      <c r="H26" s="180">
        <v>49145</v>
      </c>
      <c r="I26" s="179"/>
      <c r="J26" s="180">
        <v>24</v>
      </c>
      <c r="K26" s="179"/>
      <c r="L26" s="179"/>
      <c r="M26" s="179"/>
      <c r="N26" s="180">
        <v>1637</v>
      </c>
      <c r="O26" s="180"/>
      <c r="P26" s="180"/>
      <c r="Q26" s="179"/>
      <c r="R26" s="180"/>
      <c r="S26" s="178">
        <f>SUM(U26,W26,Y26,Z26,AA26,AE26)</f>
        <v>0</v>
      </c>
      <c r="T26" s="195">
        <f>SUM(V26,X26,AB26,AC26,AD26,AF26)</f>
        <v>0</v>
      </c>
      <c r="U26" s="179"/>
      <c r="V26" s="180"/>
      <c r="W26" s="179"/>
      <c r="X26" s="180"/>
      <c r="Y26" s="179"/>
      <c r="Z26" s="179"/>
      <c r="AA26" s="179"/>
      <c r="AB26" s="180"/>
      <c r="AC26" s="180"/>
      <c r="AD26" s="180"/>
      <c r="AE26" s="179"/>
      <c r="AF26" s="256"/>
    </row>
    <row r="27" spans="1:32" s="223" customFormat="1" ht="15" customHeight="1">
      <c r="A27" s="149" t="s">
        <v>316</v>
      </c>
      <c r="B27" s="150" t="s">
        <v>646</v>
      </c>
      <c r="C27" s="138">
        <v>101028</v>
      </c>
      <c r="D27" s="204">
        <v>10</v>
      </c>
      <c r="E27" s="178">
        <f>SUM(G27,I27,K27,L27,M27,Q27)</f>
        <v>0</v>
      </c>
      <c r="F27" s="195">
        <f>SUM(H27,J27,N27,O27,P27,R27)</f>
        <v>0</v>
      </c>
      <c r="G27" s="179"/>
      <c r="H27" s="180"/>
      <c r="I27" s="179"/>
      <c r="J27" s="180"/>
      <c r="K27" s="179"/>
      <c r="L27" s="179"/>
      <c r="M27" s="179"/>
      <c r="N27" s="180"/>
      <c r="O27" s="180"/>
      <c r="P27" s="180"/>
      <c r="Q27" s="179"/>
      <c r="R27" s="180"/>
      <c r="S27" s="178">
        <f>SUM(U27,W27,Y27,Z27,AA27,AE27)</f>
        <v>0</v>
      </c>
      <c r="T27" s="195">
        <f>SUM(V27,X27,AB27,AC27,AD27,AF27)</f>
        <v>0</v>
      </c>
      <c r="U27" s="179"/>
      <c r="V27" s="180"/>
      <c r="W27" s="179"/>
      <c r="X27" s="180"/>
      <c r="Y27" s="179"/>
      <c r="Z27" s="179"/>
      <c r="AA27" s="179"/>
      <c r="AB27" s="180"/>
      <c r="AC27" s="180"/>
      <c r="AD27" s="180"/>
      <c r="AE27" s="179"/>
      <c r="AF27" s="256"/>
    </row>
    <row r="28" spans="1:32" s="223" customFormat="1" ht="15" customHeight="1">
      <c r="A28" s="149" t="s">
        <v>316</v>
      </c>
      <c r="B28" s="150" t="s">
        <v>647</v>
      </c>
      <c r="C28" s="138">
        <v>101143</v>
      </c>
      <c r="D28" s="204">
        <v>10</v>
      </c>
      <c r="E28" s="178">
        <f>SUM(G28,I28,K28,L28,M28,Q28)</f>
        <v>0</v>
      </c>
      <c r="F28" s="195">
        <f>SUM(H28,J28,N28,O28,P28,R28)</f>
        <v>49703</v>
      </c>
      <c r="G28" s="179"/>
      <c r="H28" s="188">
        <v>45891</v>
      </c>
      <c r="I28" s="179"/>
      <c r="J28" s="188">
        <v>82</v>
      </c>
      <c r="K28" s="179"/>
      <c r="L28" s="179"/>
      <c r="M28" s="179"/>
      <c r="N28" s="188">
        <v>3730</v>
      </c>
      <c r="O28" s="180"/>
      <c r="P28" s="180"/>
      <c r="Q28" s="179"/>
      <c r="R28" s="180"/>
      <c r="S28" s="178">
        <f>SUM(U28,W28,Y28,Z28,AA28,AE28)</f>
        <v>0</v>
      </c>
      <c r="T28" s="195">
        <f>SUM(V28,X28,AB28,AC28,AD28,AF28)</f>
        <v>0</v>
      </c>
      <c r="U28" s="179"/>
      <c r="V28" s="180"/>
      <c r="W28" s="179"/>
      <c r="X28" s="180"/>
      <c r="Y28" s="179"/>
      <c r="Z28" s="179"/>
      <c r="AA28" s="179"/>
      <c r="AB28" s="180"/>
      <c r="AC28" s="180"/>
      <c r="AD28" s="180"/>
      <c r="AE28" s="179"/>
      <c r="AF28" s="256"/>
    </row>
    <row r="29" spans="1:32" s="223" customFormat="1" ht="15" customHeight="1">
      <c r="A29" s="149" t="s">
        <v>316</v>
      </c>
      <c r="B29" s="151" t="s">
        <v>636</v>
      </c>
      <c r="C29" s="138">
        <v>101240</v>
      </c>
      <c r="D29" s="204">
        <v>9</v>
      </c>
      <c r="E29" s="178">
        <f>SUM(G29,I29,K29,L29,M29,Q29)</f>
        <v>0</v>
      </c>
      <c r="F29" s="195">
        <f>SUM(H29,J29,N29,O29,P29,R29)</f>
        <v>0</v>
      </c>
      <c r="G29" s="179"/>
      <c r="H29" s="180"/>
      <c r="I29" s="179"/>
      <c r="J29" s="180"/>
      <c r="K29" s="179"/>
      <c r="L29" s="179"/>
      <c r="M29" s="179"/>
      <c r="N29" s="180"/>
      <c r="O29" s="180"/>
      <c r="P29" s="180"/>
      <c r="Q29" s="179"/>
      <c r="R29" s="180"/>
      <c r="S29" s="178">
        <f>SUM(U29,W29,Y29,Z29,AA29,AE29)</f>
        <v>0</v>
      </c>
      <c r="T29" s="195">
        <f>SUM(V29,X29,AB29,AC29,AD29,AF29)</f>
        <v>0</v>
      </c>
      <c r="U29" s="179"/>
      <c r="V29" s="180"/>
      <c r="W29" s="179"/>
      <c r="X29" s="180"/>
      <c r="Y29" s="179"/>
      <c r="Z29" s="179"/>
      <c r="AA29" s="179"/>
      <c r="AB29" s="180"/>
      <c r="AC29" s="180"/>
      <c r="AD29" s="180"/>
      <c r="AE29" s="179"/>
      <c r="AF29" s="256"/>
    </row>
    <row r="30" spans="1:32" s="223" customFormat="1" ht="15" customHeight="1">
      <c r="A30" s="149" t="s">
        <v>316</v>
      </c>
      <c r="B30" s="150" t="s">
        <v>637</v>
      </c>
      <c r="C30" s="138">
        <v>101286</v>
      </c>
      <c r="D30" s="204">
        <v>9</v>
      </c>
      <c r="E30" s="178">
        <f>SUM(G30,I30,K30,L30,M30,Q30)</f>
        <v>0</v>
      </c>
      <c r="F30" s="195">
        <f>SUM(H30,J30,N30,O30,P30,R30)</f>
        <v>0</v>
      </c>
      <c r="G30" s="179"/>
      <c r="H30" s="180"/>
      <c r="I30" s="179"/>
      <c r="J30" s="180"/>
      <c r="K30" s="179"/>
      <c r="L30" s="179"/>
      <c r="M30" s="179"/>
      <c r="N30" s="180"/>
      <c r="O30" s="180"/>
      <c r="P30" s="180"/>
      <c r="Q30" s="179"/>
      <c r="R30" s="180"/>
      <c r="S30" s="178">
        <f>SUM(U30,W30,Y30,Z30,AA30,AE30)</f>
        <v>0</v>
      </c>
      <c r="T30" s="195">
        <f>SUM(V30,X30,AB30,AC30,AD30,AF30)</f>
        <v>0</v>
      </c>
      <c r="U30" s="179"/>
      <c r="V30" s="180"/>
      <c r="W30" s="179"/>
      <c r="X30" s="180"/>
      <c r="Y30" s="179"/>
      <c r="Z30" s="179"/>
      <c r="AA30" s="179"/>
      <c r="AB30" s="180"/>
      <c r="AC30" s="180"/>
      <c r="AD30" s="180"/>
      <c r="AE30" s="179"/>
      <c r="AF30" s="256"/>
    </row>
    <row r="31" spans="1:32" s="223" customFormat="1" ht="15" customHeight="1">
      <c r="A31" s="149" t="s">
        <v>316</v>
      </c>
      <c r="B31" s="150" t="s">
        <v>648</v>
      </c>
      <c r="C31" s="138">
        <v>101301</v>
      </c>
      <c r="D31" s="204">
        <v>10</v>
      </c>
      <c r="E31" s="178">
        <f>SUM(G31,I31,K31,L31,M31,Q31)</f>
        <v>0</v>
      </c>
      <c r="F31" s="195">
        <f>SUM(H31,J31,N31,O31,P31,R31)</f>
        <v>47941</v>
      </c>
      <c r="G31" s="179"/>
      <c r="H31" s="188">
        <v>41350</v>
      </c>
      <c r="I31" s="179"/>
      <c r="J31" s="180"/>
      <c r="K31" s="179"/>
      <c r="L31" s="179"/>
      <c r="M31" s="179"/>
      <c r="N31" s="188">
        <v>6591</v>
      </c>
      <c r="O31" s="180"/>
      <c r="P31" s="180"/>
      <c r="Q31" s="179"/>
      <c r="R31" s="180"/>
      <c r="S31" s="178">
        <f>SUM(U31,W31,Y31,Z31,AA31,AE31)</f>
        <v>0</v>
      </c>
      <c r="T31" s="195">
        <f>SUM(V31,X31,AB31,AC31,AD31,AF31)</f>
        <v>0</v>
      </c>
      <c r="U31" s="179"/>
      <c r="V31" s="180"/>
      <c r="W31" s="179"/>
      <c r="X31" s="180"/>
      <c r="Y31" s="179"/>
      <c r="Z31" s="179"/>
      <c r="AA31" s="179"/>
      <c r="AB31" s="180"/>
      <c r="AC31" s="180"/>
      <c r="AD31" s="180"/>
      <c r="AE31" s="179"/>
      <c r="AF31" s="256"/>
    </row>
    <row r="32" spans="1:32" s="223" customFormat="1" ht="15" customHeight="1">
      <c r="A32" s="149" t="s">
        <v>316</v>
      </c>
      <c r="B32" s="150" t="s">
        <v>656</v>
      </c>
      <c r="C32" s="138">
        <v>101462</v>
      </c>
      <c r="D32" s="204">
        <v>13</v>
      </c>
      <c r="E32" s="178">
        <f>SUM(G32,I32,K32,L32,M32,Q32)</f>
        <v>0</v>
      </c>
      <c r="F32" s="195">
        <f>SUM(H32,J32,N32,O32,P32,R32)</f>
        <v>0</v>
      </c>
      <c r="G32" s="179"/>
      <c r="H32" s="180"/>
      <c r="I32" s="179"/>
      <c r="J32" s="180"/>
      <c r="K32" s="179"/>
      <c r="L32" s="179"/>
      <c r="M32" s="179"/>
      <c r="N32" s="180"/>
      <c r="O32" s="180"/>
      <c r="P32" s="180"/>
      <c r="Q32" s="179"/>
      <c r="R32" s="180"/>
      <c r="S32" s="178">
        <f>SUM(U32,W32,Y32,Z32,AA32,AE32)</f>
        <v>0</v>
      </c>
      <c r="T32" s="195">
        <f>SUM(V32,X32,AB32,AC32,AD32,AF32)</f>
        <v>0</v>
      </c>
      <c r="U32" s="179"/>
      <c r="V32" s="180"/>
      <c r="W32" s="179"/>
      <c r="X32" s="180"/>
      <c r="Y32" s="179"/>
      <c r="Z32" s="179"/>
      <c r="AA32" s="179"/>
      <c r="AB32" s="180"/>
      <c r="AC32" s="180"/>
      <c r="AD32" s="180"/>
      <c r="AE32" s="179"/>
      <c r="AF32" s="256"/>
    </row>
    <row r="33" spans="1:32" s="223" customFormat="1" ht="15" customHeight="1">
      <c r="A33" s="149" t="s">
        <v>316</v>
      </c>
      <c r="B33" s="150" t="s">
        <v>657</v>
      </c>
      <c r="C33" s="138">
        <v>101471</v>
      </c>
      <c r="D33" s="204">
        <v>13</v>
      </c>
      <c r="E33" s="178">
        <f>SUM(G33,I33,K33,L33,M33,Q33)</f>
        <v>0</v>
      </c>
      <c r="F33" s="195">
        <f>SUM(H33,J33,N33,O33,P33,R33)</f>
        <v>0</v>
      </c>
      <c r="G33" s="179"/>
      <c r="H33" s="180"/>
      <c r="I33" s="179"/>
      <c r="J33" s="180"/>
      <c r="K33" s="179"/>
      <c r="L33" s="179"/>
      <c r="M33" s="179"/>
      <c r="N33" s="180"/>
      <c r="O33" s="180"/>
      <c r="P33" s="180"/>
      <c r="Q33" s="179"/>
      <c r="R33" s="180"/>
      <c r="S33" s="178">
        <f>SUM(U33,W33,Y33,Z33,AA33,AE33)</f>
        <v>0</v>
      </c>
      <c r="T33" s="195">
        <f>SUM(V33,X33,AB33,AC33,AD33,AF33)</f>
        <v>0</v>
      </c>
      <c r="U33" s="179"/>
      <c r="V33" s="180"/>
      <c r="W33" s="179"/>
      <c r="X33" s="180"/>
      <c r="Y33" s="179"/>
      <c r="Z33" s="179"/>
      <c r="AA33" s="179"/>
      <c r="AB33" s="180"/>
      <c r="AC33" s="180"/>
      <c r="AD33" s="180"/>
      <c r="AE33" s="179"/>
      <c r="AF33" s="256"/>
    </row>
    <row r="34" spans="1:32" s="223" customFormat="1" ht="15" customHeight="1">
      <c r="A34" s="149" t="s">
        <v>316</v>
      </c>
      <c r="B34" s="150" t="s">
        <v>638</v>
      </c>
      <c r="C34" s="138">
        <v>101161</v>
      </c>
      <c r="D34" s="204">
        <v>9</v>
      </c>
      <c r="E34" s="178">
        <f>SUM(G34,I34,K34,L34,M34,Q34)</f>
        <v>0</v>
      </c>
      <c r="F34" s="195">
        <f>SUM(H34,J34,N34,O34,P34,R34)</f>
        <v>0</v>
      </c>
      <c r="G34" s="179"/>
      <c r="H34" s="180"/>
      <c r="I34" s="179"/>
      <c r="J34" s="180"/>
      <c r="K34" s="179"/>
      <c r="L34" s="179"/>
      <c r="M34" s="179"/>
      <c r="N34" s="180"/>
      <c r="O34" s="180"/>
      <c r="P34" s="180"/>
      <c r="Q34" s="179"/>
      <c r="R34" s="180"/>
      <c r="S34" s="178">
        <f>SUM(U34,W34,Y34,Z34,AA34,AE34)</f>
        <v>0</v>
      </c>
      <c r="T34" s="195">
        <f>SUM(V34,X34,AB34,AC34,AD34,AF34)</f>
        <v>0</v>
      </c>
      <c r="U34" s="179"/>
      <c r="V34" s="180"/>
      <c r="W34" s="179"/>
      <c r="X34" s="180"/>
      <c r="Y34" s="179"/>
      <c r="Z34" s="179"/>
      <c r="AA34" s="179"/>
      <c r="AB34" s="180"/>
      <c r="AC34" s="180"/>
      <c r="AD34" s="180"/>
      <c r="AE34" s="179"/>
      <c r="AF34" s="256"/>
    </row>
    <row r="35" spans="1:32" s="223" customFormat="1" ht="15" customHeight="1">
      <c r="A35" s="149" t="s">
        <v>316</v>
      </c>
      <c r="B35" s="150" t="s">
        <v>649</v>
      </c>
      <c r="C35" s="138">
        <v>101499</v>
      </c>
      <c r="D35" s="204">
        <v>10</v>
      </c>
      <c r="E35" s="178">
        <f>SUM(G35,I35,K35,L35,M35,Q35)</f>
        <v>0</v>
      </c>
      <c r="F35" s="195">
        <f>SUM(H35,J35,N35,O35,P35,R35)</f>
        <v>30990</v>
      </c>
      <c r="G35" s="179"/>
      <c r="H35" s="188">
        <v>30150</v>
      </c>
      <c r="I35" s="179"/>
      <c r="J35" s="180"/>
      <c r="K35" s="179"/>
      <c r="L35" s="179"/>
      <c r="M35" s="179"/>
      <c r="N35" s="188">
        <v>840</v>
      </c>
      <c r="O35" s="180"/>
      <c r="P35" s="180"/>
      <c r="Q35" s="179"/>
      <c r="R35" s="180"/>
      <c r="S35" s="178">
        <f>SUM(U35,W35,Y35,Z35,AA35,AE35)</f>
        <v>0</v>
      </c>
      <c r="T35" s="195">
        <f>SUM(V35,X35,AB35,AC35,AD35,AF35)</f>
        <v>0</v>
      </c>
      <c r="U35" s="179"/>
      <c r="V35" s="180"/>
      <c r="W35" s="179"/>
      <c r="X35" s="180"/>
      <c r="Y35" s="179"/>
      <c r="Z35" s="179"/>
      <c r="AA35" s="179"/>
      <c r="AB35" s="180"/>
      <c r="AC35" s="180"/>
      <c r="AD35" s="180"/>
      <c r="AE35" s="179"/>
      <c r="AF35" s="256"/>
    </row>
    <row r="36" spans="1:32" s="223" customFormat="1" ht="15" customHeight="1">
      <c r="A36" s="149" t="s">
        <v>316</v>
      </c>
      <c r="B36" s="150" t="s">
        <v>639</v>
      </c>
      <c r="C36" s="138">
        <v>101505</v>
      </c>
      <c r="D36" s="204">
        <v>9</v>
      </c>
      <c r="E36" s="178">
        <f>SUM(G36,I36,K36,L36,M36,Q36)</f>
        <v>0</v>
      </c>
      <c r="F36" s="195">
        <f>SUM(H36,J36,N36,O36,P36,R36)</f>
        <v>150764</v>
      </c>
      <c r="G36" s="179"/>
      <c r="H36" s="180">
        <v>127678</v>
      </c>
      <c r="I36" s="179"/>
      <c r="J36" s="180">
        <v>8932</v>
      </c>
      <c r="K36" s="179"/>
      <c r="L36" s="179"/>
      <c r="M36" s="179"/>
      <c r="N36" s="180">
        <v>12013</v>
      </c>
      <c r="O36" s="180">
        <v>359</v>
      </c>
      <c r="P36" s="180">
        <v>1782</v>
      </c>
      <c r="Q36" s="179"/>
      <c r="R36" s="180"/>
      <c r="S36" s="178">
        <f>SUM(U36,W36,Y36,Z36,AA36,AE36)</f>
        <v>0</v>
      </c>
      <c r="T36" s="195">
        <f>SUM(V36,X36,AB36,AC36,AD36,AF36)</f>
        <v>0</v>
      </c>
      <c r="U36" s="179"/>
      <c r="V36" s="180"/>
      <c r="W36" s="179"/>
      <c r="X36" s="180"/>
      <c r="Y36" s="179"/>
      <c r="Z36" s="179"/>
      <c r="AA36" s="179"/>
      <c r="AB36" s="180"/>
      <c r="AC36" s="180"/>
      <c r="AD36" s="180"/>
      <c r="AE36" s="179"/>
      <c r="AF36" s="256"/>
    </row>
    <row r="37" spans="1:32" s="223" customFormat="1" ht="15" customHeight="1">
      <c r="A37" s="149" t="s">
        <v>316</v>
      </c>
      <c r="B37" s="150" t="s">
        <v>633</v>
      </c>
      <c r="C37" s="138">
        <v>101514</v>
      </c>
      <c r="D37" s="204">
        <v>8</v>
      </c>
      <c r="E37" s="178">
        <f>SUM(G37,I37,K37,L37,M37,Q37)</f>
        <v>0</v>
      </c>
      <c r="F37" s="195">
        <f>SUM(H37,J37,N37,O37,P37,R37)</f>
        <v>175734</v>
      </c>
      <c r="G37" s="179"/>
      <c r="H37" s="188">
        <v>166440</v>
      </c>
      <c r="I37" s="179"/>
      <c r="J37" s="188">
        <v>3111</v>
      </c>
      <c r="K37" s="179"/>
      <c r="L37" s="179"/>
      <c r="M37" s="179"/>
      <c r="N37" s="188">
        <v>6183</v>
      </c>
      <c r="O37" s="180"/>
      <c r="P37" s="180"/>
      <c r="Q37" s="179"/>
      <c r="R37" s="180"/>
      <c r="S37" s="178">
        <f>SUM(U37,W37,Y37,Z37,AA37,AE37)</f>
        <v>0</v>
      </c>
      <c r="T37" s="195">
        <f>SUM(V37,X37,AB37,AC37,AD37,AF37)</f>
        <v>0</v>
      </c>
      <c r="U37" s="179"/>
      <c r="V37" s="180"/>
      <c r="W37" s="179"/>
      <c r="X37" s="180"/>
      <c r="Y37" s="179"/>
      <c r="Z37" s="179"/>
      <c r="AA37" s="179"/>
      <c r="AB37" s="180"/>
      <c r="AC37" s="180"/>
      <c r="AD37" s="180"/>
      <c r="AE37" s="179"/>
      <c r="AF37" s="256"/>
    </row>
    <row r="38" spans="1:32" s="223" customFormat="1" ht="15" customHeight="1">
      <c r="A38" s="149" t="s">
        <v>316</v>
      </c>
      <c r="B38" s="150" t="s">
        <v>650</v>
      </c>
      <c r="C38" s="138">
        <v>101569</v>
      </c>
      <c r="D38" s="204">
        <v>10</v>
      </c>
      <c r="E38" s="178">
        <f>SUM(G38,I38,K38,L38,M38,Q38)</f>
        <v>0</v>
      </c>
      <c r="F38" s="195">
        <f>SUM(H38,J38,N38,O38,P38,R38)</f>
        <v>56935</v>
      </c>
      <c r="G38" s="179"/>
      <c r="H38" s="188">
        <v>56767</v>
      </c>
      <c r="I38" s="179"/>
      <c r="J38" s="188">
        <v>168</v>
      </c>
      <c r="K38" s="179"/>
      <c r="L38" s="179"/>
      <c r="M38" s="179"/>
      <c r="N38" s="180"/>
      <c r="O38" s="180"/>
      <c r="P38" s="180"/>
      <c r="Q38" s="179"/>
      <c r="R38" s="180"/>
      <c r="S38" s="178">
        <f>SUM(U38,W38,Y38,Z38,AA38,AE38)</f>
        <v>0</v>
      </c>
      <c r="T38" s="195">
        <f>SUM(V38,X38,AB38,AC38,AD38,AF38)</f>
        <v>0</v>
      </c>
      <c r="U38" s="179"/>
      <c r="V38" s="180"/>
      <c r="W38" s="179"/>
      <c r="X38" s="180"/>
      <c r="Y38" s="179"/>
      <c r="Z38" s="179"/>
      <c r="AA38" s="179"/>
      <c r="AB38" s="180"/>
      <c r="AC38" s="180"/>
      <c r="AD38" s="180"/>
      <c r="AE38" s="179"/>
      <c r="AF38" s="256"/>
    </row>
    <row r="39" spans="1:32" s="223" customFormat="1" ht="15" customHeight="1">
      <c r="A39" s="149" t="s">
        <v>316</v>
      </c>
      <c r="B39" s="151" t="s">
        <v>651</v>
      </c>
      <c r="C39" s="138">
        <v>101602</v>
      </c>
      <c r="D39" s="204">
        <v>10</v>
      </c>
      <c r="E39" s="178">
        <f>SUM(G39,I39,K39,L39,M39,Q39)</f>
        <v>0</v>
      </c>
      <c r="F39" s="195">
        <f>SUM(H39,J39,N39,O39,P39,R39)</f>
        <v>0</v>
      </c>
      <c r="G39" s="179"/>
      <c r="H39" s="180"/>
      <c r="I39" s="179"/>
      <c r="J39" s="180"/>
      <c r="K39" s="179"/>
      <c r="L39" s="179"/>
      <c r="M39" s="179"/>
      <c r="N39" s="180"/>
      <c r="O39" s="180"/>
      <c r="P39" s="180"/>
      <c r="Q39" s="179"/>
      <c r="R39" s="180"/>
      <c r="S39" s="178">
        <f>SUM(U39,W39,Y39,Z39,AA39,AE39)</f>
        <v>0</v>
      </c>
      <c r="T39" s="195">
        <f>SUM(V39,X39,AB39,AC39,AD39,AF39)</f>
        <v>0</v>
      </c>
      <c r="U39" s="179"/>
      <c r="V39" s="180"/>
      <c r="W39" s="179"/>
      <c r="X39" s="180"/>
      <c r="Y39" s="179"/>
      <c r="Z39" s="179"/>
      <c r="AA39" s="179"/>
      <c r="AB39" s="180"/>
      <c r="AC39" s="180"/>
      <c r="AD39" s="180"/>
      <c r="AE39" s="179"/>
      <c r="AF39" s="256"/>
    </row>
    <row r="40" spans="1:32" s="223" customFormat="1" ht="15" customHeight="1">
      <c r="A40" s="149" t="s">
        <v>316</v>
      </c>
      <c r="B40" s="150" t="s">
        <v>652</v>
      </c>
      <c r="C40" s="138">
        <v>101897</v>
      </c>
      <c r="D40" s="204">
        <v>10</v>
      </c>
      <c r="E40" s="178">
        <f>SUM(G40,I40,K40,L40,M40,Q40)</f>
        <v>0</v>
      </c>
      <c r="F40" s="195">
        <f>SUM(H40,J40,N40,O40,P40,R40)</f>
        <v>0</v>
      </c>
      <c r="G40" s="179"/>
      <c r="H40" s="180"/>
      <c r="I40" s="179"/>
      <c r="J40" s="180"/>
      <c r="K40" s="179"/>
      <c r="L40" s="179"/>
      <c r="M40" s="179"/>
      <c r="N40" s="180"/>
      <c r="O40" s="180"/>
      <c r="P40" s="180"/>
      <c r="Q40" s="179"/>
      <c r="R40" s="180"/>
      <c r="S40" s="178">
        <f>SUM(U40,W40,Y40,Z40,AA40,AE40)</f>
        <v>0</v>
      </c>
      <c r="T40" s="195">
        <f>SUM(V40,X40,AB40,AC40,AD40,AF40)</f>
        <v>0</v>
      </c>
      <c r="U40" s="179"/>
      <c r="V40" s="180"/>
      <c r="W40" s="179"/>
      <c r="X40" s="180"/>
      <c r="Y40" s="179"/>
      <c r="Z40" s="179"/>
      <c r="AA40" s="179"/>
      <c r="AB40" s="180"/>
      <c r="AC40" s="180"/>
      <c r="AD40" s="180"/>
      <c r="AE40" s="179"/>
      <c r="AF40" s="256"/>
    </row>
    <row r="41" spans="1:32" s="223" customFormat="1" ht="15" customHeight="1">
      <c r="A41" s="149" t="s">
        <v>316</v>
      </c>
      <c r="B41" s="150" t="s">
        <v>640</v>
      </c>
      <c r="C41" s="138">
        <v>101736</v>
      </c>
      <c r="D41" s="204">
        <v>9</v>
      </c>
      <c r="E41" s="178">
        <f>SUM(G41,I41,K41,L41,M41,Q41)</f>
        <v>0</v>
      </c>
      <c r="F41" s="195">
        <f>SUM(H41,J41,N41,O41,P41,R41)</f>
        <v>0</v>
      </c>
      <c r="G41" s="179"/>
      <c r="H41" s="180"/>
      <c r="I41" s="179"/>
      <c r="J41" s="180"/>
      <c r="K41" s="179"/>
      <c r="L41" s="179"/>
      <c r="M41" s="179"/>
      <c r="N41" s="180"/>
      <c r="O41" s="180"/>
      <c r="P41" s="180"/>
      <c r="Q41" s="179"/>
      <c r="R41" s="180"/>
      <c r="S41" s="178">
        <f>SUM(U41,W41,Y41,Z41,AA41,AE41)</f>
        <v>0</v>
      </c>
      <c r="T41" s="195">
        <f>SUM(V41,X41,AB41,AC41,AD41,AF41)</f>
        <v>0</v>
      </c>
      <c r="U41" s="179"/>
      <c r="V41" s="180"/>
      <c r="W41" s="179"/>
      <c r="X41" s="180"/>
      <c r="Y41" s="179"/>
      <c r="Z41" s="179"/>
      <c r="AA41" s="179"/>
      <c r="AB41" s="180"/>
      <c r="AC41" s="180"/>
      <c r="AD41" s="180"/>
      <c r="AE41" s="179"/>
      <c r="AF41" s="256"/>
    </row>
    <row r="42" spans="1:32" s="223" customFormat="1" ht="15" customHeight="1">
      <c r="A42" s="149" t="s">
        <v>316</v>
      </c>
      <c r="B42" s="150" t="s">
        <v>658</v>
      </c>
      <c r="C42" s="138">
        <v>101994</v>
      </c>
      <c r="D42" s="204">
        <v>13</v>
      </c>
      <c r="E42" s="178">
        <f>SUM(G42,I42,K42,L42,M42,Q42)</f>
        <v>0</v>
      </c>
      <c r="F42" s="195">
        <f>SUM(H42,J42,N42,O42,P42,R42)</f>
        <v>0</v>
      </c>
      <c r="G42" s="179"/>
      <c r="H42" s="180"/>
      <c r="I42" s="179"/>
      <c r="J42" s="180"/>
      <c r="K42" s="179"/>
      <c r="L42" s="179"/>
      <c r="M42" s="179"/>
      <c r="N42" s="180"/>
      <c r="O42" s="180"/>
      <c r="P42" s="180"/>
      <c r="Q42" s="179"/>
      <c r="R42" s="180"/>
      <c r="S42" s="178">
        <f>SUM(U42,W42,Y42,Z42,AA42,AE42)</f>
        <v>0</v>
      </c>
      <c r="T42" s="195">
        <f>SUM(V42,X42,AB42,AC42,AD42,AF42)</f>
        <v>0</v>
      </c>
      <c r="U42" s="179"/>
      <c r="V42" s="180"/>
      <c r="W42" s="179"/>
      <c r="X42" s="180"/>
      <c r="Y42" s="179"/>
      <c r="Z42" s="179"/>
      <c r="AA42" s="179"/>
      <c r="AB42" s="180"/>
      <c r="AC42" s="180"/>
      <c r="AD42" s="180"/>
      <c r="AE42" s="179"/>
      <c r="AF42" s="256"/>
    </row>
    <row r="43" spans="1:32" s="223" customFormat="1" ht="15" customHeight="1">
      <c r="A43" s="149" t="s">
        <v>316</v>
      </c>
      <c r="B43" s="150" t="s">
        <v>641</v>
      </c>
      <c r="C43" s="138">
        <v>102067</v>
      </c>
      <c r="D43" s="204">
        <v>9</v>
      </c>
      <c r="E43" s="178">
        <f>SUM(G43,I43,K43,L43,M43,Q43)</f>
        <v>0</v>
      </c>
      <c r="F43" s="195">
        <f>SUM(H43,J43,N43,O43,P43,R43)</f>
        <v>144130</v>
      </c>
      <c r="G43" s="179"/>
      <c r="H43" s="180">
        <v>139805</v>
      </c>
      <c r="I43" s="179"/>
      <c r="J43" s="180"/>
      <c r="K43" s="179"/>
      <c r="L43" s="179"/>
      <c r="M43" s="179"/>
      <c r="N43" s="180">
        <v>4325</v>
      </c>
      <c r="O43" s="180"/>
      <c r="P43" s="180"/>
      <c r="Q43" s="179"/>
      <c r="R43" s="180"/>
      <c r="S43" s="178">
        <f>SUM(U43,W43,Y43,Z43,AA43,AE43)</f>
        <v>0</v>
      </c>
      <c r="T43" s="195">
        <f>SUM(V43,X43,AB43,AC43,AD43,AF43)</f>
        <v>0</v>
      </c>
      <c r="U43" s="179"/>
      <c r="V43" s="180"/>
      <c r="W43" s="179"/>
      <c r="X43" s="180"/>
      <c r="Y43" s="179"/>
      <c r="Z43" s="179"/>
      <c r="AA43" s="179"/>
      <c r="AB43" s="180"/>
      <c r="AC43" s="180"/>
      <c r="AD43" s="180"/>
      <c r="AE43" s="179"/>
      <c r="AF43" s="256"/>
    </row>
    <row r="44" spans="1:32" s="223" customFormat="1" ht="15" customHeight="1">
      <c r="A44" s="149" t="s">
        <v>316</v>
      </c>
      <c r="B44" s="150" t="s">
        <v>653</v>
      </c>
      <c r="C44" s="138">
        <v>102076</v>
      </c>
      <c r="D44" s="204">
        <v>10</v>
      </c>
      <c r="E44" s="178">
        <f>SUM(G44,I44,K44,L44,M44,Q44)</f>
        <v>0</v>
      </c>
      <c r="F44" s="195">
        <f>SUM(H44,J44,N44,O44,P44,R44)</f>
        <v>50237</v>
      </c>
      <c r="G44" s="179"/>
      <c r="H44" s="188">
        <v>37543</v>
      </c>
      <c r="I44" s="179"/>
      <c r="J44" s="180"/>
      <c r="K44" s="179"/>
      <c r="L44" s="179"/>
      <c r="M44" s="179"/>
      <c r="N44" s="188">
        <v>12694</v>
      </c>
      <c r="O44" s="180"/>
      <c r="P44" s="180"/>
      <c r="Q44" s="179"/>
      <c r="R44" s="180"/>
      <c r="S44" s="178">
        <f>SUM(U44,W44,Y44,Z44,AA44,AE44)</f>
        <v>0</v>
      </c>
      <c r="T44" s="195">
        <f>SUM(V44,X44,AB44,AC44,AD44,AF44)</f>
        <v>0</v>
      </c>
      <c r="U44" s="179"/>
      <c r="V44" s="180"/>
      <c r="W44" s="179"/>
      <c r="X44" s="180"/>
      <c r="Y44" s="179"/>
      <c r="Z44" s="179"/>
      <c r="AA44" s="179"/>
      <c r="AB44" s="180"/>
      <c r="AC44" s="180"/>
      <c r="AD44" s="180"/>
      <c r="AE44" s="179"/>
      <c r="AF44" s="256"/>
    </row>
    <row r="45" spans="1:32" s="223" customFormat="1" ht="15" customHeight="1">
      <c r="A45" s="149" t="s">
        <v>316</v>
      </c>
      <c r="B45" s="150" t="s">
        <v>642</v>
      </c>
      <c r="C45" s="138">
        <v>251260</v>
      </c>
      <c r="D45" s="204">
        <v>9</v>
      </c>
      <c r="E45" s="178">
        <f>SUM(G45,I45,K45,L45,M45,Q45)</f>
        <v>0</v>
      </c>
      <c r="F45" s="195">
        <f>SUM(H45,J45,N45,O45,P45,R45)</f>
        <v>0</v>
      </c>
      <c r="G45" s="179"/>
      <c r="H45" s="180"/>
      <c r="I45" s="179"/>
      <c r="J45" s="180"/>
      <c r="K45" s="179"/>
      <c r="L45" s="179"/>
      <c r="M45" s="179"/>
      <c r="N45" s="180"/>
      <c r="O45" s="180"/>
      <c r="P45" s="180"/>
      <c r="Q45" s="179"/>
      <c r="R45" s="180"/>
      <c r="S45" s="178">
        <f>SUM(U45,W45,Y45,Z45,AA45,AE45)</f>
        <v>0</v>
      </c>
      <c r="T45" s="195">
        <f>SUM(V45,X45,AB45,AC45,AD45,AF45)</f>
        <v>0</v>
      </c>
      <c r="U45" s="179"/>
      <c r="V45" s="180"/>
      <c r="W45" s="179"/>
      <c r="X45" s="180"/>
      <c r="Y45" s="179"/>
      <c r="Z45" s="179"/>
      <c r="AA45" s="179"/>
      <c r="AB45" s="180"/>
      <c r="AC45" s="180"/>
      <c r="AD45" s="180"/>
      <c r="AE45" s="179"/>
      <c r="AF45" s="256"/>
    </row>
    <row r="46" spans="1:32" s="223" customFormat="1" ht="15" customHeight="1">
      <c r="A46" s="149" t="s">
        <v>316</v>
      </c>
      <c r="B46" s="151" t="s">
        <v>655</v>
      </c>
      <c r="C46" s="138">
        <v>102313</v>
      </c>
      <c r="D46" s="204">
        <v>12</v>
      </c>
      <c r="E46" s="178">
        <f>SUM(G46,I46,K46,L46,M46,Q46)</f>
        <v>0</v>
      </c>
      <c r="F46" s="195">
        <f>SUM(H46,J46,N46,O46,P46,R46)</f>
        <v>0</v>
      </c>
      <c r="G46" s="179"/>
      <c r="H46" s="180"/>
      <c r="I46" s="179"/>
      <c r="J46" s="180"/>
      <c r="K46" s="179"/>
      <c r="L46" s="179"/>
      <c r="M46" s="179"/>
      <c r="N46" s="180"/>
      <c r="O46" s="180"/>
      <c r="P46" s="180"/>
      <c r="Q46" s="179"/>
      <c r="R46" s="180"/>
      <c r="S46" s="178">
        <f>SUM(U46,W46,Y46,Z46,AA46,AE46)</f>
        <v>0</v>
      </c>
      <c r="T46" s="195">
        <f>SUM(V46,X46,AB46,AC46,AD46,AF46)</f>
        <v>0</v>
      </c>
      <c r="U46" s="179"/>
      <c r="V46" s="180"/>
      <c r="W46" s="179"/>
      <c r="X46" s="180"/>
      <c r="Y46" s="179"/>
      <c r="Z46" s="179"/>
      <c r="AA46" s="179"/>
      <c r="AB46" s="180"/>
      <c r="AC46" s="180"/>
      <c r="AD46" s="180"/>
      <c r="AE46" s="179"/>
      <c r="AF46" s="256"/>
    </row>
    <row r="47" spans="1:32" s="223" customFormat="1" ht="15" customHeight="1">
      <c r="A47" s="149" t="s">
        <v>316</v>
      </c>
      <c r="B47" s="150" t="s">
        <v>643</v>
      </c>
      <c r="C47" s="138">
        <v>101295</v>
      </c>
      <c r="D47" s="204">
        <v>9</v>
      </c>
      <c r="E47" s="178">
        <f>SUM(G47,I47,K47,L47,M47,Q47)</f>
        <v>0</v>
      </c>
      <c r="F47" s="195">
        <f>SUM(H47,J47,N47,O47,P47,R47)</f>
        <v>0</v>
      </c>
      <c r="G47" s="179"/>
      <c r="H47" s="180"/>
      <c r="I47" s="179"/>
      <c r="J47" s="180"/>
      <c r="K47" s="179"/>
      <c r="L47" s="179"/>
      <c r="M47" s="179"/>
      <c r="N47" s="180"/>
      <c r="O47" s="180"/>
      <c r="P47" s="180"/>
      <c r="Q47" s="179"/>
      <c r="R47" s="180"/>
      <c r="S47" s="178">
        <f>SUM(U47,W47,Y47,Z47,AA47,AE47)</f>
        <v>0</v>
      </c>
      <c r="T47" s="195">
        <f>SUM(V47,X47,AB47,AC47,AD47,AF47)</f>
        <v>0</v>
      </c>
      <c r="U47" s="179"/>
      <c r="V47" s="180"/>
      <c r="W47" s="179"/>
      <c r="X47" s="180"/>
      <c r="Y47" s="179"/>
      <c r="Z47" s="179"/>
      <c r="AA47" s="179"/>
      <c r="AB47" s="180"/>
      <c r="AC47" s="180"/>
      <c r="AD47" s="180"/>
      <c r="AE47" s="179"/>
      <c r="AF47" s="256"/>
    </row>
    <row r="48" spans="1:32" s="223" customFormat="1" ht="15" customHeight="1">
      <c r="A48" s="152" t="s">
        <v>317</v>
      </c>
      <c r="B48" s="152" t="s">
        <v>659</v>
      </c>
      <c r="C48" s="22">
        <v>106397</v>
      </c>
      <c r="D48" s="205">
        <v>2</v>
      </c>
      <c r="E48" s="178">
        <f t="shared" si="0"/>
        <v>367507</v>
      </c>
      <c r="F48" s="195">
        <f t="shared" si="1"/>
        <v>375732</v>
      </c>
      <c r="G48" s="179">
        <v>362126</v>
      </c>
      <c r="H48" s="180">
        <v>367350</v>
      </c>
      <c r="I48" s="179">
        <v>3014</v>
      </c>
      <c r="J48" s="180">
        <v>5926</v>
      </c>
      <c r="K48" s="179">
        <v>307</v>
      </c>
      <c r="L48" s="179">
        <v>2060</v>
      </c>
      <c r="M48" s="179"/>
      <c r="N48" s="180">
        <v>627</v>
      </c>
      <c r="O48" s="180">
        <v>1823</v>
      </c>
      <c r="P48" s="180">
        <v>6</v>
      </c>
      <c r="Q48" s="182"/>
      <c r="R48" s="233"/>
      <c r="S48" s="178">
        <f t="shared" si="2"/>
        <v>60829</v>
      </c>
      <c r="T48" s="195">
        <f t="shared" si="3"/>
        <v>64565</v>
      </c>
      <c r="U48" s="179">
        <v>53515</v>
      </c>
      <c r="V48" s="180">
        <v>56048</v>
      </c>
      <c r="W48" s="179">
        <v>1510</v>
      </c>
      <c r="X48" s="180">
        <v>2954</v>
      </c>
      <c r="Y48" s="179">
        <v>1038</v>
      </c>
      <c r="Z48" s="179">
        <v>4766</v>
      </c>
      <c r="AA48" s="179"/>
      <c r="AB48" s="180">
        <v>1746</v>
      </c>
      <c r="AC48" s="180">
        <v>3166</v>
      </c>
      <c r="AD48" s="180">
        <v>651</v>
      </c>
      <c r="AE48" s="182" t="s">
        <v>318</v>
      </c>
      <c r="AF48" s="257" t="s">
        <v>318</v>
      </c>
    </row>
    <row r="49" spans="1:32" s="223" customFormat="1" ht="15" customHeight="1">
      <c r="A49" s="152" t="s">
        <v>317</v>
      </c>
      <c r="B49" s="152" t="s">
        <v>319</v>
      </c>
      <c r="C49" s="22">
        <v>106458</v>
      </c>
      <c r="D49" s="205">
        <v>3</v>
      </c>
      <c r="E49" s="178">
        <f t="shared" si="0"/>
        <v>249518</v>
      </c>
      <c r="F49" s="195">
        <f t="shared" si="1"/>
        <v>247743</v>
      </c>
      <c r="G49" s="179">
        <v>221544</v>
      </c>
      <c r="H49" s="180">
        <v>216501</v>
      </c>
      <c r="I49" s="179">
        <v>20786</v>
      </c>
      <c r="J49" s="180">
        <v>22298</v>
      </c>
      <c r="K49" s="179">
        <v>3468</v>
      </c>
      <c r="L49" s="179">
        <v>3629</v>
      </c>
      <c r="M49" s="179">
        <v>91</v>
      </c>
      <c r="N49" s="180">
        <v>4793</v>
      </c>
      <c r="O49" s="180">
        <v>4061</v>
      </c>
      <c r="P49" s="180">
        <v>90</v>
      </c>
      <c r="Q49" s="182"/>
      <c r="R49" s="233"/>
      <c r="S49" s="178">
        <f t="shared" si="2"/>
        <v>18591</v>
      </c>
      <c r="T49" s="195">
        <f t="shared" si="3"/>
        <v>20593</v>
      </c>
      <c r="U49" s="179">
        <v>15446</v>
      </c>
      <c r="V49" s="180">
        <v>17400</v>
      </c>
      <c r="W49" s="179">
        <v>1146</v>
      </c>
      <c r="X49" s="180">
        <v>1149</v>
      </c>
      <c r="Y49" s="179">
        <v>1108</v>
      </c>
      <c r="Z49" s="179">
        <v>822</v>
      </c>
      <c r="AA49" s="179">
        <v>69</v>
      </c>
      <c r="AB49" s="180">
        <v>1163</v>
      </c>
      <c r="AC49" s="180">
        <v>854</v>
      </c>
      <c r="AD49" s="180">
        <v>27</v>
      </c>
      <c r="AE49" s="182" t="s">
        <v>318</v>
      </c>
      <c r="AF49" s="257" t="s">
        <v>318</v>
      </c>
    </row>
    <row r="50" spans="1:32" s="223" customFormat="1" ht="15" customHeight="1">
      <c r="A50" s="152" t="s">
        <v>317</v>
      </c>
      <c r="B50" s="152" t="s">
        <v>320</v>
      </c>
      <c r="C50" s="22">
        <v>106245</v>
      </c>
      <c r="D50" s="205">
        <v>3</v>
      </c>
      <c r="E50" s="178">
        <f t="shared" si="0"/>
        <v>217108</v>
      </c>
      <c r="F50" s="195">
        <f t="shared" si="1"/>
        <v>215771</v>
      </c>
      <c r="G50" s="179">
        <v>171738</v>
      </c>
      <c r="H50" s="180">
        <v>164486</v>
      </c>
      <c r="I50" s="179">
        <v>10571</v>
      </c>
      <c r="J50" s="180">
        <v>10454</v>
      </c>
      <c r="K50" s="179">
        <v>25870</v>
      </c>
      <c r="L50" s="179">
        <v>129</v>
      </c>
      <c r="M50" s="179">
        <v>8800</v>
      </c>
      <c r="N50" s="180">
        <v>30663</v>
      </c>
      <c r="O50" s="180">
        <v>102</v>
      </c>
      <c r="P50" s="180">
        <v>10066</v>
      </c>
      <c r="Q50" s="182"/>
      <c r="R50" s="233"/>
      <c r="S50" s="178">
        <f t="shared" si="2"/>
        <v>39444</v>
      </c>
      <c r="T50" s="195">
        <f t="shared" si="3"/>
        <v>43097</v>
      </c>
      <c r="U50" s="179">
        <v>23022</v>
      </c>
      <c r="V50" s="180">
        <v>23497</v>
      </c>
      <c r="W50" s="179">
        <v>12339</v>
      </c>
      <c r="X50" s="180">
        <v>13043</v>
      </c>
      <c r="Y50" s="179">
        <v>3653</v>
      </c>
      <c r="Z50" s="179">
        <v>249</v>
      </c>
      <c r="AA50" s="179">
        <v>181</v>
      </c>
      <c r="AB50" s="180">
        <v>5437</v>
      </c>
      <c r="AC50" s="180">
        <v>150</v>
      </c>
      <c r="AD50" s="180">
        <v>970</v>
      </c>
      <c r="AE50" s="182" t="s">
        <v>318</v>
      </c>
      <c r="AF50" s="257" t="s">
        <v>318</v>
      </c>
    </row>
    <row r="51" spans="1:32" s="223" customFormat="1" ht="15" customHeight="1">
      <c r="A51" s="152" t="s">
        <v>317</v>
      </c>
      <c r="B51" s="152" t="s">
        <v>321</v>
      </c>
      <c r="C51" s="22">
        <v>106704</v>
      </c>
      <c r="D51" s="205">
        <v>3</v>
      </c>
      <c r="E51" s="178">
        <f t="shared" si="0"/>
        <v>237738</v>
      </c>
      <c r="F51" s="195">
        <f t="shared" si="1"/>
        <v>258448</v>
      </c>
      <c r="G51" s="179">
        <v>237472</v>
      </c>
      <c r="H51" s="180">
        <v>258004</v>
      </c>
      <c r="I51" s="179">
        <v>120</v>
      </c>
      <c r="J51" s="180">
        <v>153</v>
      </c>
      <c r="K51" s="179">
        <v>146</v>
      </c>
      <c r="L51" s="179">
        <v>0</v>
      </c>
      <c r="M51" s="179"/>
      <c r="N51" s="180"/>
      <c r="O51" s="180">
        <v>216</v>
      </c>
      <c r="P51" s="180">
        <v>75</v>
      </c>
      <c r="Q51" s="182"/>
      <c r="R51" s="233"/>
      <c r="S51" s="178">
        <f t="shared" si="2"/>
        <v>20317</v>
      </c>
      <c r="T51" s="195">
        <f t="shared" si="3"/>
        <v>21142</v>
      </c>
      <c r="U51" s="179">
        <v>18851</v>
      </c>
      <c r="V51" s="180">
        <v>19710</v>
      </c>
      <c r="W51" s="179">
        <v>132</v>
      </c>
      <c r="X51" s="180">
        <v>333</v>
      </c>
      <c r="Y51" s="179">
        <v>902</v>
      </c>
      <c r="Z51" s="179">
        <v>432</v>
      </c>
      <c r="AA51" s="179"/>
      <c r="AB51" s="180"/>
      <c r="AC51" s="180">
        <v>820</v>
      </c>
      <c r="AD51" s="180">
        <v>279</v>
      </c>
      <c r="AE51" s="182" t="s">
        <v>318</v>
      </c>
      <c r="AF51" s="257" t="s">
        <v>318</v>
      </c>
    </row>
    <row r="52" spans="1:32" s="223" customFormat="1" ht="15" customHeight="1">
      <c r="A52" s="152" t="s">
        <v>317</v>
      </c>
      <c r="B52" s="152" t="s">
        <v>322</v>
      </c>
      <c r="C52" s="22">
        <v>106467</v>
      </c>
      <c r="D52" s="205">
        <v>5</v>
      </c>
      <c r="E52" s="178">
        <f t="shared" si="0"/>
        <v>161708</v>
      </c>
      <c r="F52" s="195">
        <f t="shared" si="1"/>
        <v>174613</v>
      </c>
      <c r="G52" s="179">
        <v>148952</v>
      </c>
      <c r="H52" s="180">
        <v>154313</v>
      </c>
      <c r="I52" s="179">
        <v>6725</v>
      </c>
      <c r="J52" s="180">
        <v>12990</v>
      </c>
      <c r="K52" s="179">
        <v>6022</v>
      </c>
      <c r="L52" s="179">
        <v>0</v>
      </c>
      <c r="M52" s="179">
        <v>9</v>
      </c>
      <c r="N52" s="180">
        <v>7310</v>
      </c>
      <c r="O52" s="180"/>
      <c r="P52" s="180"/>
      <c r="Q52" s="182"/>
      <c r="R52" s="233"/>
      <c r="S52" s="178">
        <f t="shared" si="2"/>
        <v>9627</v>
      </c>
      <c r="T52" s="195">
        <f t="shared" si="3"/>
        <v>8685</v>
      </c>
      <c r="U52" s="179">
        <v>5934</v>
      </c>
      <c r="V52" s="180">
        <v>5487</v>
      </c>
      <c r="W52" s="179">
        <v>3075</v>
      </c>
      <c r="X52" s="180">
        <v>2293</v>
      </c>
      <c r="Y52" s="179">
        <v>618</v>
      </c>
      <c r="Z52" s="179"/>
      <c r="AA52" s="179"/>
      <c r="AB52" s="180">
        <v>905</v>
      </c>
      <c r="AC52" s="180"/>
      <c r="AD52" s="180"/>
      <c r="AE52" s="182" t="s">
        <v>318</v>
      </c>
      <c r="AF52" s="257" t="s">
        <v>318</v>
      </c>
    </row>
    <row r="53" spans="1:32" s="223" customFormat="1" ht="15" customHeight="1">
      <c r="A53" s="152" t="s">
        <v>317</v>
      </c>
      <c r="B53" s="152" t="s">
        <v>323</v>
      </c>
      <c r="C53" s="22">
        <v>107071</v>
      </c>
      <c r="D53" s="205">
        <v>5</v>
      </c>
      <c r="E53" s="178">
        <f t="shared" si="0"/>
        <v>91818</v>
      </c>
      <c r="F53" s="195">
        <f t="shared" si="1"/>
        <v>89569</v>
      </c>
      <c r="G53" s="179">
        <v>91585</v>
      </c>
      <c r="H53" s="180">
        <v>88965</v>
      </c>
      <c r="I53" s="179">
        <v>141</v>
      </c>
      <c r="J53" s="180">
        <v>135</v>
      </c>
      <c r="K53" s="179">
        <v>89</v>
      </c>
      <c r="L53" s="179">
        <v>3</v>
      </c>
      <c r="M53" s="179"/>
      <c r="N53" s="180">
        <v>328</v>
      </c>
      <c r="O53" s="180"/>
      <c r="P53" s="180">
        <v>141</v>
      </c>
      <c r="Q53" s="182"/>
      <c r="R53" s="233"/>
      <c r="S53" s="178">
        <f t="shared" si="2"/>
        <v>6947</v>
      </c>
      <c r="T53" s="195">
        <f t="shared" si="3"/>
        <v>8563</v>
      </c>
      <c r="U53" s="179">
        <v>6641</v>
      </c>
      <c r="V53" s="180">
        <v>7693</v>
      </c>
      <c r="W53" s="179">
        <v>138</v>
      </c>
      <c r="X53" s="180">
        <v>822</v>
      </c>
      <c r="Y53" s="179">
        <v>36</v>
      </c>
      <c r="Z53" s="179">
        <v>132</v>
      </c>
      <c r="AA53" s="179"/>
      <c r="AB53" s="180"/>
      <c r="AC53" s="180"/>
      <c r="AD53" s="180">
        <v>48</v>
      </c>
      <c r="AE53" s="182" t="s">
        <v>318</v>
      </c>
      <c r="AF53" s="257" t="s">
        <v>318</v>
      </c>
    </row>
    <row r="54" spans="1:32" s="223" customFormat="1" ht="15" customHeight="1">
      <c r="A54" s="152" t="s">
        <v>317</v>
      </c>
      <c r="B54" s="152" t="s">
        <v>324</v>
      </c>
      <c r="C54" s="22">
        <v>107983</v>
      </c>
      <c r="D54" s="205">
        <v>5</v>
      </c>
      <c r="E54" s="178">
        <f t="shared" si="0"/>
        <v>82142</v>
      </c>
      <c r="F54" s="195">
        <f t="shared" si="1"/>
        <v>79260</v>
      </c>
      <c r="G54" s="179">
        <v>81661</v>
      </c>
      <c r="H54" s="180">
        <v>77688</v>
      </c>
      <c r="I54" s="179">
        <v>337</v>
      </c>
      <c r="J54" s="180">
        <v>651</v>
      </c>
      <c r="K54" s="179">
        <v>0</v>
      </c>
      <c r="L54" s="179">
        <v>144</v>
      </c>
      <c r="M54" s="179"/>
      <c r="N54" s="180"/>
      <c r="O54" s="180">
        <v>921</v>
      </c>
      <c r="P54" s="180"/>
      <c r="Q54" s="182"/>
      <c r="R54" s="233"/>
      <c r="S54" s="178">
        <f t="shared" si="2"/>
        <v>2769</v>
      </c>
      <c r="T54" s="195">
        <f t="shared" si="3"/>
        <v>3248</v>
      </c>
      <c r="U54" s="179">
        <v>2475</v>
      </c>
      <c r="V54" s="180">
        <v>2885</v>
      </c>
      <c r="W54" s="179">
        <v>192</v>
      </c>
      <c r="X54" s="180">
        <v>198</v>
      </c>
      <c r="Y54" s="179"/>
      <c r="Z54" s="179">
        <v>102</v>
      </c>
      <c r="AA54" s="179"/>
      <c r="AB54" s="180"/>
      <c r="AC54" s="180">
        <v>165</v>
      </c>
      <c r="AD54" s="180"/>
      <c r="AE54" s="182" t="s">
        <v>318</v>
      </c>
      <c r="AF54" s="257" t="s">
        <v>318</v>
      </c>
    </row>
    <row r="55" spans="1:32" s="223" customFormat="1" ht="15" customHeight="1">
      <c r="A55" s="152" t="s">
        <v>317</v>
      </c>
      <c r="B55" s="152" t="s">
        <v>325</v>
      </c>
      <c r="C55" s="22">
        <v>106485</v>
      </c>
      <c r="D55" s="205">
        <v>6</v>
      </c>
      <c r="E55" s="178">
        <f t="shared" si="0"/>
        <v>69779</v>
      </c>
      <c r="F55" s="195">
        <f t="shared" si="1"/>
        <v>75369</v>
      </c>
      <c r="G55" s="179">
        <v>62721</v>
      </c>
      <c r="H55" s="180">
        <v>61467</v>
      </c>
      <c r="I55" s="179">
        <v>3520</v>
      </c>
      <c r="J55" s="180">
        <v>8207</v>
      </c>
      <c r="K55" s="179">
        <v>1765</v>
      </c>
      <c r="L55" s="179">
        <v>1773</v>
      </c>
      <c r="M55" s="179"/>
      <c r="N55" s="180">
        <v>2920</v>
      </c>
      <c r="O55" s="180">
        <v>2775</v>
      </c>
      <c r="P55" s="180"/>
      <c r="Q55" s="182"/>
      <c r="R55" s="233"/>
      <c r="S55" s="178">
        <f t="shared" si="2"/>
        <v>3125</v>
      </c>
      <c r="T55" s="195">
        <f t="shared" si="3"/>
        <v>4137</v>
      </c>
      <c r="U55" s="179">
        <v>1763</v>
      </c>
      <c r="V55" s="180">
        <v>1593</v>
      </c>
      <c r="W55" s="179">
        <v>90</v>
      </c>
      <c r="X55" s="180">
        <v>183</v>
      </c>
      <c r="Y55" s="179">
        <v>1272</v>
      </c>
      <c r="Z55" s="179"/>
      <c r="AA55" s="179"/>
      <c r="AB55" s="180">
        <v>2361</v>
      </c>
      <c r="AC55" s="180"/>
      <c r="AD55" s="180"/>
      <c r="AE55" s="182" t="s">
        <v>318</v>
      </c>
      <c r="AF55" s="257" t="s">
        <v>318</v>
      </c>
    </row>
    <row r="56" spans="1:32" s="223" customFormat="1" ht="15" customHeight="1">
      <c r="A56" s="152" t="s">
        <v>317</v>
      </c>
      <c r="B56" s="152" t="s">
        <v>326</v>
      </c>
      <c r="C56" s="22">
        <v>106412</v>
      </c>
      <c r="D56" s="205">
        <v>6</v>
      </c>
      <c r="E56" s="178">
        <f t="shared" si="0"/>
        <v>90671</v>
      </c>
      <c r="F56" s="195">
        <f t="shared" si="1"/>
        <v>91889</v>
      </c>
      <c r="G56" s="179">
        <v>88473</v>
      </c>
      <c r="H56" s="180">
        <v>89912</v>
      </c>
      <c r="I56" s="179">
        <v>1703</v>
      </c>
      <c r="J56" s="180">
        <v>1203</v>
      </c>
      <c r="K56" s="179">
        <v>0</v>
      </c>
      <c r="L56" s="179">
        <v>495</v>
      </c>
      <c r="M56" s="179"/>
      <c r="N56" s="180"/>
      <c r="O56" s="180">
        <v>774</v>
      </c>
      <c r="P56" s="180"/>
      <c r="Q56" s="182"/>
      <c r="R56" s="233"/>
      <c r="S56" s="178">
        <f t="shared" si="2"/>
        <v>1704</v>
      </c>
      <c r="T56" s="195">
        <f t="shared" si="3"/>
        <v>1751</v>
      </c>
      <c r="U56" s="179">
        <v>1704</v>
      </c>
      <c r="V56" s="180">
        <v>1718</v>
      </c>
      <c r="W56" s="179"/>
      <c r="X56" s="180">
        <v>33</v>
      </c>
      <c r="Y56" s="179"/>
      <c r="Z56" s="179"/>
      <c r="AA56" s="179"/>
      <c r="AB56" s="180"/>
      <c r="AC56" s="180"/>
      <c r="AD56" s="180"/>
      <c r="AE56" s="182" t="s">
        <v>318</v>
      </c>
      <c r="AF56" s="257" t="s">
        <v>318</v>
      </c>
    </row>
    <row r="57" spans="1:32" s="223" customFormat="1" ht="15" customHeight="1">
      <c r="A57" s="152" t="s">
        <v>317</v>
      </c>
      <c r="B57" s="152" t="s">
        <v>330</v>
      </c>
      <c r="C57" s="22">
        <v>108092</v>
      </c>
      <c r="D57" s="205">
        <v>7</v>
      </c>
      <c r="E57" s="178">
        <f t="shared" si="0"/>
        <v>137246</v>
      </c>
      <c r="F57" s="195">
        <f t="shared" si="1"/>
        <v>144838</v>
      </c>
      <c r="G57" s="179">
        <v>125886</v>
      </c>
      <c r="H57" s="180">
        <v>132340</v>
      </c>
      <c r="I57" s="179">
        <v>2188</v>
      </c>
      <c r="J57" s="180">
        <v>1561</v>
      </c>
      <c r="K57" s="179">
        <v>9097</v>
      </c>
      <c r="L57" s="179">
        <v>75</v>
      </c>
      <c r="M57" s="179"/>
      <c r="N57" s="180">
        <v>10907</v>
      </c>
      <c r="O57" s="180">
        <v>30</v>
      </c>
      <c r="P57" s="180"/>
      <c r="Q57" s="182"/>
      <c r="R57" s="233"/>
      <c r="S57" s="178">
        <f t="shared" si="2"/>
        <v>0</v>
      </c>
      <c r="T57" s="195">
        <f t="shared" si="3"/>
        <v>0</v>
      </c>
      <c r="U57" s="179"/>
      <c r="V57" s="180"/>
      <c r="W57" s="179"/>
      <c r="X57" s="180"/>
      <c r="Y57" s="179"/>
      <c r="Z57" s="179"/>
      <c r="AA57" s="179"/>
      <c r="AB57" s="180"/>
      <c r="AC57" s="180"/>
      <c r="AD57" s="180"/>
      <c r="AE57" s="182"/>
      <c r="AF57" s="258"/>
    </row>
    <row r="58" spans="1:32" s="223" customFormat="1" ht="15" customHeight="1">
      <c r="A58" s="152" t="s">
        <v>317</v>
      </c>
      <c r="B58" s="152" t="s">
        <v>327</v>
      </c>
      <c r="C58" s="22">
        <v>106449</v>
      </c>
      <c r="D58" s="205">
        <v>9</v>
      </c>
      <c r="E58" s="178">
        <f t="shared" si="0"/>
        <v>76452</v>
      </c>
      <c r="F58" s="195">
        <f t="shared" si="1"/>
        <v>72878</v>
      </c>
      <c r="G58" s="179">
        <v>52299</v>
      </c>
      <c r="H58" s="180">
        <v>49807</v>
      </c>
      <c r="I58" s="179">
        <v>18076</v>
      </c>
      <c r="J58" s="180">
        <v>22738</v>
      </c>
      <c r="K58" s="179">
        <v>5786</v>
      </c>
      <c r="L58" s="179">
        <v>273</v>
      </c>
      <c r="M58" s="179">
        <v>18</v>
      </c>
      <c r="N58" s="180"/>
      <c r="O58" s="180">
        <v>327</v>
      </c>
      <c r="P58" s="180">
        <v>6</v>
      </c>
      <c r="Q58" s="182"/>
      <c r="R58" s="233"/>
      <c r="S58" s="178">
        <f t="shared" si="2"/>
        <v>0</v>
      </c>
      <c r="T58" s="195">
        <f t="shared" si="3"/>
        <v>0</v>
      </c>
      <c r="U58" s="179"/>
      <c r="V58" s="180"/>
      <c r="W58" s="179"/>
      <c r="X58" s="180"/>
      <c r="Y58" s="179"/>
      <c r="Z58" s="179"/>
      <c r="AA58" s="179"/>
      <c r="AB58" s="180"/>
      <c r="AC58" s="180"/>
      <c r="AD58" s="180"/>
      <c r="AE58" s="182"/>
      <c r="AF58" s="258"/>
    </row>
    <row r="59" spans="1:32" s="223" customFormat="1" ht="15" customHeight="1">
      <c r="A59" s="152" t="s">
        <v>317</v>
      </c>
      <c r="B59" s="152" t="s">
        <v>328</v>
      </c>
      <c r="C59" s="22">
        <v>367459</v>
      </c>
      <c r="D59" s="205">
        <v>9</v>
      </c>
      <c r="E59" s="178">
        <f t="shared" si="0"/>
        <v>85421</v>
      </c>
      <c r="F59" s="195">
        <f t="shared" si="1"/>
        <v>91302</v>
      </c>
      <c r="G59" s="179">
        <v>79520</v>
      </c>
      <c r="H59" s="180">
        <v>79546</v>
      </c>
      <c r="I59" s="179">
        <v>3400</v>
      </c>
      <c r="J59" s="180">
        <v>7249</v>
      </c>
      <c r="K59" s="179">
        <v>0</v>
      </c>
      <c r="L59" s="179">
        <v>36</v>
      </c>
      <c r="M59" s="179">
        <v>2465</v>
      </c>
      <c r="N59" s="180">
        <v>3965</v>
      </c>
      <c r="O59" s="180">
        <v>27</v>
      </c>
      <c r="P59" s="180">
        <v>515</v>
      </c>
      <c r="Q59" s="182"/>
      <c r="R59" s="233"/>
      <c r="S59" s="178">
        <f t="shared" si="2"/>
        <v>0</v>
      </c>
      <c r="T59" s="195">
        <f t="shared" si="3"/>
        <v>0</v>
      </c>
      <c r="U59" s="179"/>
      <c r="V59" s="180"/>
      <c r="W59" s="179"/>
      <c r="X59" s="180"/>
      <c r="Y59" s="179"/>
      <c r="Z59" s="179"/>
      <c r="AA59" s="179"/>
      <c r="AB59" s="180"/>
      <c r="AC59" s="180"/>
      <c r="AD59" s="180"/>
      <c r="AE59" s="182"/>
      <c r="AF59" s="258"/>
    </row>
    <row r="60" spans="1:32" s="223" customFormat="1" ht="15" customHeight="1">
      <c r="A60" s="152" t="s">
        <v>317</v>
      </c>
      <c r="B60" s="152" t="s">
        <v>329</v>
      </c>
      <c r="C60" s="22">
        <v>107664</v>
      </c>
      <c r="D60" s="205">
        <v>9</v>
      </c>
      <c r="E60" s="178">
        <f t="shared" si="0"/>
        <v>129673</v>
      </c>
      <c r="F60" s="195">
        <f t="shared" si="1"/>
        <v>138099</v>
      </c>
      <c r="G60" s="179">
        <v>122409</v>
      </c>
      <c r="H60" s="180">
        <v>137979</v>
      </c>
      <c r="I60" s="179">
        <v>0</v>
      </c>
      <c r="J60" s="180"/>
      <c r="K60" s="179">
        <v>7264</v>
      </c>
      <c r="L60" s="179">
        <v>0</v>
      </c>
      <c r="M60" s="179"/>
      <c r="N60" s="180"/>
      <c r="O60" s="180">
        <v>120</v>
      </c>
      <c r="P60" s="180"/>
      <c r="Q60" s="182"/>
      <c r="R60" s="233"/>
      <c r="S60" s="178">
        <f t="shared" si="2"/>
        <v>0</v>
      </c>
      <c r="T60" s="195">
        <f t="shared" si="3"/>
        <v>0</v>
      </c>
      <c r="U60" s="179"/>
      <c r="V60" s="180"/>
      <c r="W60" s="179"/>
      <c r="X60" s="180"/>
      <c r="Y60" s="179"/>
      <c r="Z60" s="179"/>
      <c r="AA60" s="179"/>
      <c r="AB60" s="180"/>
      <c r="AC60" s="180"/>
      <c r="AD60" s="180"/>
      <c r="AE60" s="182"/>
      <c r="AF60" s="258"/>
    </row>
    <row r="61" spans="1:32" s="223" customFormat="1" ht="15" customHeight="1">
      <c r="A61" s="152" t="s">
        <v>317</v>
      </c>
      <c r="B61" s="152" t="s">
        <v>331</v>
      </c>
      <c r="C61" s="22">
        <v>107327</v>
      </c>
      <c r="D61" s="205">
        <v>10</v>
      </c>
      <c r="E61" s="178">
        <f t="shared" si="0"/>
        <v>47972</v>
      </c>
      <c r="F61" s="195">
        <f t="shared" si="1"/>
        <v>46085</v>
      </c>
      <c r="G61" s="179">
        <v>45225</v>
      </c>
      <c r="H61" s="180">
        <v>42858</v>
      </c>
      <c r="I61" s="179">
        <v>755</v>
      </c>
      <c r="J61" s="180">
        <v>2688</v>
      </c>
      <c r="K61" s="179">
        <v>912</v>
      </c>
      <c r="L61" s="179">
        <v>1080</v>
      </c>
      <c r="M61" s="179"/>
      <c r="N61" s="180"/>
      <c r="O61" s="180">
        <v>539</v>
      </c>
      <c r="P61" s="180"/>
      <c r="Q61" s="182"/>
      <c r="R61" s="233"/>
      <c r="S61" s="178">
        <f t="shared" si="2"/>
        <v>0</v>
      </c>
      <c r="T61" s="195">
        <f t="shared" si="3"/>
        <v>0</v>
      </c>
      <c r="U61" s="179"/>
      <c r="V61" s="180"/>
      <c r="W61" s="179"/>
      <c r="X61" s="180"/>
      <c r="Y61" s="179"/>
      <c r="Z61" s="179"/>
      <c r="AA61" s="179"/>
      <c r="AB61" s="180"/>
      <c r="AC61" s="180"/>
      <c r="AD61" s="180"/>
      <c r="AE61" s="182"/>
      <c r="AF61" s="258"/>
    </row>
    <row r="62" spans="1:32" s="223" customFormat="1" ht="15" customHeight="1">
      <c r="A62" s="152" t="s">
        <v>317</v>
      </c>
      <c r="B62" s="152" t="s">
        <v>332</v>
      </c>
      <c r="C62" s="22">
        <v>420538</v>
      </c>
      <c r="D62" s="205">
        <v>10</v>
      </c>
      <c r="E62" s="178">
        <f t="shared" si="0"/>
        <v>26809</v>
      </c>
      <c r="F62" s="195">
        <f t="shared" si="1"/>
        <v>27250</v>
      </c>
      <c r="G62" s="179">
        <v>24856</v>
      </c>
      <c r="H62" s="180">
        <v>24751</v>
      </c>
      <c r="I62" s="179">
        <v>904</v>
      </c>
      <c r="J62" s="180">
        <v>1293</v>
      </c>
      <c r="K62" s="179">
        <v>1009</v>
      </c>
      <c r="L62" s="179">
        <v>40</v>
      </c>
      <c r="M62" s="179"/>
      <c r="N62" s="180">
        <v>1206</v>
      </c>
      <c r="O62" s="180"/>
      <c r="P62" s="180"/>
      <c r="Q62" s="182"/>
      <c r="R62" s="233"/>
      <c r="S62" s="178">
        <f t="shared" si="2"/>
        <v>0</v>
      </c>
      <c r="T62" s="195">
        <f t="shared" si="3"/>
        <v>0</v>
      </c>
      <c r="U62" s="179"/>
      <c r="V62" s="180"/>
      <c r="W62" s="179"/>
      <c r="X62" s="180"/>
      <c r="Y62" s="179"/>
      <c r="Z62" s="179"/>
      <c r="AA62" s="179"/>
      <c r="AB62" s="180"/>
      <c r="AC62" s="180"/>
      <c r="AD62" s="180"/>
      <c r="AE62" s="182"/>
      <c r="AF62" s="258"/>
    </row>
    <row r="63" spans="1:32" s="223" customFormat="1" ht="15" customHeight="1">
      <c r="A63" s="152" t="s">
        <v>317</v>
      </c>
      <c r="B63" s="152" t="s">
        <v>333</v>
      </c>
      <c r="C63" s="22">
        <v>440402</v>
      </c>
      <c r="D63" s="205">
        <v>10</v>
      </c>
      <c r="E63" s="178">
        <f t="shared" si="0"/>
        <v>22868</v>
      </c>
      <c r="F63" s="195">
        <f t="shared" si="1"/>
        <v>23602</v>
      </c>
      <c r="G63" s="179">
        <v>19163</v>
      </c>
      <c r="H63" s="180">
        <v>17889</v>
      </c>
      <c r="I63" s="179">
        <v>1788</v>
      </c>
      <c r="J63" s="180">
        <v>2782</v>
      </c>
      <c r="K63" s="179">
        <v>1890</v>
      </c>
      <c r="L63" s="179">
        <v>27</v>
      </c>
      <c r="M63" s="179"/>
      <c r="N63" s="180">
        <v>2931</v>
      </c>
      <c r="O63" s="180"/>
      <c r="P63" s="180"/>
      <c r="Q63" s="182"/>
      <c r="R63" s="233"/>
      <c r="S63" s="178">
        <f t="shared" si="2"/>
        <v>0</v>
      </c>
      <c r="T63" s="195">
        <f t="shared" si="3"/>
        <v>0</v>
      </c>
      <c r="U63" s="179"/>
      <c r="V63" s="180"/>
      <c r="W63" s="179"/>
      <c r="X63" s="180"/>
      <c r="Y63" s="179"/>
      <c r="Z63" s="179"/>
      <c r="AA63" s="179"/>
      <c r="AB63" s="180"/>
      <c r="AC63" s="180"/>
      <c r="AD63" s="180"/>
      <c r="AE63" s="182"/>
      <c r="AF63" s="258"/>
    </row>
    <row r="64" spans="1:32" s="223" customFormat="1" ht="15" customHeight="1">
      <c r="A64" s="152" t="s">
        <v>317</v>
      </c>
      <c r="B64" s="152" t="s">
        <v>334</v>
      </c>
      <c r="C64" s="22">
        <v>106625</v>
      </c>
      <c r="D64" s="205">
        <v>10</v>
      </c>
      <c r="E64" s="178">
        <f t="shared" si="0"/>
        <v>43794</v>
      </c>
      <c r="F64" s="195">
        <f t="shared" si="1"/>
        <v>42913</v>
      </c>
      <c r="G64" s="179">
        <v>35269</v>
      </c>
      <c r="H64" s="180">
        <v>31551</v>
      </c>
      <c r="I64" s="179">
        <v>5822</v>
      </c>
      <c r="J64" s="180">
        <v>6681</v>
      </c>
      <c r="K64" s="179">
        <v>2310</v>
      </c>
      <c r="L64" s="179">
        <v>0</v>
      </c>
      <c r="M64" s="179">
        <v>393</v>
      </c>
      <c r="N64" s="180">
        <v>4262</v>
      </c>
      <c r="O64" s="180"/>
      <c r="P64" s="180">
        <v>419</v>
      </c>
      <c r="Q64" s="182"/>
      <c r="R64" s="233"/>
      <c r="S64" s="178">
        <f t="shared" si="2"/>
        <v>0</v>
      </c>
      <c r="T64" s="195">
        <f t="shared" si="3"/>
        <v>0</v>
      </c>
      <c r="U64" s="179"/>
      <c r="V64" s="180"/>
      <c r="W64" s="179"/>
      <c r="X64" s="180"/>
      <c r="Y64" s="179"/>
      <c r="Z64" s="179"/>
      <c r="AA64" s="179"/>
      <c r="AB64" s="180"/>
      <c r="AC64" s="180"/>
      <c r="AD64" s="180"/>
      <c r="AE64" s="182"/>
      <c r="AF64" s="258"/>
    </row>
    <row r="65" spans="1:32" s="223" customFormat="1" ht="15" customHeight="1">
      <c r="A65" s="152" t="s">
        <v>317</v>
      </c>
      <c r="B65" s="152" t="s">
        <v>335</v>
      </c>
      <c r="C65" s="22">
        <v>106795</v>
      </c>
      <c r="D65" s="205">
        <v>10</v>
      </c>
      <c r="E65" s="178">
        <f t="shared" si="0"/>
        <v>21741</v>
      </c>
      <c r="F65" s="195">
        <f t="shared" si="1"/>
        <v>21887</v>
      </c>
      <c r="G65" s="179">
        <v>8035</v>
      </c>
      <c r="H65" s="180">
        <v>7525</v>
      </c>
      <c r="I65" s="179">
        <v>5164</v>
      </c>
      <c r="J65" s="180">
        <v>4441</v>
      </c>
      <c r="K65" s="179">
        <v>7181</v>
      </c>
      <c r="L65" s="179">
        <v>1361</v>
      </c>
      <c r="M65" s="179"/>
      <c r="N65" s="180">
        <v>8802</v>
      </c>
      <c r="O65" s="180">
        <v>1119</v>
      </c>
      <c r="P65" s="180"/>
      <c r="Q65" s="182"/>
      <c r="R65" s="233"/>
      <c r="S65" s="178">
        <f t="shared" si="2"/>
        <v>0</v>
      </c>
      <c r="T65" s="195">
        <f t="shared" si="3"/>
        <v>0</v>
      </c>
      <c r="U65" s="179"/>
      <c r="V65" s="180"/>
      <c r="W65" s="179"/>
      <c r="X65" s="180"/>
      <c r="Y65" s="179"/>
      <c r="Z65" s="179"/>
      <c r="AA65" s="179"/>
      <c r="AB65" s="180"/>
      <c r="AC65" s="180"/>
      <c r="AD65" s="180"/>
      <c r="AE65" s="182"/>
      <c r="AF65" s="258"/>
    </row>
    <row r="66" spans="1:32" s="223" customFormat="1" ht="15" customHeight="1">
      <c r="A66" s="152" t="s">
        <v>317</v>
      </c>
      <c r="B66" s="152" t="s">
        <v>336</v>
      </c>
      <c r="C66" s="22">
        <v>106883</v>
      </c>
      <c r="D66" s="205">
        <v>10</v>
      </c>
      <c r="E66" s="178">
        <f t="shared" si="0"/>
        <v>31856</v>
      </c>
      <c r="F66" s="195">
        <f t="shared" si="1"/>
        <v>32534</v>
      </c>
      <c r="G66" s="179">
        <v>27899</v>
      </c>
      <c r="H66" s="180">
        <v>27897</v>
      </c>
      <c r="I66" s="179">
        <v>3108</v>
      </c>
      <c r="J66" s="180">
        <v>3308</v>
      </c>
      <c r="K66" s="179">
        <v>849</v>
      </c>
      <c r="L66" s="179">
        <v>0</v>
      </c>
      <c r="M66" s="179"/>
      <c r="N66" s="180">
        <v>1245</v>
      </c>
      <c r="O66" s="180">
        <v>27</v>
      </c>
      <c r="P66" s="180">
        <v>57</v>
      </c>
      <c r="Q66" s="182"/>
      <c r="R66" s="233"/>
      <c r="S66" s="178">
        <f t="shared" si="2"/>
        <v>0</v>
      </c>
      <c r="T66" s="195">
        <f t="shared" si="3"/>
        <v>0</v>
      </c>
      <c r="U66" s="179"/>
      <c r="V66" s="180"/>
      <c r="W66" s="179"/>
      <c r="X66" s="180"/>
      <c r="Y66" s="179"/>
      <c r="Z66" s="179"/>
      <c r="AA66" s="179"/>
      <c r="AB66" s="180"/>
      <c r="AC66" s="180"/>
      <c r="AD66" s="180"/>
      <c r="AE66" s="182"/>
      <c r="AF66" s="258"/>
    </row>
    <row r="67" spans="1:32" s="223" customFormat="1" ht="15" customHeight="1">
      <c r="A67" s="152" t="s">
        <v>317</v>
      </c>
      <c r="B67" s="152" t="s">
        <v>337</v>
      </c>
      <c r="C67" s="22">
        <v>107318</v>
      </c>
      <c r="D67" s="205">
        <v>10</v>
      </c>
      <c r="E67" s="178">
        <f t="shared" si="0"/>
        <v>20994</v>
      </c>
      <c r="F67" s="195">
        <f t="shared" si="1"/>
        <v>22643</v>
      </c>
      <c r="G67" s="179">
        <v>19765</v>
      </c>
      <c r="H67" s="180">
        <v>21232</v>
      </c>
      <c r="I67" s="179">
        <v>351</v>
      </c>
      <c r="J67" s="180">
        <v>424</v>
      </c>
      <c r="K67" s="179">
        <v>737</v>
      </c>
      <c r="L67" s="179">
        <v>0</v>
      </c>
      <c r="M67" s="179">
        <v>141</v>
      </c>
      <c r="N67" s="180">
        <v>987</v>
      </c>
      <c r="O67" s="180"/>
      <c r="P67" s="180"/>
      <c r="Q67" s="182"/>
      <c r="R67" s="233"/>
      <c r="S67" s="178">
        <f t="shared" si="2"/>
        <v>0</v>
      </c>
      <c r="T67" s="195">
        <f t="shared" si="3"/>
        <v>0</v>
      </c>
      <c r="U67" s="179"/>
      <c r="V67" s="180"/>
      <c r="W67" s="179"/>
      <c r="X67" s="180"/>
      <c r="Y67" s="179"/>
      <c r="Z67" s="179"/>
      <c r="AA67" s="179"/>
      <c r="AB67" s="180"/>
      <c r="AC67" s="180"/>
      <c r="AD67" s="180"/>
      <c r="AE67" s="182"/>
      <c r="AF67" s="258"/>
    </row>
    <row r="68" spans="1:32" s="223" customFormat="1" ht="15" customHeight="1">
      <c r="A68" s="152" t="s">
        <v>317</v>
      </c>
      <c r="B68" s="152" t="s">
        <v>338</v>
      </c>
      <c r="C68" s="22">
        <v>106980</v>
      </c>
      <c r="D68" s="205">
        <v>10</v>
      </c>
      <c r="E68" s="178">
        <f t="shared" si="0"/>
        <v>56458</v>
      </c>
      <c r="F68" s="195">
        <f t="shared" si="1"/>
        <v>58395</v>
      </c>
      <c r="G68" s="179">
        <v>50342</v>
      </c>
      <c r="H68" s="180">
        <v>53975</v>
      </c>
      <c r="I68" s="179">
        <v>5069</v>
      </c>
      <c r="J68" s="180">
        <v>3650</v>
      </c>
      <c r="K68" s="179">
        <v>0</v>
      </c>
      <c r="L68" s="179">
        <v>0</v>
      </c>
      <c r="M68" s="179">
        <v>1047</v>
      </c>
      <c r="N68" s="180"/>
      <c r="O68" s="180"/>
      <c r="P68" s="180">
        <v>770</v>
      </c>
      <c r="Q68" s="182"/>
      <c r="R68" s="233"/>
      <c r="S68" s="178">
        <f t="shared" si="2"/>
        <v>0</v>
      </c>
      <c r="T68" s="195">
        <f t="shared" si="3"/>
        <v>0</v>
      </c>
      <c r="U68" s="179"/>
      <c r="V68" s="180"/>
      <c r="W68" s="179"/>
      <c r="X68" s="180"/>
      <c r="Y68" s="179"/>
      <c r="Z68" s="179"/>
      <c r="AA68" s="179"/>
      <c r="AB68" s="180"/>
      <c r="AC68" s="180"/>
      <c r="AD68" s="180"/>
      <c r="AE68" s="182"/>
      <c r="AF68" s="258"/>
    </row>
    <row r="69" spans="1:32" s="223" customFormat="1" ht="15" customHeight="1">
      <c r="A69" s="152" t="s">
        <v>317</v>
      </c>
      <c r="B69" s="152" t="s">
        <v>339</v>
      </c>
      <c r="C69" s="22">
        <v>107460</v>
      </c>
      <c r="D69" s="205">
        <v>10</v>
      </c>
      <c r="E69" s="178">
        <f t="shared" si="0"/>
        <v>47864</v>
      </c>
      <c r="F69" s="195">
        <f t="shared" si="1"/>
        <v>49540</v>
      </c>
      <c r="G69" s="179">
        <v>44585</v>
      </c>
      <c r="H69" s="180">
        <v>43617</v>
      </c>
      <c r="I69" s="179">
        <v>1281</v>
      </c>
      <c r="J69" s="180">
        <v>2379</v>
      </c>
      <c r="K69" s="179">
        <v>0</v>
      </c>
      <c r="L69" s="179">
        <v>1998</v>
      </c>
      <c r="M69" s="179"/>
      <c r="N69" s="180">
        <v>2320</v>
      </c>
      <c r="O69" s="180">
        <v>1224</v>
      </c>
      <c r="P69" s="180"/>
      <c r="Q69" s="182"/>
      <c r="R69" s="233"/>
      <c r="S69" s="178">
        <f t="shared" si="2"/>
        <v>0</v>
      </c>
      <c r="T69" s="195">
        <f t="shared" si="3"/>
        <v>0</v>
      </c>
      <c r="U69" s="179"/>
      <c r="V69" s="180"/>
      <c r="W69" s="179"/>
      <c r="X69" s="180"/>
      <c r="Y69" s="179"/>
      <c r="Z69" s="179"/>
      <c r="AA69" s="179"/>
      <c r="AB69" s="180"/>
      <c r="AC69" s="180"/>
      <c r="AD69" s="180"/>
      <c r="AE69" s="182"/>
      <c r="AF69" s="258"/>
    </row>
    <row r="70" spans="1:32" s="223" customFormat="1" ht="15" customHeight="1">
      <c r="A70" s="152" t="s">
        <v>317</v>
      </c>
      <c r="B70" s="152" t="s">
        <v>340</v>
      </c>
      <c r="C70" s="22">
        <v>107521</v>
      </c>
      <c r="D70" s="205">
        <v>10</v>
      </c>
      <c r="E70" s="178">
        <f t="shared" si="0"/>
        <v>23310</v>
      </c>
      <c r="F70" s="195">
        <f t="shared" si="1"/>
        <v>23606</v>
      </c>
      <c r="G70" s="179">
        <v>18401</v>
      </c>
      <c r="H70" s="180">
        <v>17960</v>
      </c>
      <c r="I70" s="179">
        <v>3146</v>
      </c>
      <c r="J70" s="180">
        <v>2497</v>
      </c>
      <c r="K70" s="179">
        <v>1763</v>
      </c>
      <c r="L70" s="179">
        <v>0</v>
      </c>
      <c r="M70" s="179"/>
      <c r="N70" s="180">
        <v>3143</v>
      </c>
      <c r="O70" s="180"/>
      <c r="P70" s="180">
        <v>6</v>
      </c>
      <c r="Q70" s="182"/>
      <c r="R70" s="233"/>
      <c r="S70" s="178">
        <f t="shared" si="2"/>
        <v>0</v>
      </c>
      <c r="T70" s="195">
        <f t="shared" si="3"/>
        <v>0</v>
      </c>
      <c r="U70" s="179"/>
      <c r="V70" s="180"/>
      <c r="W70" s="179"/>
      <c r="X70" s="180"/>
      <c r="Y70" s="179"/>
      <c r="Z70" s="179"/>
      <c r="AA70" s="179"/>
      <c r="AB70" s="180"/>
      <c r="AC70" s="180"/>
      <c r="AD70" s="180"/>
      <c r="AE70" s="182"/>
      <c r="AF70" s="258"/>
    </row>
    <row r="71" spans="1:32" s="223" customFormat="1" ht="15" customHeight="1">
      <c r="A71" s="152" t="s">
        <v>317</v>
      </c>
      <c r="B71" s="152" t="s">
        <v>341</v>
      </c>
      <c r="C71" s="22">
        <v>107549</v>
      </c>
      <c r="D71" s="205">
        <v>10</v>
      </c>
      <c r="E71" s="178">
        <f aca="true" t="shared" si="4" ref="E71:E134">SUM(G71,I71,K71,L71,M71,Q71)</f>
        <v>21007</v>
      </c>
      <c r="F71" s="195">
        <f aca="true" t="shared" si="5" ref="F71:F134">SUM(H71,J71,N71,O71,P71,R71)</f>
        <v>20260</v>
      </c>
      <c r="G71" s="179">
        <v>13902</v>
      </c>
      <c r="H71" s="180">
        <v>11525</v>
      </c>
      <c r="I71" s="179">
        <v>2270</v>
      </c>
      <c r="J71" s="180">
        <v>2150</v>
      </c>
      <c r="K71" s="179">
        <v>1047</v>
      </c>
      <c r="L71" s="179">
        <v>2633</v>
      </c>
      <c r="M71" s="179">
        <v>1155</v>
      </c>
      <c r="N71" s="180">
        <v>2268</v>
      </c>
      <c r="O71" s="180">
        <v>3420</v>
      </c>
      <c r="P71" s="180">
        <v>897</v>
      </c>
      <c r="Q71" s="182"/>
      <c r="R71" s="233"/>
      <c r="S71" s="178">
        <f aca="true" t="shared" si="6" ref="S71:S134">SUM(U71,W71,Y71,Z71,AA71,AE71)</f>
        <v>0</v>
      </c>
      <c r="T71" s="195">
        <f aca="true" t="shared" si="7" ref="T71:T134">SUM(V71,X71,AB71,AC71,AD71,AF71)</f>
        <v>0</v>
      </c>
      <c r="U71" s="179"/>
      <c r="V71" s="180"/>
      <c r="W71" s="179"/>
      <c r="X71" s="180"/>
      <c r="Y71" s="179"/>
      <c r="Z71" s="179"/>
      <c r="AA71" s="179"/>
      <c r="AB71" s="180"/>
      <c r="AC71" s="180"/>
      <c r="AD71" s="180"/>
      <c r="AE71" s="182"/>
      <c r="AF71" s="258"/>
    </row>
    <row r="72" spans="1:32" s="223" customFormat="1" ht="15" customHeight="1">
      <c r="A72" s="152" t="s">
        <v>317</v>
      </c>
      <c r="B72" s="152" t="s">
        <v>342</v>
      </c>
      <c r="C72" s="22">
        <v>107619</v>
      </c>
      <c r="D72" s="205">
        <v>10</v>
      </c>
      <c r="E72" s="178">
        <f t="shared" si="4"/>
        <v>46205</v>
      </c>
      <c r="F72" s="195">
        <f t="shared" si="5"/>
        <v>43709</v>
      </c>
      <c r="G72" s="179">
        <v>39781</v>
      </c>
      <c r="H72" s="180">
        <v>38363</v>
      </c>
      <c r="I72" s="179">
        <v>3687</v>
      </c>
      <c r="J72" s="180">
        <v>3776</v>
      </c>
      <c r="K72" s="179">
        <v>0</v>
      </c>
      <c r="L72" s="179">
        <v>1633</v>
      </c>
      <c r="M72" s="179">
        <v>1104</v>
      </c>
      <c r="N72" s="180"/>
      <c r="O72" s="180">
        <v>1570</v>
      </c>
      <c r="P72" s="180"/>
      <c r="Q72" s="182"/>
      <c r="R72" s="233"/>
      <c r="S72" s="178">
        <f t="shared" si="6"/>
        <v>0</v>
      </c>
      <c r="T72" s="195">
        <f t="shared" si="7"/>
        <v>0</v>
      </c>
      <c r="U72" s="179"/>
      <c r="V72" s="180"/>
      <c r="W72" s="179"/>
      <c r="X72" s="180"/>
      <c r="Y72" s="179"/>
      <c r="Z72" s="179"/>
      <c r="AA72" s="179"/>
      <c r="AB72" s="180"/>
      <c r="AC72" s="180"/>
      <c r="AD72" s="180"/>
      <c r="AE72" s="182"/>
      <c r="AF72" s="258"/>
    </row>
    <row r="73" spans="1:32" s="223" customFormat="1" ht="15" customHeight="1">
      <c r="A73" s="152" t="s">
        <v>317</v>
      </c>
      <c r="B73" s="152" t="s">
        <v>343</v>
      </c>
      <c r="C73" s="22">
        <v>107743</v>
      </c>
      <c r="D73" s="205">
        <v>10</v>
      </c>
      <c r="E73" s="178">
        <f t="shared" si="4"/>
        <v>20523</v>
      </c>
      <c r="F73" s="195">
        <f t="shared" si="5"/>
        <v>16771</v>
      </c>
      <c r="G73" s="179">
        <v>15930</v>
      </c>
      <c r="H73" s="180">
        <v>12689</v>
      </c>
      <c r="I73" s="179">
        <v>3395</v>
      </c>
      <c r="J73" s="180">
        <v>3290</v>
      </c>
      <c r="K73" s="179">
        <v>394</v>
      </c>
      <c r="L73" s="179">
        <v>0</v>
      </c>
      <c r="M73" s="179">
        <v>804</v>
      </c>
      <c r="N73" s="180"/>
      <c r="O73" s="180"/>
      <c r="P73" s="180">
        <v>792</v>
      </c>
      <c r="Q73" s="182"/>
      <c r="R73" s="233"/>
      <c r="S73" s="178">
        <f t="shared" si="6"/>
        <v>0</v>
      </c>
      <c r="T73" s="195">
        <f t="shared" si="7"/>
        <v>0</v>
      </c>
      <c r="U73" s="179"/>
      <c r="V73" s="180"/>
      <c r="W73" s="179"/>
      <c r="X73" s="180"/>
      <c r="Y73" s="179"/>
      <c r="Z73" s="179"/>
      <c r="AA73" s="179"/>
      <c r="AB73" s="180"/>
      <c r="AC73" s="180"/>
      <c r="AD73" s="180"/>
      <c r="AE73" s="182"/>
      <c r="AF73" s="258"/>
    </row>
    <row r="74" spans="1:32" s="223" customFormat="1" ht="15" customHeight="1">
      <c r="A74" s="152" t="s">
        <v>317</v>
      </c>
      <c r="B74" s="152" t="s">
        <v>344</v>
      </c>
      <c r="C74" s="22">
        <v>107974</v>
      </c>
      <c r="D74" s="205">
        <v>10</v>
      </c>
      <c r="E74" s="178">
        <f t="shared" si="4"/>
        <v>25764</v>
      </c>
      <c r="F74" s="195">
        <f t="shared" si="5"/>
        <v>29496</v>
      </c>
      <c r="G74" s="179">
        <v>25404</v>
      </c>
      <c r="H74" s="180">
        <v>27086</v>
      </c>
      <c r="I74" s="179">
        <v>0</v>
      </c>
      <c r="J74" s="180">
        <v>743</v>
      </c>
      <c r="K74" s="179">
        <v>330</v>
      </c>
      <c r="L74" s="179">
        <v>0</v>
      </c>
      <c r="M74" s="179">
        <v>30</v>
      </c>
      <c r="N74" s="180">
        <v>1640</v>
      </c>
      <c r="O74" s="180">
        <v>27</v>
      </c>
      <c r="P74" s="180"/>
      <c r="Q74" s="182"/>
      <c r="R74" s="233"/>
      <c r="S74" s="178">
        <f t="shared" si="6"/>
        <v>0</v>
      </c>
      <c r="T74" s="195">
        <f t="shared" si="7"/>
        <v>0</v>
      </c>
      <c r="U74" s="179"/>
      <c r="V74" s="180"/>
      <c r="W74" s="179"/>
      <c r="X74" s="180"/>
      <c r="Y74" s="179"/>
      <c r="Z74" s="179"/>
      <c r="AA74" s="179"/>
      <c r="AB74" s="180"/>
      <c r="AC74" s="180"/>
      <c r="AD74" s="180"/>
      <c r="AE74" s="182"/>
      <c r="AF74" s="258"/>
    </row>
    <row r="75" spans="1:32" s="223" customFormat="1" ht="15" customHeight="1">
      <c r="A75" s="152" t="s">
        <v>317</v>
      </c>
      <c r="B75" s="152" t="s">
        <v>345</v>
      </c>
      <c r="C75" s="22">
        <v>107637</v>
      </c>
      <c r="D75" s="205">
        <v>10</v>
      </c>
      <c r="E75" s="178">
        <f t="shared" si="4"/>
        <v>52137</v>
      </c>
      <c r="F75" s="195">
        <f t="shared" si="5"/>
        <v>52430</v>
      </c>
      <c r="G75" s="179">
        <v>43433</v>
      </c>
      <c r="H75" s="180">
        <v>43052</v>
      </c>
      <c r="I75" s="179">
        <v>3934</v>
      </c>
      <c r="J75" s="180">
        <v>5700</v>
      </c>
      <c r="K75" s="179">
        <v>0</v>
      </c>
      <c r="L75" s="179">
        <v>0</v>
      </c>
      <c r="M75" s="179">
        <v>4770</v>
      </c>
      <c r="N75" s="180">
        <v>2091</v>
      </c>
      <c r="O75" s="180">
        <v>3</v>
      </c>
      <c r="P75" s="180">
        <v>1584</v>
      </c>
      <c r="Q75" s="182"/>
      <c r="R75" s="233"/>
      <c r="S75" s="178">
        <f t="shared" si="6"/>
        <v>0</v>
      </c>
      <c r="T75" s="195">
        <f t="shared" si="7"/>
        <v>0</v>
      </c>
      <c r="U75" s="179"/>
      <c r="V75" s="180"/>
      <c r="W75" s="179"/>
      <c r="X75" s="180"/>
      <c r="Y75" s="179"/>
      <c r="Z75" s="179"/>
      <c r="AA75" s="179"/>
      <c r="AB75" s="180"/>
      <c r="AC75" s="180"/>
      <c r="AD75" s="180"/>
      <c r="AE75" s="182"/>
      <c r="AF75" s="258"/>
    </row>
    <row r="76" spans="1:32" s="223" customFormat="1" ht="15" customHeight="1">
      <c r="A76" s="152" t="s">
        <v>317</v>
      </c>
      <c r="B76" s="152" t="s">
        <v>346</v>
      </c>
      <c r="C76" s="22">
        <v>107992</v>
      </c>
      <c r="D76" s="205">
        <v>10</v>
      </c>
      <c r="E76" s="178">
        <f t="shared" si="4"/>
        <v>25018</v>
      </c>
      <c r="F76" s="195">
        <f t="shared" si="5"/>
        <v>30410</v>
      </c>
      <c r="G76" s="179">
        <v>15647</v>
      </c>
      <c r="H76" s="180">
        <v>13494</v>
      </c>
      <c r="I76" s="179">
        <v>3504</v>
      </c>
      <c r="J76" s="180">
        <v>9481</v>
      </c>
      <c r="K76" s="179">
        <v>0</v>
      </c>
      <c r="L76" s="179">
        <v>0</v>
      </c>
      <c r="M76" s="179">
        <v>5867</v>
      </c>
      <c r="N76" s="180"/>
      <c r="O76" s="180"/>
      <c r="P76" s="180">
        <v>7435</v>
      </c>
      <c r="Q76" s="182"/>
      <c r="R76" s="233"/>
      <c r="S76" s="178">
        <f t="shared" si="6"/>
        <v>0</v>
      </c>
      <c r="T76" s="195">
        <f t="shared" si="7"/>
        <v>0</v>
      </c>
      <c r="U76" s="179"/>
      <c r="V76" s="180"/>
      <c r="W76" s="179"/>
      <c r="X76" s="180"/>
      <c r="Y76" s="179"/>
      <c r="Z76" s="179"/>
      <c r="AA76" s="179"/>
      <c r="AB76" s="180"/>
      <c r="AC76" s="180"/>
      <c r="AD76" s="180"/>
      <c r="AE76" s="182"/>
      <c r="AF76" s="258"/>
    </row>
    <row r="77" spans="1:32" s="223" customFormat="1" ht="15" customHeight="1">
      <c r="A77" s="152" t="s">
        <v>317</v>
      </c>
      <c r="B77" s="152" t="s">
        <v>347</v>
      </c>
      <c r="C77" s="22">
        <v>106999</v>
      </c>
      <c r="D77" s="205">
        <v>10</v>
      </c>
      <c r="E77" s="178">
        <f t="shared" si="4"/>
        <v>29847</v>
      </c>
      <c r="F77" s="195">
        <f t="shared" si="5"/>
        <v>31197</v>
      </c>
      <c r="G77" s="179">
        <v>28446</v>
      </c>
      <c r="H77" s="180">
        <v>29581</v>
      </c>
      <c r="I77" s="179">
        <v>1401</v>
      </c>
      <c r="J77" s="180">
        <v>896</v>
      </c>
      <c r="K77" s="179">
        <v>0</v>
      </c>
      <c r="L77" s="179">
        <v>0</v>
      </c>
      <c r="M77" s="179"/>
      <c r="N77" s="180">
        <v>720</v>
      </c>
      <c r="O77" s="180"/>
      <c r="P77" s="180"/>
      <c r="Q77" s="182"/>
      <c r="R77" s="233"/>
      <c r="S77" s="178">
        <f t="shared" si="6"/>
        <v>0</v>
      </c>
      <c r="T77" s="195">
        <f t="shared" si="7"/>
        <v>0</v>
      </c>
      <c r="U77" s="179"/>
      <c r="V77" s="180"/>
      <c r="W77" s="179"/>
      <c r="X77" s="180"/>
      <c r="Y77" s="179"/>
      <c r="Z77" s="179"/>
      <c r="AA77" s="179"/>
      <c r="AB77" s="180"/>
      <c r="AC77" s="180"/>
      <c r="AD77" s="180"/>
      <c r="AE77" s="182"/>
      <c r="AF77" s="258"/>
    </row>
    <row r="78" spans="1:32" s="223" customFormat="1" ht="15" customHeight="1">
      <c r="A78" s="152" t="s">
        <v>317</v>
      </c>
      <c r="B78" s="152" t="s">
        <v>348</v>
      </c>
      <c r="C78" s="22">
        <v>107725</v>
      </c>
      <c r="D78" s="205">
        <v>10</v>
      </c>
      <c r="E78" s="178">
        <f t="shared" si="4"/>
        <v>26367</v>
      </c>
      <c r="F78" s="195">
        <f t="shared" si="5"/>
        <v>25817</v>
      </c>
      <c r="G78" s="179">
        <v>25111</v>
      </c>
      <c r="H78" s="180">
        <v>24227</v>
      </c>
      <c r="I78" s="179">
        <v>368</v>
      </c>
      <c r="J78" s="180">
        <v>180</v>
      </c>
      <c r="K78" s="179">
        <v>888</v>
      </c>
      <c r="L78" s="179">
        <v>0</v>
      </c>
      <c r="M78" s="179"/>
      <c r="N78" s="180">
        <v>1407</v>
      </c>
      <c r="O78" s="180">
        <v>3</v>
      </c>
      <c r="P78" s="180"/>
      <c r="Q78" s="182"/>
      <c r="R78" s="233"/>
      <c r="S78" s="178">
        <f t="shared" si="6"/>
        <v>0</v>
      </c>
      <c r="T78" s="195">
        <f t="shared" si="7"/>
        <v>0</v>
      </c>
      <c r="U78" s="179"/>
      <c r="V78" s="180"/>
      <c r="W78" s="179"/>
      <c r="X78" s="180"/>
      <c r="Y78" s="179"/>
      <c r="Z78" s="179"/>
      <c r="AA78" s="179"/>
      <c r="AB78" s="180"/>
      <c r="AC78" s="180"/>
      <c r="AD78" s="180"/>
      <c r="AE78" s="182"/>
      <c r="AF78" s="258"/>
    </row>
    <row r="79" spans="1:32" s="223" customFormat="1" ht="15" customHeight="1">
      <c r="A79" s="152" t="s">
        <v>317</v>
      </c>
      <c r="B79" s="152" t="s">
        <v>349</v>
      </c>
      <c r="C79" s="22">
        <v>107585</v>
      </c>
      <c r="D79" s="205">
        <v>10</v>
      </c>
      <c r="E79" s="178">
        <f t="shared" si="4"/>
        <v>35685</v>
      </c>
      <c r="F79" s="195">
        <f t="shared" si="5"/>
        <v>35762</v>
      </c>
      <c r="G79" s="179">
        <v>35607</v>
      </c>
      <c r="H79" s="180">
        <v>35243</v>
      </c>
      <c r="I79" s="179">
        <v>0</v>
      </c>
      <c r="J79" s="180">
        <v>57</v>
      </c>
      <c r="K79" s="179">
        <v>78</v>
      </c>
      <c r="L79" s="179">
        <v>0</v>
      </c>
      <c r="M79" s="179"/>
      <c r="N79" s="180">
        <v>462</v>
      </c>
      <c r="O79" s="180"/>
      <c r="P79" s="180"/>
      <c r="Q79" s="182"/>
      <c r="R79" s="233"/>
      <c r="S79" s="178">
        <f t="shared" si="6"/>
        <v>0</v>
      </c>
      <c r="T79" s="195">
        <f t="shared" si="7"/>
        <v>0</v>
      </c>
      <c r="U79" s="179"/>
      <c r="V79" s="180"/>
      <c r="W79" s="179"/>
      <c r="X79" s="180"/>
      <c r="Y79" s="179"/>
      <c r="Z79" s="179"/>
      <c r="AA79" s="179"/>
      <c r="AB79" s="180"/>
      <c r="AC79" s="180"/>
      <c r="AD79" s="180"/>
      <c r="AE79" s="182"/>
      <c r="AF79" s="258"/>
    </row>
    <row r="80" spans="1:32" s="223" customFormat="1" ht="15" customHeight="1">
      <c r="A80" s="152" t="s">
        <v>317</v>
      </c>
      <c r="B80" s="152" t="s">
        <v>823</v>
      </c>
      <c r="C80" s="22">
        <v>106829</v>
      </c>
      <c r="D80" s="205">
        <v>14</v>
      </c>
      <c r="E80" s="178">
        <f t="shared" si="4"/>
        <v>0</v>
      </c>
      <c r="F80" s="195">
        <f t="shared" si="5"/>
        <v>0</v>
      </c>
      <c r="G80" s="179"/>
      <c r="H80" s="180"/>
      <c r="I80" s="179"/>
      <c r="J80" s="180"/>
      <c r="K80" s="179"/>
      <c r="L80" s="179"/>
      <c r="M80" s="179"/>
      <c r="N80" s="180"/>
      <c r="O80" s="180"/>
      <c r="P80" s="180"/>
      <c r="Q80" s="182"/>
      <c r="R80" s="233"/>
      <c r="S80" s="178">
        <f t="shared" si="6"/>
        <v>0</v>
      </c>
      <c r="T80" s="195">
        <f t="shared" si="7"/>
        <v>0</v>
      </c>
      <c r="U80" s="179"/>
      <c r="V80" s="180"/>
      <c r="W80" s="179"/>
      <c r="X80" s="180"/>
      <c r="Y80" s="179"/>
      <c r="Z80" s="179"/>
      <c r="AA80" s="179"/>
      <c r="AB80" s="180"/>
      <c r="AC80" s="180"/>
      <c r="AD80" s="180"/>
      <c r="AE80" s="182"/>
      <c r="AF80" s="258"/>
    </row>
    <row r="81" spans="1:32" s="223" customFormat="1" ht="15" customHeight="1">
      <c r="A81" s="152" t="s">
        <v>317</v>
      </c>
      <c r="B81" s="152" t="s">
        <v>824</v>
      </c>
      <c r="C81" s="22">
        <v>107488</v>
      </c>
      <c r="D81" s="205">
        <v>14</v>
      </c>
      <c r="E81" s="178">
        <f t="shared" si="4"/>
        <v>0</v>
      </c>
      <c r="F81" s="195">
        <f t="shared" si="5"/>
        <v>0</v>
      </c>
      <c r="G81" s="179"/>
      <c r="H81" s="180"/>
      <c r="I81" s="179"/>
      <c r="J81" s="180"/>
      <c r="K81" s="179"/>
      <c r="L81" s="179"/>
      <c r="M81" s="179"/>
      <c r="N81" s="180"/>
      <c r="O81" s="180"/>
      <c r="P81" s="180"/>
      <c r="Q81" s="182"/>
      <c r="R81" s="233"/>
      <c r="S81" s="178">
        <f t="shared" si="6"/>
        <v>0</v>
      </c>
      <c r="T81" s="195">
        <f t="shared" si="7"/>
        <v>0</v>
      </c>
      <c r="U81" s="179"/>
      <c r="V81" s="180"/>
      <c r="W81" s="179"/>
      <c r="X81" s="180"/>
      <c r="Y81" s="179"/>
      <c r="Z81" s="179"/>
      <c r="AA81" s="179"/>
      <c r="AB81" s="180"/>
      <c r="AC81" s="180"/>
      <c r="AD81" s="180"/>
      <c r="AE81" s="182"/>
      <c r="AF81" s="258"/>
    </row>
    <row r="82" spans="1:32" s="223" customFormat="1" ht="15" customHeight="1">
      <c r="A82" s="153" t="s">
        <v>350</v>
      </c>
      <c r="B82" s="154" t="s">
        <v>660</v>
      </c>
      <c r="C82" s="139">
        <v>130943</v>
      </c>
      <c r="D82" s="206">
        <v>1</v>
      </c>
      <c r="E82" s="178">
        <f t="shared" si="4"/>
        <v>0</v>
      </c>
      <c r="F82" s="195">
        <f t="shared" si="5"/>
        <v>505664</v>
      </c>
      <c r="G82" s="179"/>
      <c r="H82" s="180">
        <v>495425</v>
      </c>
      <c r="I82" s="179"/>
      <c r="J82" s="180"/>
      <c r="K82" s="179"/>
      <c r="L82" s="179"/>
      <c r="M82" s="179"/>
      <c r="N82" s="180">
        <v>7706</v>
      </c>
      <c r="O82" s="180">
        <v>978</v>
      </c>
      <c r="P82" s="180">
        <v>1555</v>
      </c>
      <c r="Q82" s="182"/>
      <c r="R82" s="183"/>
      <c r="S82" s="178">
        <f t="shared" si="6"/>
        <v>0</v>
      </c>
      <c r="T82" s="195">
        <f t="shared" si="7"/>
        <v>58920</v>
      </c>
      <c r="U82" s="179"/>
      <c r="V82" s="180">
        <v>56859</v>
      </c>
      <c r="W82" s="179"/>
      <c r="X82" s="180"/>
      <c r="Y82" s="179"/>
      <c r="Z82" s="179"/>
      <c r="AA82" s="179"/>
      <c r="AB82" s="180">
        <v>971</v>
      </c>
      <c r="AC82" s="180">
        <v>188</v>
      </c>
      <c r="AD82" s="180">
        <v>458</v>
      </c>
      <c r="AE82" s="182"/>
      <c r="AF82" s="258">
        <v>444</v>
      </c>
    </row>
    <row r="83" spans="1:32" s="223" customFormat="1" ht="15" customHeight="1">
      <c r="A83" s="153" t="s">
        <v>350</v>
      </c>
      <c r="B83" s="154" t="s">
        <v>661</v>
      </c>
      <c r="C83" s="139">
        <v>130934</v>
      </c>
      <c r="D83" s="206">
        <v>4</v>
      </c>
      <c r="E83" s="178">
        <f t="shared" si="4"/>
        <v>0</v>
      </c>
      <c r="F83" s="195">
        <f t="shared" si="5"/>
        <v>0</v>
      </c>
      <c r="G83" s="179"/>
      <c r="H83" s="180"/>
      <c r="I83" s="179"/>
      <c r="J83" s="180"/>
      <c r="K83" s="179"/>
      <c r="L83" s="179"/>
      <c r="M83" s="179"/>
      <c r="N83" s="180"/>
      <c r="O83" s="180"/>
      <c r="P83" s="180"/>
      <c r="Q83" s="182"/>
      <c r="R83" s="183"/>
      <c r="S83" s="178">
        <f t="shared" si="6"/>
        <v>0</v>
      </c>
      <c r="T83" s="195">
        <f t="shared" si="7"/>
        <v>0</v>
      </c>
      <c r="U83" s="179"/>
      <c r="V83" s="180"/>
      <c r="W83" s="179"/>
      <c r="X83" s="180"/>
      <c r="Y83" s="179"/>
      <c r="Z83" s="179"/>
      <c r="AA83" s="179"/>
      <c r="AB83" s="180"/>
      <c r="AC83" s="180"/>
      <c r="AD83" s="180"/>
      <c r="AE83" s="182"/>
      <c r="AF83" s="258"/>
    </row>
    <row r="84" spans="1:32" s="223" customFormat="1" ht="15" customHeight="1">
      <c r="A84" s="153" t="s">
        <v>350</v>
      </c>
      <c r="B84" s="154" t="s">
        <v>662</v>
      </c>
      <c r="C84" s="139">
        <v>130891</v>
      </c>
      <c r="D84" s="206">
        <v>9</v>
      </c>
      <c r="E84" s="178">
        <f t="shared" si="4"/>
        <v>0</v>
      </c>
      <c r="F84" s="195">
        <f t="shared" si="5"/>
        <v>75629</v>
      </c>
      <c r="G84" s="179"/>
      <c r="H84" s="180">
        <v>68860</v>
      </c>
      <c r="I84" s="179"/>
      <c r="J84" s="180"/>
      <c r="K84" s="179"/>
      <c r="L84" s="179"/>
      <c r="M84" s="179"/>
      <c r="N84" s="180">
        <v>5408</v>
      </c>
      <c r="O84" s="180">
        <v>242</v>
      </c>
      <c r="P84" s="180">
        <v>1119</v>
      </c>
      <c r="Q84" s="182"/>
      <c r="R84" s="183"/>
      <c r="S84" s="178">
        <f t="shared" si="6"/>
        <v>0</v>
      </c>
      <c r="T84" s="195">
        <f t="shared" si="7"/>
        <v>0</v>
      </c>
      <c r="U84" s="179"/>
      <c r="V84" s="180"/>
      <c r="W84" s="179"/>
      <c r="X84" s="180"/>
      <c r="Y84" s="179"/>
      <c r="Z84" s="179"/>
      <c r="AA84" s="179"/>
      <c r="AB84" s="180"/>
      <c r="AC84" s="180"/>
      <c r="AD84" s="180"/>
      <c r="AE84" s="182"/>
      <c r="AF84" s="258"/>
    </row>
    <row r="85" spans="1:32" s="223" customFormat="1" ht="15" customHeight="1">
      <c r="A85" s="153" t="s">
        <v>350</v>
      </c>
      <c r="B85" s="154" t="s">
        <v>663</v>
      </c>
      <c r="C85" s="139">
        <v>130916</v>
      </c>
      <c r="D85" s="206">
        <v>9</v>
      </c>
      <c r="E85" s="178">
        <f t="shared" si="4"/>
        <v>0</v>
      </c>
      <c r="F85" s="195">
        <f t="shared" si="5"/>
        <v>157440</v>
      </c>
      <c r="G85" s="179"/>
      <c r="H85" s="180">
        <v>143523</v>
      </c>
      <c r="I85" s="179"/>
      <c r="J85" s="180"/>
      <c r="K85" s="179"/>
      <c r="L85" s="179"/>
      <c r="M85" s="179"/>
      <c r="N85" s="180">
        <v>2975</v>
      </c>
      <c r="O85" s="180">
        <v>218</v>
      </c>
      <c r="P85" s="180">
        <v>10724</v>
      </c>
      <c r="Q85" s="182"/>
      <c r="R85" s="183"/>
      <c r="S85" s="178">
        <f t="shared" si="6"/>
        <v>0</v>
      </c>
      <c r="T85" s="195">
        <f t="shared" si="7"/>
        <v>0</v>
      </c>
      <c r="U85" s="179"/>
      <c r="V85" s="180"/>
      <c r="W85" s="179"/>
      <c r="X85" s="180"/>
      <c r="Y85" s="179"/>
      <c r="Z85" s="179"/>
      <c r="AA85" s="179"/>
      <c r="AB85" s="180"/>
      <c r="AC85" s="180"/>
      <c r="AD85" s="180"/>
      <c r="AE85" s="182"/>
      <c r="AF85" s="258"/>
    </row>
    <row r="86" spans="1:32" s="223" customFormat="1" ht="15" customHeight="1">
      <c r="A86" s="153" t="s">
        <v>350</v>
      </c>
      <c r="B86" s="154" t="s">
        <v>664</v>
      </c>
      <c r="C86" s="139">
        <v>130907</v>
      </c>
      <c r="D86" s="206">
        <v>10</v>
      </c>
      <c r="E86" s="178">
        <f t="shared" si="4"/>
        <v>0</v>
      </c>
      <c r="F86" s="195">
        <f t="shared" si="5"/>
        <v>51324</v>
      </c>
      <c r="G86" s="179"/>
      <c r="H86" s="180">
        <v>45286</v>
      </c>
      <c r="I86" s="179"/>
      <c r="J86" s="180"/>
      <c r="K86" s="179"/>
      <c r="L86" s="179"/>
      <c r="M86" s="179"/>
      <c r="N86" s="180">
        <v>4024</v>
      </c>
      <c r="O86" s="180">
        <v>129</v>
      </c>
      <c r="P86" s="180">
        <v>1885</v>
      </c>
      <c r="Q86" s="182"/>
      <c r="R86" s="183"/>
      <c r="S86" s="178">
        <f t="shared" si="6"/>
        <v>0</v>
      </c>
      <c r="T86" s="195">
        <f t="shared" si="7"/>
        <v>0</v>
      </c>
      <c r="U86" s="179"/>
      <c r="V86" s="180"/>
      <c r="W86" s="179"/>
      <c r="X86" s="180"/>
      <c r="Y86" s="179"/>
      <c r="Z86" s="179"/>
      <c r="AA86" s="179"/>
      <c r="AB86" s="180"/>
      <c r="AC86" s="180"/>
      <c r="AD86" s="180"/>
      <c r="AE86" s="182"/>
      <c r="AF86" s="258"/>
    </row>
    <row r="87" spans="1:32" s="223" customFormat="1" ht="15" customHeight="1">
      <c r="A87" s="156" t="s">
        <v>351</v>
      </c>
      <c r="B87" s="156" t="s">
        <v>352</v>
      </c>
      <c r="C87" s="23">
        <v>134097</v>
      </c>
      <c r="D87" s="207">
        <v>1</v>
      </c>
      <c r="E87" s="178">
        <f t="shared" si="4"/>
        <v>833082</v>
      </c>
      <c r="F87" s="195">
        <f t="shared" si="5"/>
        <v>838973</v>
      </c>
      <c r="G87" s="179">
        <v>780740</v>
      </c>
      <c r="H87" s="180">
        <v>785010</v>
      </c>
      <c r="I87" s="179">
        <v>35370</v>
      </c>
      <c r="J87" s="180">
        <v>38708</v>
      </c>
      <c r="K87" s="179">
        <v>16972</v>
      </c>
      <c r="L87" s="179">
        <v>0</v>
      </c>
      <c r="M87" s="179"/>
      <c r="N87" s="180">
        <v>15255</v>
      </c>
      <c r="O87" s="180"/>
      <c r="P87" s="180"/>
      <c r="Q87" s="179"/>
      <c r="R87" s="180"/>
      <c r="S87" s="178">
        <f t="shared" si="6"/>
        <v>147572</v>
      </c>
      <c r="T87" s="195">
        <f t="shared" si="7"/>
        <v>159515</v>
      </c>
      <c r="U87" s="179">
        <v>128611</v>
      </c>
      <c r="V87" s="180">
        <v>135245</v>
      </c>
      <c r="W87" s="179">
        <v>9775</v>
      </c>
      <c r="X87" s="180">
        <v>12461</v>
      </c>
      <c r="Y87" s="179">
        <v>9186</v>
      </c>
      <c r="Z87" s="179">
        <v>0</v>
      </c>
      <c r="AA87" s="179"/>
      <c r="AB87" s="180">
        <v>11809</v>
      </c>
      <c r="AC87" s="180"/>
      <c r="AD87" s="180"/>
      <c r="AE87" s="179"/>
      <c r="AF87" s="256"/>
    </row>
    <row r="88" spans="1:32" s="223" customFormat="1" ht="15" customHeight="1">
      <c r="A88" s="156" t="s">
        <v>351</v>
      </c>
      <c r="B88" s="156" t="s">
        <v>353</v>
      </c>
      <c r="C88" s="23">
        <v>134130</v>
      </c>
      <c r="D88" s="207">
        <v>1</v>
      </c>
      <c r="E88" s="178">
        <f t="shared" si="4"/>
        <v>985471</v>
      </c>
      <c r="F88" s="195">
        <f t="shared" si="5"/>
        <v>978043</v>
      </c>
      <c r="G88" s="179">
        <v>691771</v>
      </c>
      <c r="H88" s="180">
        <v>713770</v>
      </c>
      <c r="I88" s="179">
        <v>4736</v>
      </c>
      <c r="J88" s="180">
        <v>4531</v>
      </c>
      <c r="K88" s="179">
        <v>57267</v>
      </c>
      <c r="L88" s="179">
        <v>94</v>
      </c>
      <c r="M88" s="179">
        <v>222627</v>
      </c>
      <c r="N88" s="180">
        <v>55582</v>
      </c>
      <c r="O88" s="180">
        <v>44</v>
      </c>
      <c r="P88" s="180">
        <v>197892</v>
      </c>
      <c r="Q88" s="179">
        <v>8976</v>
      </c>
      <c r="R88" s="180">
        <v>6224</v>
      </c>
      <c r="S88" s="178">
        <f t="shared" si="6"/>
        <v>259316</v>
      </c>
      <c r="T88" s="195">
        <f t="shared" si="7"/>
        <v>268504</v>
      </c>
      <c r="U88" s="179">
        <v>214408</v>
      </c>
      <c r="V88" s="180">
        <v>216616</v>
      </c>
      <c r="W88" s="179">
        <v>7849</v>
      </c>
      <c r="X88" s="180">
        <v>10091</v>
      </c>
      <c r="Y88" s="179">
        <v>6973</v>
      </c>
      <c r="Z88" s="179">
        <v>1602</v>
      </c>
      <c r="AA88" s="179">
        <v>28463</v>
      </c>
      <c r="AB88" s="180">
        <v>11510</v>
      </c>
      <c r="AC88" s="180">
        <v>1975</v>
      </c>
      <c r="AD88" s="180">
        <v>28237</v>
      </c>
      <c r="AE88" s="179">
        <v>21</v>
      </c>
      <c r="AF88" s="256">
        <v>75</v>
      </c>
    </row>
    <row r="89" spans="1:32" s="223" customFormat="1" ht="15" customHeight="1">
      <c r="A89" s="156" t="s">
        <v>351</v>
      </c>
      <c r="B89" s="156" t="s">
        <v>354</v>
      </c>
      <c r="C89" s="23">
        <v>137351</v>
      </c>
      <c r="D89" s="207">
        <v>1</v>
      </c>
      <c r="E89" s="178">
        <f t="shared" si="4"/>
        <v>784992</v>
      </c>
      <c r="F89" s="195">
        <f t="shared" si="5"/>
        <v>835645</v>
      </c>
      <c r="G89" s="179">
        <v>601834</v>
      </c>
      <c r="H89" s="180">
        <v>630632</v>
      </c>
      <c r="I89" s="179">
        <v>116182</v>
      </c>
      <c r="J89" s="180">
        <v>126820</v>
      </c>
      <c r="K89" s="179">
        <v>25358</v>
      </c>
      <c r="L89" s="179">
        <v>2717</v>
      </c>
      <c r="M89" s="179">
        <v>38901</v>
      </c>
      <c r="N89" s="180">
        <v>38482</v>
      </c>
      <c r="O89" s="180">
        <v>924</v>
      </c>
      <c r="P89" s="180">
        <v>38787</v>
      </c>
      <c r="Q89" s="179"/>
      <c r="R89" s="180"/>
      <c r="S89" s="178">
        <f t="shared" si="6"/>
        <v>143477.7</v>
      </c>
      <c r="T89" s="195">
        <f t="shared" si="7"/>
        <v>145030</v>
      </c>
      <c r="U89" s="179">
        <v>90678.7</v>
      </c>
      <c r="V89" s="180">
        <v>89782</v>
      </c>
      <c r="W89" s="179">
        <v>36632</v>
      </c>
      <c r="X89" s="180">
        <v>38527</v>
      </c>
      <c r="Y89" s="179">
        <v>12477</v>
      </c>
      <c r="Z89" s="179">
        <v>642</v>
      </c>
      <c r="AA89" s="179">
        <v>3048</v>
      </c>
      <c r="AB89" s="180">
        <v>14980</v>
      </c>
      <c r="AC89" s="180">
        <v>165</v>
      </c>
      <c r="AD89" s="180">
        <v>1576</v>
      </c>
      <c r="AE89" s="179"/>
      <c r="AF89" s="256"/>
    </row>
    <row r="90" spans="1:32" s="223" customFormat="1" ht="15" customHeight="1">
      <c r="A90" s="156" t="s">
        <v>351</v>
      </c>
      <c r="B90" s="156" t="s">
        <v>355</v>
      </c>
      <c r="C90" s="23">
        <v>133669</v>
      </c>
      <c r="D90" s="207">
        <v>2</v>
      </c>
      <c r="E90" s="178">
        <f t="shared" si="4"/>
        <v>470036</v>
      </c>
      <c r="F90" s="195">
        <f t="shared" si="5"/>
        <v>486197</v>
      </c>
      <c r="G90" s="179">
        <v>316997</v>
      </c>
      <c r="H90" s="180">
        <v>337543</v>
      </c>
      <c r="I90" s="179">
        <v>118425</v>
      </c>
      <c r="J90" s="180">
        <v>123020</v>
      </c>
      <c r="K90" s="179">
        <v>33002</v>
      </c>
      <c r="L90" s="179">
        <v>789</v>
      </c>
      <c r="M90" s="179">
        <v>823</v>
      </c>
      <c r="N90" s="180">
        <v>23431</v>
      </c>
      <c r="O90" s="180">
        <v>1460</v>
      </c>
      <c r="P90" s="180">
        <v>743</v>
      </c>
      <c r="Q90" s="179"/>
      <c r="R90" s="180"/>
      <c r="S90" s="178">
        <f t="shared" si="6"/>
        <v>64151</v>
      </c>
      <c r="T90" s="195">
        <f t="shared" si="7"/>
        <v>66176</v>
      </c>
      <c r="U90" s="179">
        <v>30089</v>
      </c>
      <c r="V90" s="180">
        <v>30622</v>
      </c>
      <c r="W90" s="179">
        <v>21325</v>
      </c>
      <c r="X90" s="180">
        <v>19775</v>
      </c>
      <c r="Y90" s="179">
        <v>9822</v>
      </c>
      <c r="Z90" s="179">
        <v>311</v>
      </c>
      <c r="AA90" s="179">
        <v>2604</v>
      </c>
      <c r="AB90" s="180">
        <v>13484</v>
      </c>
      <c r="AC90" s="180">
        <v>621</v>
      </c>
      <c r="AD90" s="180">
        <v>1674</v>
      </c>
      <c r="AE90" s="179"/>
      <c r="AF90" s="256"/>
    </row>
    <row r="91" spans="1:32" s="223" customFormat="1" ht="15" customHeight="1">
      <c r="A91" s="156" t="s">
        <v>351</v>
      </c>
      <c r="B91" s="156" t="s">
        <v>356</v>
      </c>
      <c r="C91" s="23">
        <v>133951</v>
      </c>
      <c r="D91" s="207">
        <v>2</v>
      </c>
      <c r="E91" s="178">
        <f t="shared" si="4"/>
        <v>704873</v>
      </c>
      <c r="F91" s="195">
        <f t="shared" si="5"/>
        <v>729849</v>
      </c>
      <c r="G91" s="179">
        <v>519259</v>
      </c>
      <c r="H91" s="180">
        <v>506299</v>
      </c>
      <c r="I91" s="179">
        <v>153404</v>
      </c>
      <c r="J91" s="180">
        <v>140379</v>
      </c>
      <c r="K91" s="179">
        <v>14622</v>
      </c>
      <c r="L91" s="179">
        <v>64</v>
      </c>
      <c r="M91" s="179">
        <v>17524</v>
      </c>
      <c r="N91" s="180">
        <v>67628</v>
      </c>
      <c r="O91" s="180"/>
      <c r="P91" s="180">
        <v>15543</v>
      </c>
      <c r="Q91" s="179"/>
      <c r="R91" s="180"/>
      <c r="S91" s="178">
        <f t="shared" si="6"/>
        <v>106265</v>
      </c>
      <c r="T91" s="195">
        <f t="shared" si="7"/>
        <v>100744</v>
      </c>
      <c r="U91" s="179">
        <v>76772</v>
      </c>
      <c r="V91" s="180">
        <v>70361</v>
      </c>
      <c r="W91" s="179">
        <v>23462</v>
      </c>
      <c r="X91" s="180">
        <v>20495</v>
      </c>
      <c r="Y91" s="179">
        <v>1528</v>
      </c>
      <c r="Z91" s="179">
        <v>0</v>
      </c>
      <c r="AA91" s="179">
        <v>4503</v>
      </c>
      <c r="AB91" s="180">
        <v>7297</v>
      </c>
      <c r="AC91" s="180">
        <v>481</v>
      </c>
      <c r="AD91" s="180">
        <v>2110</v>
      </c>
      <c r="AE91" s="179"/>
      <c r="AF91" s="256"/>
    </row>
    <row r="92" spans="1:32" s="223" customFormat="1" ht="15" customHeight="1">
      <c r="A92" s="156" t="s">
        <v>351</v>
      </c>
      <c r="B92" s="156" t="s">
        <v>357</v>
      </c>
      <c r="C92" s="23">
        <v>132903</v>
      </c>
      <c r="D92" s="207">
        <v>2</v>
      </c>
      <c r="E92" s="178">
        <f t="shared" si="4"/>
        <v>892370</v>
      </c>
      <c r="F92" s="195">
        <f t="shared" si="5"/>
        <v>938180.5</v>
      </c>
      <c r="G92" s="179">
        <v>761207</v>
      </c>
      <c r="H92" s="180">
        <v>760359.5</v>
      </c>
      <c r="I92" s="179">
        <v>50151</v>
      </c>
      <c r="J92" s="180">
        <v>73893</v>
      </c>
      <c r="K92" s="179">
        <v>73362</v>
      </c>
      <c r="L92" s="179">
        <v>4051</v>
      </c>
      <c r="M92" s="179">
        <v>3599</v>
      </c>
      <c r="N92" s="180">
        <v>96205</v>
      </c>
      <c r="O92" s="180">
        <v>4639</v>
      </c>
      <c r="P92" s="180">
        <v>3084</v>
      </c>
      <c r="Q92" s="179"/>
      <c r="R92" s="180"/>
      <c r="S92" s="178">
        <f t="shared" si="6"/>
        <v>113283.5</v>
      </c>
      <c r="T92" s="195">
        <f t="shared" si="7"/>
        <v>117775</v>
      </c>
      <c r="U92" s="179">
        <v>76649</v>
      </c>
      <c r="V92" s="180">
        <v>78424</v>
      </c>
      <c r="W92" s="179">
        <v>16044.5</v>
      </c>
      <c r="X92" s="180">
        <v>12207</v>
      </c>
      <c r="Y92" s="179">
        <v>17500</v>
      </c>
      <c r="Z92" s="179">
        <v>90</v>
      </c>
      <c r="AA92" s="179">
        <v>3000</v>
      </c>
      <c r="AB92" s="180">
        <v>22983</v>
      </c>
      <c r="AC92" s="180">
        <v>54</v>
      </c>
      <c r="AD92" s="180">
        <v>4107</v>
      </c>
      <c r="AE92" s="179"/>
      <c r="AF92" s="256"/>
    </row>
    <row r="93" spans="1:32" s="223" customFormat="1" ht="15" customHeight="1">
      <c r="A93" s="156" t="s">
        <v>351</v>
      </c>
      <c r="B93" s="156" t="s">
        <v>358</v>
      </c>
      <c r="C93" s="23">
        <v>133650</v>
      </c>
      <c r="D93" s="207">
        <v>3</v>
      </c>
      <c r="E93" s="178">
        <f t="shared" si="4"/>
        <v>291999</v>
      </c>
      <c r="F93" s="195">
        <f t="shared" si="5"/>
        <v>307533</v>
      </c>
      <c r="G93" s="184">
        <v>283720</v>
      </c>
      <c r="H93" s="185">
        <v>299538</v>
      </c>
      <c r="I93" s="179">
        <v>8279</v>
      </c>
      <c r="J93" s="180">
        <v>7995</v>
      </c>
      <c r="K93" s="179"/>
      <c r="L93" s="179">
        <v>0</v>
      </c>
      <c r="M93" s="179"/>
      <c r="N93" s="180"/>
      <c r="O93" s="180"/>
      <c r="P93" s="180"/>
      <c r="Q93" s="179"/>
      <c r="R93" s="180"/>
      <c r="S93" s="178">
        <f t="shared" si="6"/>
        <v>33256</v>
      </c>
      <c r="T93" s="195">
        <f t="shared" si="7"/>
        <v>35112</v>
      </c>
      <c r="U93" s="179">
        <v>27585</v>
      </c>
      <c r="V93" s="180">
        <v>26748</v>
      </c>
      <c r="W93" s="179">
        <v>5671</v>
      </c>
      <c r="X93" s="180">
        <v>8364</v>
      </c>
      <c r="Y93" s="179"/>
      <c r="Z93" s="179">
        <v>0</v>
      </c>
      <c r="AA93" s="179"/>
      <c r="AB93" s="180"/>
      <c r="AC93" s="180"/>
      <c r="AD93" s="180"/>
      <c r="AE93" s="179"/>
      <c r="AF93" s="256"/>
    </row>
    <row r="94" spans="1:32" s="223" customFormat="1" ht="15" customHeight="1">
      <c r="A94" s="156" t="s">
        <v>351</v>
      </c>
      <c r="B94" s="156" t="s">
        <v>359</v>
      </c>
      <c r="C94" s="23">
        <v>136172</v>
      </c>
      <c r="D94" s="207">
        <v>3</v>
      </c>
      <c r="E94" s="178">
        <f t="shared" si="4"/>
        <v>299210</v>
      </c>
      <c r="F94" s="195">
        <f t="shared" si="5"/>
        <v>319259</v>
      </c>
      <c r="G94" s="179">
        <v>283273</v>
      </c>
      <c r="H94" s="180">
        <v>301165</v>
      </c>
      <c r="I94" s="179">
        <v>5633</v>
      </c>
      <c r="J94" s="180">
        <v>3739</v>
      </c>
      <c r="K94" s="179">
        <v>8150</v>
      </c>
      <c r="L94" s="179">
        <v>93</v>
      </c>
      <c r="M94" s="179">
        <v>2061</v>
      </c>
      <c r="N94" s="180">
        <v>10132</v>
      </c>
      <c r="O94" s="180" t="s">
        <v>73</v>
      </c>
      <c r="P94" s="180">
        <v>4223</v>
      </c>
      <c r="Q94" s="179"/>
      <c r="R94" s="180"/>
      <c r="S94" s="178">
        <f t="shared" si="6"/>
        <v>30004</v>
      </c>
      <c r="T94" s="195">
        <f t="shared" si="7"/>
        <v>30053</v>
      </c>
      <c r="U94" s="179">
        <v>24225</v>
      </c>
      <c r="V94" s="180">
        <v>24669</v>
      </c>
      <c r="W94" s="179">
        <v>3543</v>
      </c>
      <c r="X94" s="180">
        <v>2859</v>
      </c>
      <c r="Y94" s="179">
        <v>1840</v>
      </c>
      <c r="Z94" s="179">
        <v>0</v>
      </c>
      <c r="AA94" s="179">
        <v>396</v>
      </c>
      <c r="AB94" s="180">
        <v>2297</v>
      </c>
      <c r="AC94" s="180"/>
      <c r="AD94" s="180">
        <v>228</v>
      </c>
      <c r="AE94" s="179"/>
      <c r="AF94" s="256"/>
    </row>
    <row r="95" spans="1:32" s="223" customFormat="1" ht="15" customHeight="1">
      <c r="A95" s="156" t="s">
        <v>351</v>
      </c>
      <c r="B95" s="156" t="s">
        <v>360</v>
      </c>
      <c r="C95" s="23">
        <v>138354</v>
      </c>
      <c r="D95" s="207">
        <v>3</v>
      </c>
      <c r="E95" s="178">
        <f t="shared" si="4"/>
        <v>194419</v>
      </c>
      <c r="F95" s="195">
        <f t="shared" si="5"/>
        <v>201888.5</v>
      </c>
      <c r="G95" s="179">
        <v>175585</v>
      </c>
      <c r="H95" s="180">
        <v>185974.5</v>
      </c>
      <c r="I95" s="179">
        <v>14644</v>
      </c>
      <c r="J95" s="180">
        <v>14573</v>
      </c>
      <c r="K95" s="179">
        <v>4190</v>
      </c>
      <c r="L95" s="179">
        <v>0</v>
      </c>
      <c r="M95" s="179"/>
      <c r="N95" s="180">
        <v>1215</v>
      </c>
      <c r="O95" s="180"/>
      <c r="P95" s="180">
        <v>126</v>
      </c>
      <c r="Q95" s="179"/>
      <c r="R95" s="180"/>
      <c r="S95" s="178">
        <f t="shared" si="6"/>
        <v>21252</v>
      </c>
      <c r="T95" s="195">
        <f t="shared" si="7"/>
        <v>19526.5</v>
      </c>
      <c r="U95" s="179">
        <v>16306.5</v>
      </c>
      <c r="V95" s="180">
        <v>17112.5</v>
      </c>
      <c r="W95" s="179">
        <v>3913.5</v>
      </c>
      <c r="X95" s="180">
        <v>2414</v>
      </c>
      <c r="Y95" s="179">
        <v>1032</v>
      </c>
      <c r="Z95" s="179">
        <v>0</v>
      </c>
      <c r="AA95" s="179"/>
      <c r="AB95" s="180"/>
      <c r="AC95" s="180"/>
      <c r="AD95" s="180"/>
      <c r="AE95" s="179"/>
      <c r="AF95" s="256"/>
    </row>
    <row r="96" spans="1:32" s="223" customFormat="1" ht="15" customHeight="1">
      <c r="A96" s="156" t="s">
        <v>351</v>
      </c>
      <c r="B96" s="156" t="s">
        <v>361</v>
      </c>
      <c r="C96" s="23">
        <v>433660</v>
      </c>
      <c r="D96" s="207">
        <v>5</v>
      </c>
      <c r="E96" s="178">
        <f t="shared" si="4"/>
        <v>108224</v>
      </c>
      <c r="F96" s="195">
        <f t="shared" si="5"/>
        <v>122029</v>
      </c>
      <c r="G96" s="179">
        <v>92504</v>
      </c>
      <c r="H96" s="180">
        <v>103234</v>
      </c>
      <c r="I96" s="179">
        <v>2885</v>
      </c>
      <c r="J96" s="180">
        <v>3038</v>
      </c>
      <c r="K96" s="179">
        <v>12615</v>
      </c>
      <c r="L96" s="179">
        <v>0</v>
      </c>
      <c r="M96" s="179">
        <v>220</v>
      </c>
      <c r="N96" s="180">
        <v>15730</v>
      </c>
      <c r="O96" s="180">
        <v>27</v>
      </c>
      <c r="P96" s="180" t="s">
        <v>73</v>
      </c>
      <c r="Q96" s="179"/>
      <c r="R96" s="180"/>
      <c r="S96" s="178">
        <f t="shared" si="6"/>
        <v>15166</v>
      </c>
      <c r="T96" s="195">
        <f t="shared" si="7"/>
        <v>14837</v>
      </c>
      <c r="U96" s="179">
        <v>10028</v>
      </c>
      <c r="V96" s="180">
        <v>10204</v>
      </c>
      <c r="W96" s="179">
        <v>999</v>
      </c>
      <c r="X96" s="180">
        <v>739</v>
      </c>
      <c r="Y96" s="179">
        <v>4139</v>
      </c>
      <c r="Z96" s="179">
        <v>0</v>
      </c>
      <c r="AA96" s="179"/>
      <c r="AB96" s="180">
        <v>3894</v>
      </c>
      <c r="AC96" s="180"/>
      <c r="AD96" s="180"/>
      <c r="AE96" s="179"/>
      <c r="AF96" s="256"/>
    </row>
    <row r="97" spans="1:32" s="308" customFormat="1" ht="15" customHeight="1">
      <c r="A97" s="303" t="s">
        <v>351</v>
      </c>
      <c r="B97" s="303" t="s">
        <v>362</v>
      </c>
      <c r="C97" s="304">
        <v>262129</v>
      </c>
      <c r="D97" s="208">
        <v>6</v>
      </c>
      <c r="E97" s="178">
        <f t="shared" si="4"/>
        <v>22736</v>
      </c>
      <c r="F97" s="195">
        <f t="shared" si="5"/>
        <v>23536</v>
      </c>
      <c r="G97" s="309">
        <v>22736</v>
      </c>
      <c r="H97" s="306">
        <v>23536</v>
      </c>
      <c r="I97" s="309">
        <v>0</v>
      </c>
      <c r="J97" s="306"/>
      <c r="K97" s="305"/>
      <c r="L97" s="305">
        <v>0</v>
      </c>
      <c r="M97" s="305"/>
      <c r="N97" s="306"/>
      <c r="O97" s="306"/>
      <c r="P97" s="306"/>
      <c r="Q97" s="305"/>
      <c r="R97" s="306"/>
      <c r="S97" s="178">
        <f t="shared" si="6"/>
        <v>0</v>
      </c>
      <c r="T97" s="195">
        <f t="shared" si="7"/>
        <v>0</v>
      </c>
      <c r="U97" s="305"/>
      <c r="V97" s="306"/>
      <c r="W97" s="305"/>
      <c r="X97" s="306"/>
      <c r="Y97" s="305"/>
      <c r="Z97" s="305">
        <v>0</v>
      </c>
      <c r="AA97" s="305"/>
      <c r="AB97" s="306"/>
      <c r="AC97" s="306"/>
      <c r="AD97" s="306"/>
      <c r="AE97" s="305"/>
      <c r="AF97" s="307"/>
    </row>
    <row r="98" spans="1:32" s="223" customFormat="1" ht="15" customHeight="1">
      <c r="A98" s="155" t="s">
        <v>351</v>
      </c>
      <c r="B98" s="155" t="s">
        <v>363</v>
      </c>
      <c r="C98" s="24">
        <v>132693</v>
      </c>
      <c r="D98" s="208">
        <v>8</v>
      </c>
      <c r="E98" s="178">
        <f t="shared" si="4"/>
        <v>268070</v>
      </c>
      <c r="F98" s="195">
        <f t="shared" si="5"/>
        <v>266510</v>
      </c>
      <c r="G98" s="186">
        <v>235467</v>
      </c>
      <c r="H98" s="228">
        <v>215161</v>
      </c>
      <c r="I98" s="186">
        <v>0</v>
      </c>
      <c r="J98" s="228">
        <v>10375</v>
      </c>
      <c r="K98" s="186">
        <v>27535</v>
      </c>
      <c r="L98" s="186">
        <v>0</v>
      </c>
      <c r="M98" s="186">
        <v>5068</v>
      </c>
      <c r="N98" s="228">
        <v>35495</v>
      </c>
      <c r="O98" s="228">
        <v>0</v>
      </c>
      <c r="P98" s="228">
        <v>5479</v>
      </c>
      <c r="Q98" s="186">
        <v>0</v>
      </c>
      <c r="R98" s="228">
        <v>0</v>
      </c>
      <c r="S98" s="178">
        <f t="shared" si="6"/>
        <v>0</v>
      </c>
      <c r="T98" s="195">
        <f t="shared" si="7"/>
        <v>0</v>
      </c>
      <c r="U98" s="179"/>
      <c r="V98" s="180"/>
      <c r="W98" s="179"/>
      <c r="X98" s="180"/>
      <c r="Y98" s="179"/>
      <c r="Z98" s="179">
        <v>0</v>
      </c>
      <c r="AA98" s="179"/>
      <c r="AB98" s="180"/>
      <c r="AC98" s="180"/>
      <c r="AD98" s="180"/>
      <c r="AE98" s="179"/>
      <c r="AF98" s="256"/>
    </row>
    <row r="99" spans="1:32" s="223" customFormat="1" ht="15" customHeight="1">
      <c r="A99" s="155" t="s">
        <v>351</v>
      </c>
      <c r="B99" s="155" t="s">
        <v>364</v>
      </c>
      <c r="C99" s="24">
        <v>132709</v>
      </c>
      <c r="D99" s="208">
        <v>8</v>
      </c>
      <c r="E99" s="178">
        <f t="shared" si="4"/>
        <v>656790</v>
      </c>
      <c r="F99" s="195">
        <f t="shared" si="5"/>
        <v>664073</v>
      </c>
      <c r="G99" s="186">
        <v>631081</v>
      </c>
      <c r="H99" s="228">
        <v>547992</v>
      </c>
      <c r="I99" s="186">
        <v>0</v>
      </c>
      <c r="J99" s="228">
        <v>42408</v>
      </c>
      <c r="K99" s="186">
        <v>12901</v>
      </c>
      <c r="L99" s="186">
        <v>701</v>
      </c>
      <c r="M99" s="186">
        <v>8651</v>
      </c>
      <c r="N99" s="228">
        <v>16397</v>
      </c>
      <c r="O99" s="228">
        <v>780</v>
      </c>
      <c r="P99" s="228">
        <v>52976</v>
      </c>
      <c r="Q99" s="186">
        <v>3456</v>
      </c>
      <c r="R99" s="228">
        <v>3520</v>
      </c>
      <c r="S99" s="178">
        <f t="shared" si="6"/>
        <v>0</v>
      </c>
      <c r="T99" s="195">
        <f t="shared" si="7"/>
        <v>0</v>
      </c>
      <c r="U99" s="179"/>
      <c r="V99" s="180"/>
      <c r="W99" s="179"/>
      <c r="X99" s="180"/>
      <c r="Y99" s="179"/>
      <c r="Z99" s="179">
        <v>0</v>
      </c>
      <c r="AA99" s="179"/>
      <c r="AB99" s="180"/>
      <c r="AC99" s="180"/>
      <c r="AD99" s="180"/>
      <c r="AE99" s="179"/>
      <c r="AF99" s="256"/>
    </row>
    <row r="100" spans="1:32" s="223" customFormat="1" ht="15" customHeight="1">
      <c r="A100" s="155" t="s">
        <v>351</v>
      </c>
      <c r="B100" s="155" t="s">
        <v>365</v>
      </c>
      <c r="C100" s="24">
        <v>133386</v>
      </c>
      <c r="D100" s="208">
        <v>8</v>
      </c>
      <c r="E100" s="178">
        <f t="shared" si="4"/>
        <v>228552</v>
      </c>
      <c r="F100" s="195">
        <f t="shared" si="5"/>
        <v>230187</v>
      </c>
      <c r="G100" s="186">
        <v>207945</v>
      </c>
      <c r="H100" s="228">
        <v>209416</v>
      </c>
      <c r="I100" s="186">
        <v>0</v>
      </c>
      <c r="J100" s="228">
        <v>0</v>
      </c>
      <c r="K100" s="186">
        <v>10507</v>
      </c>
      <c r="L100" s="186">
        <v>4289</v>
      </c>
      <c r="M100" s="186">
        <v>5811</v>
      </c>
      <c r="N100" s="228">
        <v>11339</v>
      </c>
      <c r="O100" s="228">
        <v>3480</v>
      </c>
      <c r="P100" s="228">
        <v>5952</v>
      </c>
      <c r="Q100" s="186">
        <v>0</v>
      </c>
      <c r="R100" s="228">
        <v>0</v>
      </c>
      <c r="S100" s="178">
        <f t="shared" si="6"/>
        <v>0</v>
      </c>
      <c r="T100" s="195">
        <f t="shared" si="7"/>
        <v>0</v>
      </c>
      <c r="U100" s="179"/>
      <c r="V100" s="180"/>
      <c r="W100" s="179"/>
      <c r="X100" s="180"/>
      <c r="Y100" s="179"/>
      <c r="Z100" s="179">
        <v>0</v>
      </c>
      <c r="AA100" s="179"/>
      <c r="AB100" s="180"/>
      <c r="AC100" s="180"/>
      <c r="AD100" s="180"/>
      <c r="AE100" s="179"/>
      <c r="AF100" s="256"/>
    </row>
    <row r="101" spans="1:32" s="223" customFormat="1" ht="15" customHeight="1">
      <c r="A101" s="155" t="s">
        <v>351</v>
      </c>
      <c r="B101" s="155" t="s">
        <v>366</v>
      </c>
      <c r="C101" s="24">
        <v>133508</v>
      </c>
      <c r="D101" s="208">
        <v>8</v>
      </c>
      <c r="E101" s="178">
        <f t="shared" si="4"/>
        <v>206505</v>
      </c>
      <c r="F101" s="195">
        <f t="shared" si="5"/>
        <v>218075</v>
      </c>
      <c r="G101" s="186">
        <v>189007</v>
      </c>
      <c r="H101" s="228">
        <v>185688</v>
      </c>
      <c r="I101" s="186">
        <v>0</v>
      </c>
      <c r="J101" s="228">
        <v>13564</v>
      </c>
      <c r="K101" s="186">
        <v>2531</v>
      </c>
      <c r="L101" s="186">
        <v>2076</v>
      </c>
      <c r="M101" s="186">
        <v>12891</v>
      </c>
      <c r="N101" s="228">
        <v>3513</v>
      </c>
      <c r="O101" s="228">
        <v>1662</v>
      </c>
      <c r="P101" s="228">
        <v>13648</v>
      </c>
      <c r="Q101" s="186">
        <v>0</v>
      </c>
      <c r="R101" s="228">
        <v>0</v>
      </c>
      <c r="S101" s="178">
        <f t="shared" si="6"/>
        <v>0</v>
      </c>
      <c r="T101" s="195">
        <f t="shared" si="7"/>
        <v>0</v>
      </c>
      <c r="U101" s="179"/>
      <c r="V101" s="180"/>
      <c r="W101" s="179"/>
      <c r="X101" s="180"/>
      <c r="Y101" s="179"/>
      <c r="Z101" s="179">
        <v>0</v>
      </c>
      <c r="AA101" s="179"/>
      <c r="AB101" s="180"/>
      <c r="AC101" s="180"/>
      <c r="AD101" s="180"/>
      <c r="AE101" s="179"/>
      <c r="AF101" s="256"/>
    </row>
    <row r="102" spans="1:32" s="223" customFormat="1" ht="15" customHeight="1">
      <c r="A102" s="155" t="s">
        <v>351</v>
      </c>
      <c r="B102" s="155" t="s">
        <v>367</v>
      </c>
      <c r="C102" s="24">
        <v>133702</v>
      </c>
      <c r="D102" s="208">
        <v>8</v>
      </c>
      <c r="E102" s="178">
        <f t="shared" si="4"/>
        <v>444369</v>
      </c>
      <c r="F102" s="195">
        <f t="shared" si="5"/>
        <v>455263</v>
      </c>
      <c r="G102" s="186">
        <v>364525</v>
      </c>
      <c r="H102" s="228">
        <v>339081</v>
      </c>
      <c r="I102" s="186">
        <v>0</v>
      </c>
      <c r="J102" s="228">
        <v>17740</v>
      </c>
      <c r="K102" s="186">
        <v>61265</v>
      </c>
      <c r="L102" s="186">
        <v>0</v>
      </c>
      <c r="M102" s="186">
        <v>18067</v>
      </c>
      <c r="N102" s="228">
        <v>80577</v>
      </c>
      <c r="O102" s="228">
        <v>0</v>
      </c>
      <c r="P102" s="228">
        <v>17865</v>
      </c>
      <c r="Q102" s="186">
        <v>512</v>
      </c>
      <c r="R102" s="228">
        <v>0</v>
      </c>
      <c r="S102" s="178">
        <f t="shared" si="6"/>
        <v>0</v>
      </c>
      <c r="T102" s="195">
        <f t="shared" si="7"/>
        <v>0</v>
      </c>
      <c r="U102" s="179"/>
      <c r="V102" s="180"/>
      <c r="W102" s="179"/>
      <c r="X102" s="180"/>
      <c r="Y102" s="179"/>
      <c r="Z102" s="179">
        <v>0</v>
      </c>
      <c r="AA102" s="179"/>
      <c r="AB102" s="180"/>
      <c r="AC102" s="180"/>
      <c r="AD102" s="180"/>
      <c r="AE102" s="179"/>
      <c r="AF102" s="256"/>
    </row>
    <row r="103" spans="1:32" s="223" customFormat="1" ht="15" customHeight="1">
      <c r="A103" s="155" t="s">
        <v>351</v>
      </c>
      <c r="B103" s="155" t="s">
        <v>368</v>
      </c>
      <c r="C103" s="24">
        <v>134495</v>
      </c>
      <c r="D103" s="208">
        <v>8</v>
      </c>
      <c r="E103" s="178">
        <f t="shared" si="4"/>
        <v>415696</v>
      </c>
      <c r="F103" s="195">
        <f t="shared" si="5"/>
        <v>436162</v>
      </c>
      <c r="G103" s="186">
        <v>397380</v>
      </c>
      <c r="H103" s="228">
        <v>395193</v>
      </c>
      <c r="I103" s="186">
        <v>0</v>
      </c>
      <c r="J103" s="228">
        <v>17304</v>
      </c>
      <c r="K103" s="186">
        <v>7827</v>
      </c>
      <c r="L103" s="186">
        <v>0</v>
      </c>
      <c r="M103" s="186">
        <v>10237</v>
      </c>
      <c r="N103" s="228">
        <v>12236</v>
      </c>
      <c r="O103" s="228">
        <v>0</v>
      </c>
      <c r="P103" s="228">
        <v>11201</v>
      </c>
      <c r="Q103" s="186">
        <v>252</v>
      </c>
      <c r="R103" s="228">
        <v>228</v>
      </c>
      <c r="S103" s="178">
        <f t="shared" si="6"/>
        <v>0</v>
      </c>
      <c r="T103" s="195">
        <f t="shared" si="7"/>
        <v>0</v>
      </c>
      <c r="U103" s="179"/>
      <c r="V103" s="180"/>
      <c r="W103" s="179"/>
      <c r="X103" s="180"/>
      <c r="Y103" s="179"/>
      <c r="Z103" s="179">
        <v>0</v>
      </c>
      <c r="AA103" s="179"/>
      <c r="AB103" s="180"/>
      <c r="AC103" s="180"/>
      <c r="AD103" s="180"/>
      <c r="AE103" s="179"/>
      <c r="AF103" s="256"/>
    </row>
    <row r="104" spans="1:32" s="223" customFormat="1" ht="15" customHeight="1">
      <c r="A104" s="155" t="s">
        <v>351</v>
      </c>
      <c r="B104" s="155" t="s">
        <v>369</v>
      </c>
      <c r="C104" s="24">
        <v>134608</v>
      </c>
      <c r="D104" s="208">
        <v>8</v>
      </c>
      <c r="E104" s="178">
        <f t="shared" si="4"/>
        <v>205894</v>
      </c>
      <c r="F104" s="195">
        <f t="shared" si="5"/>
        <v>209853</v>
      </c>
      <c r="G104" s="186">
        <v>183683</v>
      </c>
      <c r="H104" s="228">
        <v>168626</v>
      </c>
      <c r="I104" s="186">
        <v>0</v>
      </c>
      <c r="J104" s="228">
        <v>14234</v>
      </c>
      <c r="K104" s="186">
        <v>16596</v>
      </c>
      <c r="L104" s="186">
        <v>5225</v>
      </c>
      <c r="M104" s="186">
        <v>390</v>
      </c>
      <c r="N104" s="228">
        <v>21012</v>
      </c>
      <c r="O104" s="228">
        <v>5744</v>
      </c>
      <c r="P104" s="228">
        <v>237</v>
      </c>
      <c r="Q104" s="186">
        <v>0</v>
      </c>
      <c r="R104" s="228">
        <v>0</v>
      </c>
      <c r="S104" s="178">
        <f t="shared" si="6"/>
        <v>0</v>
      </c>
      <c r="T104" s="195">
        <f t="shared" si="7"/>
        <v>0</v>
      </c>
      <c r="U104" s="179"/>
      <c r="V104" s="180"/>
      <c r="W104" s="179"/>
      <c r="X104" s="180"/>
      <c r="Y104" s="179"/>
      <c r="Z104" s="179">
        <v>0</v>
      </c>
      <c r="AA104" s="179"/>
      <c r="AB104" s="180"/>
      <c r="AC104" s="180"/>
      <c r="AD104" s="180"/>
      <c r="AE104" s="179"/>
      <c r="AF104" s="256"/>
    </row>
    <row r="105" spans="1:32" s="223" customFormat="1" ht="15" customHeight="1">
      <c r="A105" s="155" t="s">
        <v>351</v>
      </c>
      <c r="B105" s="155" t="s">
        <v>370</v>
      </c>
      <c r="C105" s="24">
        <v>135391</v>
      </c>
      <c r="D105" s="208">
        <v>8</v>
      </c>
      <c r="E105" s="178">
        <f t="shared" si="4"/>
        <v>186798</v>
      </c>
      <c r="F105" s="195">
        <f t="shared" si="5"/>
        <v>192410</v>
      </c>
      <c r="G105" s="186">
        <v>175404</v>
      </c>
      <c r="H105" s="228">
        <v>170409</v>
      </c>
      <c r="I105" s="186">
        <v>0</v>
      </c>
      <c r="J105" s="228">
        <v>6668</v>
      </c>
      <c r="K105" s="186">
        <v>7292</v>
      </c>
      <c r="L105" s="186">
        <v>820</v>
      </c>
      <c r="M105" s="186">
        <v>3282</v>
      </c>
      <c r="N105" s="228">
        <v>9803</v>
      </c>
      <c r="O105" s="228">
        <v>1186</v>
      </c>
      <c r="P105" s="228">
        <v>4344</v>
      </c>
      <c r="Q105" s="186">
        <v>0</v>
      </c>
      <c r="R105" s="228">
        <v>0</v>
      </c>
      <c r="S105" s="178">
        <f t="shared" si="6"/>
        <v>0</v>
      </c>
      <c r="T105" s="195">
        <f t="shared" si="7"/>
        <v>0</v>
      </c>
      <c r="U105" s="179"/>
      <c r="V105" s="180"/>
      <c r="W105" s="179"/>
      <c r="X105" s="180"/>
      <c r="Y105" s="179"/>
      <c r="Z105" s="179">
        <v>0</v>
      </c>
      <c r="AA105" s="179"/>
      <c r="AB105" s="180"/>
      <c r="AC105" s="180"/>
      <c r="AD105" s="180"/>
      <c r="AE105" s="179"/>
      <c r="AF105" s="256"/>
    </row>
    <row r="106" spans="1:32" s="223" customFormat="1" ht="15" customHeight="1">
      <c r="A106" s="155" t="s">
        <v>351</v>
      </c>
      <c r="B106" s="155" t="s">
        <v>371</v>
      </c>
      <c r="C106" s="24">
        <v>135717</v>
      </c>
      <c r="D106" s="208">
        <v>8</v>
      </c>
      <c r="E106" s="178">
        <f t="shared" si="4"/>
        <v>1355445</v>
      </c>
      <c r="F106" s="195">
        <f t="shared" si="5"/>
        <v>1361809</v>
      </c>
      <c r="G106" s="186">
        <v>1324343</v>
      </c>
      <c r="H106" s="228">
        <v>1293471</v>
      </c>
      <c r="I106" s="186">
        <v>0</v>
      </c>
      <c r="J106" s="228">
        <v>27854</v>
      </c>
      <c r="K106" s="186">
        <v>16333</v>
      </c>
      <c r="L106" s="186">
        <v>0</v>
      </c>
      <c r="M106" s="186">
        <v>555</v>
      </c>
      <c r="N106" s="228">
        <v>25187</v>
      </c>
      <c r="O106" s="228">
        <v>0</v>
      </c>
      <c r="P106" s="228">
        <v>0</v>
      </c>
      <c r="Q106" s="186">
        <v>14214</v>
      </c>
      <c r="R106" s="228">
        <v>15297</v>
      </c>
      <c r="S106" s="178">
        <f t="shared" si="6"/>
        <v>0</v>
      </c>
      <c r="T106" s="195">
        <f t="shared" si="7"/>
        <v>0</v>
      </c>
      <c r="U106" s="179"/>
      <c r="V106" s="180"/>
      <c r="W106" s="179"/>
      <c r="X106" s="180"/>
      <c r="Y106" s="179"/>
      <c r="Z106" s="179">
        <v>0</v>
      </c>
      <c r="AA106" s="179"/>
      <c r="AB106" s="180"/>
      <c r="AC106" s="180"/>
      <c r="AD106" s="180"/>
      <c r="AE106" s="179"/>
      <c r="AF106" s="256"/>
    </row>
    <row r="107" spans="1:32" s="223" customFormat="1" ht="15" customHeight="1">
      <c r="A107" s="155" t="s">
        <v>351</v>
      </c>
      <c r="B107" s="155" t="s">
        <v>372</v>
      </c>
      <c r="C107" s="24">
        <v>136358</v>
      </c>
      <c r="D107" s="208">
        <v>8</v>
      </c>
      <c r="E107" s="178">
        <f t="shared" si="4"/>
        <v>387019</v>
      </c>
      <c r="F107" s="195">
        <f t="shared" si="5"/>
        <v>398865</v>
      </c>
      <c r="G107" s="186">
        <v>365560</v>
      </c>
      <c r="H107" s="228">
        <v>357038</v>
      </c>
      <c r="I107" s="186">
        <v>0</v>
      </c>
      <c r="J107" s="228">
        <v>15304</v>
      </c>
      <c r="K107" s="186">
        <v>10786</v>
      </c>
      <c r="L107" s="186">
        <v>957</v>
      </c>
      <c r="M107" s="186">
        <v>7015</v>
      </c>
      <c r="N107" s="228">
        <v>15295</v>
      </c>
      <c r="O107" s="228">
        <v>711</v>
      </c>
      <c r="P107" s="228">
        <v>6499</v>
      </c>
      <c r="Q107" s="186">
        <v>2701</v>
      </c>
      <c r="R107" s="228">
        <v>4018</v>
      </c>
      <c r="S107" s="178">
        <f t="shared" si="6"/>
        <v>0</v>
      </c>
      <c r="T107" s="195">
        <f t="shared" si="7"/>
        <v>0</v>
      </c>
      <c r="U107" s="179"/>
      <c r="V107" s="180"/>
      <c r="W107" s="179"/>
      <c r="X107" s="180"/>
      <c r="Y107" s="179"/>
      <c r="Z107" s="179">
        <v>0</v>
      </c>
      <c r="AA107" s="179"/>
      <c r="AB107" s="180"/>
      <c r="AC107" s="180"/>
      <c r="AD107" s="180"/>
      <c r="AE107" s="179"/>
      <c r="AF107" s="256"/>
    </row>
    <row r="108" spans="1:32" s="223" customFormat="1" ht="15" customHeight="1">
      <c r="A108" s="155" t="s">
        <v>351</v>
      </c>
      <c r="B108" s="155" t="s">
        <v>373</v>
      </c>
      <c r="C108" s="24">
        <v>136473</v>
      </c>
      <c r="D108" s="208">
        <v>8</v>
      </c>
      <c r="E108" s="178">
        <f t="shared" si="4"/>
        <v>214237</v>
      </c>
      <c r="F108" s="195">
        <f t="shared" si="5"/>
        <v>215884</v>
      </c>
      <c r="G108" s="186">
        <v>203540</v>
      </c>
      <c r="H108" s="228">
        <v>188824</v>
      </c>
      <c r="I108" s="186">
        <v>0</v>
      </c>
      <c r="J108" s="228">
        <v>14650</v>
      </c>
      <c r="K108" s="186">
        <v>7156</v>
      </c>
      <c r="L108" s="186">
        <v>0</v>
      </c>
      <c r="M108" s="186">
        <v>3541</v>
      </c>
      <c r="N108" s="228">
        <v>8873</v>
      </c>
      <c r="O108" s="228">
        <v>0</v>
      </c>
      <c r="P108" s="228">
        <v>3537</v>
      </c>
      <c r="Q108" s="186">
        <v>0</v>
      </c>
      <c r="R108" s="228">
        <v>0</v>
      </c>
      <c r="S108" s="178">
        <f t="shared" si="6"/>
        <v>0</v>
      </c>
      <c r="T108" s="195">
        <f t="shared" si="7"/>
        <v>0</v>
      </c>
      <c r="U108" s="179"/>
      <c r="V108" s="180"/>
      <c r="W108" s="179"/>
      <c r="X108" s="180"/>
      <c r="Y108" s="179"/>
      <c r="Z108" s="179">
        <v>0</v>
      </c>
      <c r="AA108" s="179"/>
      <c r="AB108" s="180"/>
      <c r="AC108" s="180"/>
      <c r="AD108" s="180"/>
      <c r="AE108" s="179"/>
      <c r="AF108" s="256"/>
    </row>
    <row r="109" spans="1:32" s="223" customFormat="1" ht="15" customHeight="1">
      <c r="A109" s="155" t="s">
        <v>351</v>
      </c>
      <c r="B109" s="155" t="s">
        <v>374</v>
      </c>
      <c r="C109" s="24">
        <v>137096</v>
      </c>
      <c r="D109" s="208">
        <v>8</v>
      </c>
      <c r="E109" s="178">
        <f t="shared" si="4"/>
        <v>315389</v>
      </c>
      <c r="F109" s="195">
        <f t="shared" si="5"/>
        <v>317730</v>
      </c>
      <c r="G109" s="186">
        <v>306416</v>
      </c>
      <c r="H109" s="228">
        <v>295583</v>
      </c>
      <c r="I109" s="186">
        <v>0</v>
      </c>
      <c r="J109" s="228">
        <v>3555</v>
      </c>
      <c r="K109" s="186">
        <v>7931</v>
      </c>
      <c r="L109" s="186">
        <v>462</v>
      </c>
      <c r="M109" s="186">
        <v>570</v>
      </c>
      <c r="N109" s="228">
        <v>15840</v>
      </c>
      <c r="O109" s="228">
        <v>417</v>
      </c>
      <c r="P109" s="228">
        <v>2335</v>
      </c>
      <c r="Q109" s="186">
        <v>10</v>
      </c>
      <c r="R109" s="228">
        <v>0</v>
      </c>
      <c r="S109" s="178">
        <f t="shared" si="6"/>
        <v>0</v>
      </c>
      <c r="T109" s="195">
        <f t="shared" si="7"/>
        <v>0</v>
      </c>
      <c r="U109" s="179"/>
      <c r="V109" s="180"/>
      <c r="W109" s="179"/>
      <c r="X109" s="180"/>
      <c r="Y109" s="179"/>
      <c r="Z109" s="179">
        <v>0</v>
      </c>
      <c r="AA109" s="179"/>
      <c r="AB109" s="180"/>
      <c r="AC109" s="180"/>
      <c r="AD109" s="180"/>
      <c r="AE109" s="179"/>
      <c r="AF109" s="256"/>
    </row>
    <row r="110" spans="1:32" s="223" customFormat="1" ht="15" customHeight="1">
      <c r="A110" s="155" t="s">
        <v>351</v>
      </c>
      <c r="B110" s="155" t="s">
        <v>375</v>
      </c>
      <c r="C110" s="24">
        <v>137209</v>
      </c>
      <c r="D110" s="208">
        <v>8</v>
      </c>
      <c r="E110" s="178">
        <f t="shared" si="4"/>
        <v>238217</v>
      </c>
      <c r="F110" s="195">
        <f t="shared" si="5"/>
        <v>244228</v>
      </c>
      <c r="G110" s="186">
        <v>216541</v>
      </c>
      <c r="H110" s="228">
        <v>218600</v>
      </c>
      <c r="I110" s="186">
        <v>0</v>
      </c>
      <c r="J110" s="228">
        <v>2007</v>
      </c>
      <c r="K110" s="186">
        <v>13936</v>
      </c>
      <c r="L110" s="186">
        <v>90</v>
      </c>
      <c r="M110" s="186">
        <v>7650</v>
      </c>
      <c r="N110" s="228">
        <v>17195</v>
      </c>
      <c r="O110" s="228">
        <v>42</v>
      </c>
      <c r="P110" s="228">
        <v>6384</v>
      </c>
      <c r="Q110" s="186">
        <v>0</v>
      </c>
      <c r="R110" s="228">
        <v>0</v>
      </c>
      <c r="S110" s="178">
        <f t="shared" si="6"/>
        <v>0</v>
      </c>
      <c r="T110" s="195">
        <f t="shared" si="7"/>
        <v>0</v>
      </c>
      <c r="U110" s="179"/>
      <c r="V110" s="180"/>
      <c r="W110" s="179"/>
      <c r="X110" s="180"/>
      <c r="Y110" s="179"/>
      <c r="Z110" s="179">
        <v>0</v>
      </c>
      <c r="AA110" s="179"/>
      <c r="AB110" s="180"/>
      <c r="AC110" s="180"/>
      <c r="AD110" s="180"/>
      <c r="AE110" s="179"/>
      <c r="AF110" s="256"/>
    </row>
    <row r="111" spans="1:32" s="223" customFormat="1" ht="15" customHeight="1">
      <c r="A111" s="155" t="s">
        <v>351</v>
      </c>
      <c r="B111" s="155" t="s">
        <v>376</v>
      </c>
      <c r="C111" s="24">
        <v>137078</v>
      </c>
      <c r="D111" s="208">
        <v>8</v>
      </c>
      <c r="E111" s="178">
        <f t="shared" si="4"/>
        <v>460723</v>
      </c>
      <c r="F111" s="195">
        <f t="shared" si="5"/>
        <v>474161</v>
      </c>
      <c r="G111" s="186">
        <v>371445</v>
      </c>
      <c r="H111" s="228">
        <v>363101</v>
      </c>
      <c r="I111" s="186">
        <v>0</v>
      </c>
      <c r="J111" s="228">
        <v>10984</v>
      </c>
      <c r="K111" s="186">
        <v>74588</v>
      </c>
      <c r="L111" s="186">
        <v>0</v>
      </c>
      <c r="M111" s="186">
        <v>13948</v>
      </c>
      <c r="N111" s="228">
        <v>87828</v>
      </c>
      <c r="O111" s="228">
        <v>0</v>
      </c>
      <c r="P111" s="228">
        <v>9848</v>
      </c>
      <c r="Q111" s="186">
        <v>742</v>
      </c>
      <c r="R111" s="228">
        <v>2400</v>
      </c>
      <c r="S111" s="178">
        <f t="shared" si="6"/>
        <v>0</v>
      </c>
      <c r="T111" s="195">
        <f t="shared" si="7"/>
        <v>0</v>
      </c>
      <c r="U111" s="179"/>
      <c r="V111" s="180"/>
      <c r="W111" s="179"/>
      <c r="X111" s="180"/>
      <c r="Y111" s="179"/>
      <c r="Z111" s="179">
        <v>0</v>
      </c>
      <c r="AA111" s="179"/>
      <c r="AB111" s="180"/>
      <c r="AC111" s="180"/>
      <c r="AD111" s="180"/>
      <c r="AE111" s="179"/>
      <c r="AF111" s="256"/>
    </row>
    <row r="112" spans="1:32" s="223" customFormat="1" ht="15" customHeight="1">
      <c r="A112" s="155" t="s">
        <v>351</v>
      </c>
      <c r="B112" s="155" t="s">
        <v>377</v>
      </c>
      <c r="C112" s="24">
        <v>137759</v>
      </c>
      <c r="D112" s="208">
        <v>8</v>
      </c>
      <c r="E112" s="178">
        <f t="shared" si="4"/>
        <v>261858</v>
      </c>
      <c r="F112" s="195">
        <f t="shared" si="5"/>
        <v>277600</v>
      </c>
      <c r="G112" s="186">
        <v>245174</v>
      </c>
      <c r="H112" s="228">
        <v>250605</v>
      </c>
      <c r="I112" s="186">
        <v>0</v>
      </c>
      <c r="J112" s="228">
        <v>8298</v>
      </c>
      <c r="K112" s="186">
        <v>14541</v>
      </c>
      <c r="L112" s="186">
        <v>0</v>
      </c>
      <c r="M112" s="186">
        <v>2143</v>
      </c>
      <c r="N112" s="228">
        <v>16574</v>
      </c>
      <c r="O112" s="228">
        <v>0</v>
      </c>
      <c r="P112" s="228">
        <v>2123</v>
      </c>
      <c r="Q112" s="186">
        <v>0</v>
      </c>
      <c r="R112" s="228">
        <v>0</v>
      </c>
      <c r="S112" s="178">
        <f t="shared" si="6"/>
        <v>0</v>
      </c>
      <c r="T112" s="195">
        <f t="shared" si="7"/>
        <v>0</v>
      </c>
      <c r="U112" s="179"/>
      <c r="V112" s="180"/>
      <c r="W112" s="179"/>
      <c r="X112" s="180"/>
      <c r="Y112" s="179"/>
      <c r="Z112" s="179">
        <v>0</v>
      </c>
      <c r="AA112" s="179"/>
      <c r="AB112" s="180"/>
      <c r="AC112" s="180"/>
      <c r="AD112" s="180"/>
      <c r="AE112" s="179"/>
      <c r="AF112" s="256"/>
    </row>
    <row r="113" spans="1:32" s="223" customFormat="1" ht="15" customHeight="1">
      <c r="A113" s="155" t="s">
        <v>351</v>
      </c>
      <c r="B113" s="155" t="s">
        <v>378</v>
      </c>
      <c r="C113" s="24">
        <v>138187</v>
      </c>
      <c r="D113" s="208">
        <v>8</v>
      </c>
      <c r="E113" s="178">
        <f t="shared" si="4"/>
        <v>614513</v>
      </c>
      <c r="F113" s="195">
        <f t="shared" si="5"/>
        <v>621878</v>
      </c>
      <c r="G113" s="186">
        <v>582108</v>
      </c>
      <c r="H113" s="228">
        <v>580306</v>
      </c>
      <c r="I113" s="186">
        <v>0</v>
      </c>
      <c r="J113" s="228">
        <v>0</v>
      </c>
      <c r="K113" s="186">
        <v>19868</v>
      </c>
      <c r="L113" s="186">
        <v>0</v>
      </c>
      <c r="M113" s="186">
        <v>12537</v>
      </c>
      <c r="N113" s="228">
        <v>24812</v>
      </c>
      <c r="O113" s="228">
        <v>0</v>
      </c>
      <c r="P113" s="228">
        <v>16760</v>
      </c>
      <c r="Q113" s="186">
        <v>0</v>
      </c>
      <c r="R113" s="228">
        <v>0</v>
      </c>
      <c r="S113" s="178">
        <f t="shared" si="6"/>
        <v>0</v>
      </c>
      <c r="T113" s="195">
        <f t="shared" si="7"/>
        <v>0</v>
      </c>
      <c r="U113" s="179"/>
      <c r="V113" s="180"/>
      <c r="W113" s="179"/>
      <c r="X113" s="180"/>
      <c r="Y113" s="179"/>
      <c r="Z113" s="179">
        <v>0</v>
      </c>
      <c r="AA113" s="179"/>
      <c r="AB113" s="180"/>
      <c r="AC113" s="180"/>
      <c r="AD113" s="180"/>
      <c r="AE113" s="179"/>
      <c r="AF113" s="256"/>
    </row>
    <row r="114" spans="1:32" s="223" customFormat="1" ht="15" customHeight="1">
      <c r="A114" s="155" t="s">
        <v>351</v>
      </c>
      <c r="B114" s="155" t="s">
        <v>379</v>
      </c>
      <c r="C114" s="24">
        <v>132851</v>
      </c>
      <c r="D114" s="208">
        <v>9</v>
      </c>
      <c r="E114" s="178">
        <f t="shared" si="4"/>
        <v>118149</v>
      </c>
      <c r="F114" s="195">
        <f t="shared" si="5"/>
        <v>115202</v>
      </c>
      <c r="G114" s="186">
        <v>111388</v>
      </c>
      <c r="H114" s="228">
        <v>105029</v>
      </c>
      <c r="I114" s="186">
        <v>0</v>
      </c>
      <c r="J114" s="228">
        <v>0</v>
      </c>
      <c r="K114" s="186">
        <v>5600</v>
      </c>
      <c r="L114" s="186">
        <v>45</v>
      </c>
      <c r="M114" s="186">
        <v>1116</v>
      </c>
      <c r="N114" s="228">
        <v>7640</v>
      </c>
      <c r="O114" s="228">
        <v>168</v>
      </c>
      <c r="P114" s="228">
        <v>2365</v>
      </c>
      <c r="Q114" s="186">
        <v>0</v>
      </c>
      <c r="R114" s="228">
        <v>0</v>
      </c>
      <c r="S114" s="178">
        <f t="shared" si="6"/>
        <v>0</v>
      </c>
      <c r="T114" s="195">
        <f t="shared" si="7"/>
        <v>0</v>
      </c>
      <c r="U114" s="179"/>
      <c r="V114" s="180"/>
      <c r="W114" s="179"/>
      <c r="X114" s="180"/>
      <c r="Y114" s="179"/>
      <c r="Z114" s="179">
        <v>0</v>
      </c>
      <c r="AA114" s="179"/>
      <c r="AB114" s="180"/>
      <c r="AC114" s="180"/>
      <c r="AD114" s="180"/>
      <c r="AE114" s="179"/>
      <c r="AF114" s="256"/>
    </row>
    <row r="115" spans="1:32" s="223" customFormat="1" ht="15" customHeight="1">
      <c r="A115" s="155" t="s">
        <v>351</v>
      </c>
      <c r="B115" s="155" t="s">
        <v>380</v>
      </c>
      <c r="C115" s="24">
        <v>134343</v>
      </c>
      <c r="D115" s="208">
        <v>9</v>
      </c>
      <c r="E115" s="178">
        <f t="shared" si="4"/>
        <v>121846</v>
      </c>
      <c r="F115" s="195">
        <f t="shared" si="5"/>
        <v>123954</v>
      </c>
      <c r="G115" s="186">
        <v>107158</v>
      </c>
      <c r="H115" s="228">
        <v>93988</v>
      </c>
      <c r="I115" s="186">
        <v>0</v>
      </c>
      <c r="J115" s="228">
        <v>12190</v>
      </c>
      <c r="K115" s="186">
        <v>5117</v>
      </c>
      <c r="L115" s="186">
        <v>166</v>
      </c>
      <c r="M115" s="186">
        <v>9060</v>
      </c>
      <c r="N115" s="228">
        <v>6786</v>
      </c>
      <c r="O115" s="228">
        <v>2085</v>
      </c>
      <c r="P115" s="228">
        <v>8704</v>
      </c>
      <c r="Q115" s="186">
        <v>345</v>
      </c>
      <c r="R115" s="228">
        <v>201</v>
      </c>
      <c r="S115" s="178">
        <f t="shared" si="6"/>
        <v>0</v>
      </c>
      <c r="T115" s="195">
        <f t="shared" si="7"/>
        <v>0</v>
      </c>
      <c r="U115" s="179"/>
      <c r="V115" s="180"/>
      <c r="W115" s="179"/>
      <c r="X115" s="180"/>
      <c r="Y115" s="179"/>
      <c r="Z115" s="179">
        <v>0</v>
      </c>
      <c r="AA115" s="179"/>
      <c r="AB115" s="180"/>
      <c r="AC115" s="180"/>
      <c r="AD115" s="180"/>
      <c r="AE115" s="179"/>
      <c r="AF115" s="256"/>
    </row>
    <row r="116" spans="1:32" s="223" customFormat="1" ht="15" customHeight="1">
      <c r="A116" s="155" t="s">
        <v>351</v>
      </c>
      <c r="B116" s="155" t="s">
        <v>388</v>
      </c>
      <c r="C116" s="24">
        <v>135160</v>
      </c>
      <c r="D116" s="208">
        <v>9</v>
      </c>
      <c r="E116" s="178">
        <f t="shared" si="4"/>
        <v>50293</v>
      </c>
      <c r="F116" s="195">
        <f t="shared" si="5"/>
        <v>52371</v>
      </c>
      <c r="G116" s="186">
        <v>43395</v>
      </c>
      <c r="H116" s="228">
        <v>36718</v>
      </c>
      <c r="I116" s="186">
        <v>0</v>
      </c>
      <c r="J116" s="228">
        <v>3151</v>
      </c>
      <c r="K116" s="186">
        <v>4650</v>
      </c>
      <c r="L116" s="186">
        <v>1381</v>
      </c>
      <c r="M116" s="186">
        <v>867</v>
      </c>
      <c r="N116" s="228">
        <v>10475</v>
      </c>
      <c r="O116" s="228">
        <v>1302</v>
      </c>
      <c r="P116" s="228">
        <v>725</v>
      </c>
      <c r="Q116" s="186">
        <v>0</v>
      </c>
      <c r="R116" s="228">
        <v>0</v>
      </c>
      <c r="S116" s="178">
        <f t="shared" si="6"/>
        <v>0</v>
      </c>
      <c r="T116" s="195">
        <f t="shared" si="7"/>
        <v>0</v>
      </c>
      <c r="U116" s="179"/>
      <c r="V116" s="180"/>
      <c r="W116" s="179"/>
      <c r="X116" s="180"/>
      <c r="Y116" s="179"/>
      <c r="Z116" s="179">
        <v>0</v>
      </c>
      <c r="AA116" s="179"/>
      <c r="AB116" s="180"/>
      <c r="AC116" s="180"/>
      <c r="AD116" s="180"/>
      <c r="AE116" s="179"/>
      <c r="AF116" s="256"/>
    </row>
    <row r="117" spans="1:32" s="223" customFormat="1" ht="15" customHeight="1">
      <c r="A117" s="155" t="s">
        <v>351</v>
      </c>
      <c r="B117" s="155" t="s">
        <v>389</v>
      </c>
      <c r="C117" s="24">
        <v>135188</v>
      </c>
      <c r="D117" s="208">
        <v>9</v>
      </c>
      <c r="E117" s="178">
        <f t="shared" si="4"/>
        <v>61246</v>
      </c>
      <c r="F117" s="195">
        <f t="shared" si="5"/>
        <v>66325</v>
      </c>
      <c r="G117" s="186">
        <v>57971</v>
      </c>
      <c r="H117" s="228">
        <v>61457</v>
      </c>
      <c r="I117" s="186">
        <v>0</v>
      </c>
      <c r="J117" s="228">
        <v>1654</v>
      </c>
      <c r="K117" s="186">
        <v>2009</v>
      </c>
      <c r="L117" s="186">
        <v>0</v>
      </c>
      <c r="M117" s="186">
        <v>1266</v>
      </c>
      <c r="N117" s="228">
        <v>1954</v>
      </c>
      <c r="O117" s="228">
        <v>0</v>
      </c>
      <c r="P117" s="228">
        <v>1260</v>
      </c>
      <c r="Q117" s="186">
        <v>0</v>
      </c>
      <c r="R117" s="228">
        <v>0</v>
      </c>
      <c r="S117" s="178">
        <f t="shared" si="6"/>
        <v>0</v>
      </c>
      <c r="T117" s="195">
        <f t="shared" si="7"/>
        <v>0</v>
      </c>
      <c r="U117" s="179"/>
      <c r="V117" s="180"/>
      <c r="W117" s="179"/>
      <c r="X117" s="180"/>
      <c r="Y117" s="179"/>
      <c r="Z117" s="179">
        <v>0</v>
      </c>
      <c r="AA117" s="179"/>
      <c r="AB117" s="180"/>
      <c r="AC117" s="180"/>
      <c r="AD117" s="180"/>
      <c r="AE117" s="179"/>
      <c r="AF117" s="256"/>
    </row>
    <row r="118" spans="1:32" s="223" customFormat="1" ht="15" customHeight="1">
      <c r="A118" s="155" t="s">
        <v>351</v>
      </c>
      <c r="B118" s="155" t="s">
        <v>381</v>
      </c>
      <c r="C118" s="24">
        <v>136233</v>
      </c>
      <c r="D118" s="208">
        <v>9</v>
      </c>
      <c r="E118" s="178">
        <f t="shared" si="4"/>
        <v>140888</v>
      </c>
      <c r="F118" s="195">
        <f t="shared" si="5"/>
        <v>138646</v>
      </c>
      <c r="G118" s="186">
        <v>122235</v>
      </c>
      <c r="H118" s="228">
        <v>101392</v>
      </c>
      <c r="I118" s="186">
        <v>0</v>
      </c>
      <c r="J118" s="228">
        <v>18337</v>
      </c>
      <c r="K118" s="186">
        <v>7516</v>
      </c>
      <c r="L118" s="186">
        <v>0</v>
      </c>
      <c r="M118" s="186">
        <v>0</v>
      </c>
      <c r="N118" s="228">
        <v>7123</v>
      </c>
      <c r="O118" s="228">
        <v>0</v>
      </c>
      <c r="P118" s="228">
        <v>0</v>
      </c>
      <c r="Q118" s="186">
        <v>11137</v>
      </c>
      <c r="R118" s="228">
        <v>11794</v>
      </c>
      <c r="S118" s="178">
        <f t="shared" si="6"/>
        <v>0</v>
      </c>
      <c r="T118" s="195">
        <f t="shared" si="7"/>
        <v>0</v>
      </c>
      <c r="U118" s="179"/>
      <c r="V118" s="180"/>
      <c r="W118" s="179"/>
      <c r="X118" s="180"/>
      <c r="Y118" s="179"/>
      <c r="Z118" s="179">
        <v>0</v>
      </c>
      <c r="AA118" s="179"/>
      <c r="AB118" s="180"/>
      <c r="AC118" s="180"/>
      <c r="AD118" s="180"/>
      <c r="AE118" s="179"/>
      <c r="AF118" s="256"/>
    </row>
    <row r="119" spans="1:32" s="223" customFormat="1" ht="15" customHeight="1">
      <c r="A119" s="155" t="s">
        <v>351</v>
      </c>
      <c r="B119" s="155" t="s">
        <v>382</v>
      </c>
      <c r="C119" s="24">
        <v>136400</v>
      </c>
      <c r="D119" s="208">
        <v>9</v>
      </c>
      <c r="E119" s="178">
        <f t="shared" si="4"/>
        <v>121137</v>
      </c>
      <c r="F119" s="195">
        <f t="shared" si="5"/>
        <v>129314</v>
      </c>
      <c r="G119" s="186">
        <v>110373</v>
      </c>
      <c r="H119" s="228">
        <v>107458</v>
      </c>
      <c r="I119" s="186">
        <v>0</v>
      </c>
      <c r="J119" s="228">
        <v>105</v>
      </c>
      <c r="K119" s="186">
        <v>2040</v>
      </c>
      <c r="L119" s="186">
        <v>369</v>
      </c>
      <c r="M119" s="186">
        <v>8355</v>
      </c>
      <c r="N119" s="228">
        <v>3058</v>
      </c>
      <c r="O119" s="228">
        <v>630</v>
      </c>
      <c r="P119" s="228">
        <v>18063</v>
      </c>
      <c r="Q119" s="186">
        <v>0</v>
      </c>
      <c r="R119" s="228">
        <v>0</v>
      </c>
      <c r="S119" s="178">
        <f t="shared" si="6"/>
        <v>0</v>
      </c>
      <c r="T119" s="195">
        <f t="shared" si="7"/>
        <v>0</v>
      </c>
      <c r="U119" s="179"/>
      <c r="V119" s="180"/>
      <c r="W119" s="179"/>
      <c r="X119" s="180"/>
      <c r="Y119" s="179"/>
      <c r="Z119" s="179">
        <v>0</v>
      </c>
      <c r="AA119" s="179"/>
      <c r="AB119" s="180"/>
      <c r="AC119" s="180"/>
      <c r="AD119" s="180"/>
      <c r="AE119" s="179"/>
      <c r="AF119" s="256"/>
    </row>
    <row r="120" spans="1:32" s="223" customFormat="1" ht="15" customHeight="1">
      <c r="A120" s="155" t="s">
        <v>351</v>
      </c>
      <c r="B120" s="155" t="s">
        <v>383</v>
      </c>
      <c r="C120" s="24">
        <v>136516</v>
      </c>
      <c r="D120" s="208">
        <v>9</v>
      </c>
      <c r="E120" s="178">
        <f t="shared" si="4"/>
        <v>127472</v>
      </c>
      <c r="F120" s="195">
        <f t="shared" si="5"/>
        <v>128631</v>
      </c>
      <c r="G120" s="186">
        <v>121457</v>
      </c>
      <c r="H120" s="228">
        <v>122035</v>
      </c>
      <c r="I120" s="186">
        <v>0</v>
      </c>
      <c r="J120" s="228">
        <v>541</v>
      </c>
      <c r="K120" s="186">
        <v>4593</v>
      </c>
      <c r="L120" s="186">
        <v>0</v>
      </c>
      <c r="M120" s="186">
        <v>1422</v>
      </c>
      <c r="N120" s="228">
        <v>5158</v>
      </c>
      <c r="O120" s="228">
        <v>0</v>
      </c>
      <c r="P120" s="228">
        <v>897</v>
      </c>
      <c r="Q120" s="186">
        <v>0</v>
      </c>
      <c r="R120" s="228">
        <v>0</v>
      </c>
      <c r="S120" s="178">
        <f t="shared" si="6"/>
        <v>0</v>
      </c>
      <c r="T120" s="195">
        <f t="shared" si="7"/>
        <v>0</v>
      </c>
      <c r="U120" s="179"/>
      <c r="V120" s="180"/>
      <c r="W120" s="179"/>
      <c r="X120" s="180"/>
      <c r="Y120" s="179"/>
      <c r="Z120" s="179">
        <v>0</v>
      </c>
      <c r="AA120" s="179"/>
      <c r="AB120" s="180"/>
      <c r="AC120" s="180"/>
      <c r="AD120" s="180"/>
      <c r="AE120" s="179"/>
      <c r="AF120" s="256"/>
    </row>
    <row r="121" spans="1:32" s="223" customFormat="1" ht="15" customHeight="1">
      <c r="A121" s="155" t="s">
        <v>351</v>
      </c>
      <c r="B121" s="155" t="s">
        <v>384</v>
      </c>
      <c r="C121" s="24">
        <v>137315</v>
      </c>
      <c r="D121" s="208">
        <v>9</v>
      </c>
      <c r="E121" s="178">
        <f t="shared" si="4"/>
        <v>39663</v>
      </c>
      <c r="F121" s="195">
        <f t="shared" si="5"/>
        <v>39214</v>
      </c>
      <c r="G121" s="186">
        <v>33108</v>
      </c>
      <c r="H121" s="228">
        <v>26735</v>
      </c>
      <c r="I121" s="186">
        <v>0</v>
      </c>
      <c r="J121" s="228">
        <v>8688</v>
      </c>
      <c r="K121" s="186">
        <v>174</v>
      </c>
      <c r="L121" s="186">
        <v>1859</v>
      </c>
      <c r="M121" s="186">
        <v>4522</v>
      </c>
      <c r="N121" s="228">
        <v>107</v>
      </c>
      <c r="O121" s="228">
        <v>1066</v>
      </c>
      <c r="P121" s="228">
        <v>2618</v>
      </c>
      <c r="Q121" s="186">
        <v>0</v>
      </c>
      <c r="R121" s="228">
        <v>0</v>
      </c>
      <c r="S121" s="178">
        <f t="shared" si="6"/>
        <v>0</v>
      </c>
      <c r="T121" s="195">
        <f t="shared" si="7"/>
        <v>0</v>
      </c>
      <c r="U121" s="179"/>
      <c r="V121" s="180"/>
      <c r="W121" s="179"/>
      <c r="X121" s="180"/>
      <c r="Y121" s="179"/>
      <c r="Z121" s="179">
        <v>0</v>
      </c>
      <c r="AA121" s="179"/>
      <c r="AB121" s="180"/>
      <c r="AC121" s="180"/>
      <c r="AD121" s="180"/>
      <c r="AE121" s="179"/>
      <c r="AF121" s="256"/>
    </row>
    <row r="122" spans="1:32" s="223" customFormat="1" ht="15" customHeight="1">
      <c r="A122" s="155" t="s">
        <v>351</v>
      </c>
      <c r="B122" s="155" t="s">
        <v>385</v>
      </c>
      <c r="C122" s="24">
        <v>137281</v>
      </c>
      <c r="D122" s="208">
        <v>9</v>
      </c>
      <c r="E122" s="178">
        <f t="shared" si="4"/>
        <v>88963</v>
      </c>
      <c r="F122" s="195">
        <f t="shared" si="5"/>
        <v>91081</v>
      </c>
      <c r="G122" s="186">
        <v>83295</v>
      </c>
      <c r="H122" s="228">
        <v>74516</v>
      </c>
      <c r="I122" s="186">
        <v>0</v>
      </c>
      <c r="J122" s="228">
        <v>9775</v>
      </c>
      <c r="K122" s="186">
        <v>3838</v>
      </c>
      <c r="L122" s="186">
        <v>0</v>
      </c>
      <c r="M122" s="186">
        <v>1830</v>
      </c>
      <c r="N122" s="228">
        <v>5041</v>
      </c>
      <c r="O122" s="228">
        <v>0</v>
      </c>
      <c r="P122" s="228">
        <v>1749</v>
      </c>
      <c r="Q122" s="186">
        <v>0</v>
      </c>
      <c r="R122" s="228">
        <v>0</v>
      </c>
      <c r="S122" s="178">
        <f t="shared" si="6"/>
        <v>0</v>
      </c>
      <c r="T122" s="195">
        <f t="shared" si="7"/>
        <v>0</v>
      </c>
      <c r="U122" s="179"/>
      <c r="V122" s="180"/>
      <c r="W122" s="179"/>
      <c r="X122" s="180"/>
      <c r="Y122" s="179"/>
      <c r="Z122" s="179">
        <v>0</v>
      </c>
      <c r="AA122" s="179"/>
      <c r="AB122" s="180"/>
      <c r="AC122" s="180"/>
      <c r="AD122" s="180"/>
      <c r="AE122" s="179"/>
      <c r="AF122" s="256"/>
    </row>
    <row r="123" spans="1:32" s="223" customFormat="1" ht="15" customHeight="1">
      <c r="A123" s="155" t="s">
        <v>351</v>
      </c>
      <c r="B123" s="155" t="s">
        <v>386</v>
      </c>
      <c r="C123" s="24">
        <v>133021</v>
      </c>
      <c r="D123" s="208">
        <v>10</v>
      </c>
      <c r="E123" s="178">
        <f t="shared" si="4"/>
        <v>41549</v>
      </c>
      <c r="F123" s="195">
        <f t="shared" si="5"/>
        <v>42447</v>
      </c>
      <c r="G123" s="186">
        <v>39547</v>
      </c>
      <c r="H123" s="228">
        <v>38833</v>
      </c>
      <c r="I123" s="186">
        <v>0</v>
      </c>
      <c r="J123" s="228">
        <v>2099</v>
      </c>
      <c r="K123" s="186">
        <v>704</v>
      </c>
      <c r="L123" s="186">
        <v>0</v>
      </c>
      <c r="M123" s="186">
        <v>0</v>
      </c>
      <c r="N123" s="228">
        <v>576</v>
      </c>
      <c r="O123" s="228">
        <v>0</v>
      </c>
      <c r="P123" s="228">
        <v>0</v>
      </c>
      <c r="Q123" s="186">
        <v>1298</v>
      </c>
      <c r="R123" s="228">
        <v>939</v>
      </c>
      <c r="S123" s="178">
        <f t="shared" si="6"/>
        <v>0</v>
      </c>
      <c r="T123" s="195">
        <f t="shared" si="7"/>
        <v>0</v>
      </c>
      <c r="U123" s="179"/>
      <c r="V123" s="180"/>
      <c r="W123" s="179"/>
      <c r="X123" s="180"/>
      <c r="Y123" s="179"/>
      <c r="Z123" s="179">
        <v>0</v>
      </c>
      <c r="AA123" s="179"/>
      <c r="AB123" s="180"/>
      <c r="AC123" s="180"/>
      <c r="AD123" s="180"/>
      <c r="AE123" s="179"/>
      <c r="AF123" s="256"/>
    </row>
    <row r="124" spans="1:32" s="223" customFormat="1" ht="15" customHeight="1">
      <c r="A124" s="155" t="s">
        <v>351</v>
      </c>
      <c r="B124" s="155" t="s">
        <v>387</v>
      </c>
      <c r="C124" s="24">
        <v>133960</v>
      </c>
      <c r="D124" s="208">
        <v>10</v>
      </c>
      <c r="E124" s="178">
        <f t="shared" si="4"/>
        <v>25740</v>
      </c>
      <c r="F124" s="195">
        <f t="shared" si="5"/>
        <v>23710</v>
      </c>
      <c r="G124" s="186">
        <v>23676</v>
      </c>
      <c r="H124" s="228">
        <v>18767</v>
      </c>
      <c r="I124" s="186">
        <v>0</v>
      </c>
      <c r="J124" s="228">
        <v>1944</v>
      </c>
      <c r="K124" s="186">
        <v>93</v>
      </c>
      <c r="L124" s="186">
        <v>510</v>
      </c>
      <c r="M124" s="186">
        <v>960</v>
      </c>
      <c r="N124" s="228">
        <v>98</v>
      </c>
      <c r="O124" s="228">
        <v>1215</v>
      </c>
      <c r="P124" s="228">
        <v>1299</v>
      </c>
      <c r="Q124" s="186">
        <v>501</v>
      </c>
      <c r="R124" s="228">
        <v>387</v>
      </c>
      <c r="S124" s="178">
        <f t="shared" si="6"/>
        <v>0</v>
      </c>
      <c r="T124" s="195">
        <f t="shared" si="7"/>
        <v>0</v>
      </c>
      <c r="U124" s="179"/>
      <c r="V124" s="180"/>
      <c r="W124" s="179"/>
      <c r="X124" s="180"/>
      <c r="Y124" s="179"/>
      <c r="Z124" s="179">
        <v>0</v>
      </c>
      <c r="AA124" s="179"/>
      <c r="AB124" s="180"/>
      <c r="AC124" s="180"/>
      <c r="AD124" s="180"/>
      <c r="AE124" s="179"/>
      <c r="AF124" s="256"/>
    </row>
    <row r="125" spans="1:32" s="223" customFormat="1" ht="15" customHeight="1">
      <c r="A125" s="155" t="s">
        <v>351</v>
      </c>
      <c r="B125" s="155" t="s">
        <v>390</v>
      </c>
      <c r="C125" s="24">
        <v>136145</v>
      </c>
      <c r="D125" s="208">
        <v>10</v>
      </c>
      <c r="E125" s="178">
        <f t="shared" si="4"/>
        <v>21549</v>
      </c>
      <c r="F125" s="195">
        <f t="shared" si="5"/>
        <v>22280</v>
      </c>
      <c r="G125" s="186">
        <v>20188</v>
      </c>
      <c r="H125" s="228">
        <v>16895</v>
      </c>
      <c r="I125" s="186">
        <v>0</v>
      </c>
      <c r="J125" s="228">
        <v>3480</v>
      </c>
      <c r="K125" s="186">
        <v>1208</v>
      </c>
      <c r="L125" s="186">
        <v>0</v>
      </c>
      <c r="M125" s="186">
        <v>0</v>
      </c>
      <c r="N125" s="228">
        <v>1716</v>
      </c>
      <c r="O125" s="228">
        <v>114</v>
      </c>
      <c r="P125" s="228">
        <v>0</v>
      </c>
      <c r="Q125" s="186">
        <v>153</v>
      </c>
      <c r="R125" s="228">
        <v>75</v>
      </c>
      <c r="S125" s="178">
        <f t="shared" si="6"/>
        <v>0</v>
      </c>
      <c r="T125" s="195">
        <f t="shared" si="7"/>
        <v>0</v>
      </c>
      <c r="U125" s="179"/>
      <c r="V125" s="180"/>
      <c r="W125" s="179"/>
      <c r="X125" s="180"/>
      <c r="Y125" s="179"/>
      <c r="Z125" s="179">
        <v>0</v>
      </c>
      <c r="AA125" s="179"/>
      <c r="AB125" s="180"/>
      <c r="AC125" s="180"/>
      <c r="AD125" s="180"/>
      <c r="AE125" s="179"/>
      <c r="AF125" s="256"/>
    </row>
    <row r="126" spans="1:32" s="223" customFormat="1" ht="15" customHeight="1">
      <c r="A126" s="155" t="s">
        <v>351</v>
      </c>
      <c r="B126" s="155" t="s">
        <v>825</v>
      </c>
      <c r="C126" s="24" t="s">
        <v>826</v>
      </c>
      <c r="D126" s="208">
        <v>14</v>
      </c>
      <c r="E126" s="178">
        <f t="shared" si="4"/>
        <v>0</v>
      </c>
      <c r="F126" s="195">
        <f t="shared" si="5"/>
        <v>0</v>
      </c>
      <c r="G126" s="186"/>
      <c r="H126" s="228"/>
      <c r="I126" s="186"/>
      <c r="J126" s="228"/>
      <c r="K126" s="186"/>
      <c r="L126" s="186"/>
      <c r="M126" s="186"/>
      <c r="N126" s="228"/>
      <c r="O126" s="228"/>
      <c r="P126" s="228"/>
      <c r="Q126" s="186"/>
      <c r="R126" s="228"/>
      <c r="S126" s="178">
        <f t="shared" si="6"/>
        <v>0</v>
      </c>
      <c r="T126" s="195">
        <f t="shared" si="7"/>
        <v>0</v>
      </c>
      <c r="U126" s="179"/>
      <c r="V126" s="180"/>
      <c r="W126" s="179"/>
      <c r="X126" s="180"/>
      <c r="Y126" s="179"/>
      <c r="Z126" s="179"/>
      <c r="AA126" s="179"/>
      <c r="AB126" s="180"/>
      <c r="AC126" s="180"/>
      <c r="AD126" s="180"/>
      <c r="AE126" s="179"/>
      <c r="AF126" s="256"/>
    </row>
    <row r="127" spans="1:32" s="223" customFormat="1" ht="15" customHeight="1">
      <c r="A127" s="155" t="s">
        <v>351</v>
      </c>
      <c r="B127" s="155" t="s">
        <v>827</v>
      </c>
      <c r="C127" s="24" t="s">
        <v>828</v>
      </c>
      <c r="D127" s="208">
        <v>14</v>
      </c>
      <c r="E127" s="178">
        <f t="shared" si="4"/>
        <v>0</v>
      </c>
      <c r="F127" s="195">
        <f t="shared" si="5"/>
        <v>0</v>
      </c>
      <c r="G127" s="186"/>
      <c r="H127" s="228"/>
      <c r="I127" s="186"/>
      <c r="J127" s="228"/>
      <c r="K127" s="186"/>
      <c r="L127" s="186"/>
      <c r="M127" s="186"/>
      <c r="N127" s="228"/>
      <c r="O127" s="228"/>
      <c r="P127" s="228"/>
      <c r="Q127" s="186"/>
      <c r="R127" s="228"/>
      <c r="S127" s="178">
        <f t="shared" si="6"/>
        <v>0</v>
      </c>
      <c r="T127" s="195">
        <f t="shared" si="7"/>
        <v>0</v>
      </c>
      <c r="U127" s="179"/>
      <c r="V127" s="180"/>
      <c r="W127" s="179"/>
      <c r="X127" s="180"/>
      <c r="Y127" s="179"/>
      <c r="Z127" s="179"/>
      <c r="AA127" s="179"/>
      <c r="AB127" s="180"/>
      <c r="AC127" s="180"/>
      <c r="AD127" s="180"/>
      <c r="AE127" s="179"/>
      <c r="AF127" s="256"/>
    </row>
    <row r="128" spans="1:32" s="223" customFormat="1" ht="15" customHeight="1">
      <c r="A128" s="155" t="s">
        <v>351</v>
      </c>
      <c r="B128" s="155" t="s">
        <v>829</v>
      </c>
      <c r="C128" s="24" t="s">
        <v>830</v>
      </c>
      <c r="D128" s="208">
        <v>14</v>
      </c>
      <c r="E128" s="178">
        <f t="shared" si="4"/>
        <v>0</v>
      </c>
      <c r="F128" s="195">
        <f t="shared" si="5"/>
        <v>0</v>
      </c>
      <c r="G128" s="186"/>
      <c r="H128" s="228"/>
      <c r="I128" s="186"/>
      <c r="J128" s="228"/>
      <c r="K128" s="186"/>
      <c r="L128" s="186"/>
      <c r="M128" s="186"/>
      <c r="N128" s="228"/>
      <c r="O128" s="228"/>
      <c r="P128" s="228"/>
      <c r="Q128" s="186"/>
      <c r="R128" s="228"/>
      <c r="S128" s="178">
        <f t="shared" si="6"/>
        <v>0</v>
      </c>
      <c r="T128" s="195">
        <f t="shared" si="7"/>
        <v>0</v>
      </c>
      <c r="U128" s="179"/>
      <c r="V128" s="180"/>
      <c r="W128" s="179"/>
      <c r="X128" s="180"/>
      <c r="Y128" s="179"/>
      <c r="Z128" s="179"/>
      <c r="AA128" s="179"/>
      <c r="AB128" s="180"/>
      <c r="AC128" s="180"/>
      <c r="AD128" s="180"/>
      <c r="AE128" s="179"/>
      <c r="AF128" s="256"/>
    </row>
    <row r="129" spans="1:32" s="223" customFormat="1" ht="15" customHeight="1">
      <c r="A129" s="155" t="s">
        <v>351</v>
      </c>
      <c r="B129" s="155" t="s">
        <v>831</v>
      </c>
      <c r="C129" s="24" t="s">
        <v>832</v>
      </c>
      <c r="D129" s="208">
        <v>14</v>
      </c>
      <c r="E129" s="178">
        <f t="shared" si="4"/>
        <v>0</v>
      </c>
      <c r="F129" s="195">
        <f t="shared" si="5"/>
        <v>0</v>
      </c>
      <c r="G129" s="186"/>
      <c r="H129" s="228"/>
      <c r="I129" s="186"/>
      <c r="J129" s="228"/>
      <c r="K129" s="186"/>
      <c r="L129" s="186"/>
      <c r="M129" s="186"/>
      <c r="N129" s="228"/>
      <c r="O129" s="228"/>
      <c r="P129" s="228"/>
      <c r="Q129" s="186"/>
      <c r="R129" s="228"/>
      <c r="S129" s="178">
        <f t="shared" si="6"/>
        <v>0</v>
      </c>
      <c r="T129" s="195">
        <f t="shared" si="7"/>
        <v>0</v>
      </c>
      <c r="U129" s="179"/>
      <c r="V129" s="180"/>
      <c r="W129" s="179"/>
      <c r="X129" s="180"/>
      <c r="Y129" s="179"/>
      <c r="Z129" s="179"/>
      <c r="AA129" s="179"/>
      <c r="AB129" s="180"/>
      <c r="AC129" s="180"/>
      <c r="AD129" s="180"/>
      <c r="AE129" s="179"/>
      <c r="AF129" s="256"/>
    </row>
    <row r="130" spans="1:32" s="223" customFormat="1" ht="15" customHeight="1">
      <c r="A130" s="155" t="s">
        <v>351</v>
      </c>
      <c r="B130" s="155" t="s">
        <v>833</v>
      </c>
      <c r="C130" s="24" t="s">
        <v>834</v>
      </c>
      <c r="D130" s="208">
        <v>14</v>
      </c>
      <c r="E130" s="178">
        <f t="shared" si="4"/>
        <v>0</v>
      </c>
      <c r="F130" s="195">
        <f t="shared" si="5"/>
        <v>0</v>
      </c>
      <c r="G130" s="186"/>
      <c r="H130" s="228"/>
      <c r="I130" s="186"/>
      <c r="J130" s="228"/>
      <c r="K130" s="186"/>
      <c r="L130" s="186"/>
      <c r="M130" s="186"/>
      <c r="N130" s="228"/>
      <c r="O130" s="228"/>
      <c r="P130" s="228"/>
      <c r="Q130" s="186"/>
      <c r="R130" s="228"/>
      <c r="S130" s="178">
        <f t="shared" si="6"/>
        <v>0</v>
      </c>
      <c r="T130" s="195">
        <f t="shared" si="7"/>
        <v>0</v>
      </c>
      <c r="U130" s="179"/>
      <c r="V130" s="180"/>
      <c r="W130" s="179"/>
      <c r="X130" s="180"/>
      <c r="Y130" s="179"/>
      <c r="Z130" s="179"/>
      <c r="AA130" s="179"/>
      <c r="AB130" s="180"/>
      <c r="AC130" s="180"/>
      <c r="AD130" s="180"/>
      <c r="AE130" s="179"/>
      <c r="AF130" s="256"/>
    </row>
    <row r="131" spans="1:32" s="223" customFormat="1" ht="15" customHeight="1">
      <c r="A131" s="155" t="s">
        <v>351</v>
      </c>
      <c r="B131" s="155" t="s">
        <v>835</v>
      </c>
      <c r="C131" s="24">
        <v>134307</v>
      </c>
      <c r="D131" s="208">
        <v>14</v>
      </c>
      <c r="E131" s="178">
        <f t="shared" si="4"/>
        <v>0</v>
      </c>
      <c r="F131" s="195">
        <f t="shared" si="5"/>
        <v>0</v>
      </c>
      <c r="G131" s="186"/>
      <c r="H131" s="228"/>
      <c r="I131" s="186"/>
      <c r="J131" s="228"/>
      <c r="K131" s="186"/>
      <c r="L131" s="186"/>
      <c r="M131" s="186"/>
      <c r="N131" s="228"/>
      <c r="O131" s="228"/>
      <c r="P131" s="228"/>
      <c r="Q131" s="186"/>
      <c r="R131" s="228"/>
      <c r="S131" s="178">
        <f t="shared" si="6"/>
        <v>0</v>
      </c>
      <c r="T131" s="195">
        <f t="shared" si="7"/>
        <v>0</v>
      </c>
      <c r="U131" s="179"/>
      <c r="V131" s="180"/>
      <c r="W131" s="179"/>
      <c r="X131" s="180"/>
      <c r="Y131" s="179"/>
      <c r="Z131" s="179"/>
      <c r="AA131" s="179"/>
      <c r="AB131" s="180"/>
      <c r="AC131" s="180"/>
      <c r="AD131" s="180"/>
      <c r="AE131" s="179"/>
      <c r="AF131" s="256"/>
    </row>
    <row r="132" spans="1:32" s="223" customFormat="1" ht="15" customHeight="1">
      <c r="A132" s="155" t="s">
        <v>351</v>
      </c>
      <c r="B132" s="155" t="s">
        <v>836</v>
      </c>
      <c r="C132" s="24">
        <v>382300</v>
      </c>
      <c r="D132" s="208">
        <v>14</v>
      </c>
      <c r="E132" s="178">
        <f t="shared" si="4"/>
        <v>0</v>
      </c>
      <c r="F132" s="195">
        <f t="shared" si="5"/>
        <v>0</v>
      </c>
      <c r="G132" s="186"/>
      <c r="H132" s="228"/>
      <c r="I132" s="186"/>
      <c r="J132" s="228"/>
      <c r="K132" s="186"/>
      <c r="L132" s="186"/>
      <c r="M132" s="186"/>
      <c r="N132" s="228"/>
      <c r="O132" s="228"/>
      <c r="P132" s="228"/>
      <c r="Q132" s="186"/>
      <c r="R132" s="228"/>
      <c r="S132" s="178">
        <f t="shared" si="6"/>
        <v>0</v>
      </c>
      <c r="T132" s="195">
        <f t="shared" si="7"/>
        <v>0</v>
      </c>
      <c r="U132" s="179"/>
      <c r="V132" s="180"/>
      <c r="W132" s="179"/>
      <c r="X132" s="180"/>
      <c r="Y132" s="179"/>
      <c r="Z132" s="179"/>
      <c r="AA132" s="179"/>
      <c r="AB132" s="180"/>
      <c r="AC132" s="180"/>
      <c r="AD132" s="180"/>
      <c r="AE132" s="179"/>
      <c r="AF132" s="256"/>
    </row>
    <row r="133" spans="1:32" s="223" customFormat="1" ht="15" customHeight="1">
      <c r="A133" s="155" t="s">
        <v>351</v>
      </c>
      <c r="B133" s="155" t="s">
        <v>837</v>
      </c>
      <c r="C133" s="24" t="s">
        <v>838</v>
      </c>
      <c r="D133" s="208">
        <v>14</v>
      </c>
      <c r="E133" s="178">
        <f t="shared" si="4"/>
        <v>0</v>
      </c>
      <c r="F133" s="195">
        <f t="shared" si="5"/>
        <v>0</v>
      </c>
      <c r="G133" s="186"/>
      <c r="H133" s="228"/>
      <c r="I133" s="186"/>
      <c r="J133" s="228"/>
      <c r="K133" s="186"/>
      <c r="L133" s="186"/>
      <c r="M133" s="186"/>
      <c r="N133" s="228"/>
      <c r="O133" s="228"/>
      <c r="P133" s="228"/>
      <c r="Q133" s="186"/>
      <c r="R133" s="228"/>
      <c r="S133" s="178">
        <f t="shared" si="6"/>
        <v>0</v>
      </c>
      <c r="T133" s="195">
        <f t="shared" si="7"/>
        <v>0</v>
      </c>
      <c r="U133" s="179"/>
      <c r="V133" s="180"/>
      <c r="W133" s="179"/>
      <c r="X133" s="180"/>
      <c r="Y133" s="179"/>
      <c r="Z133" s="179"/>
      <c r="AA133" s="179"/>
      <c r="AB133" s="180"/>
      <c r="AC133" s="180"/>
      <c r="AD133" s="180"/>
      <c r="AE133" s="179"/>
      <c r="AF133" s="256"/>
    </row>
    <row r="134" spans="1:32" s="223" customFormat="1" ht="15" customHeight="1">
      <c r="A134" s="155" t="s">
        <v>351</v>
      </c>
      <c r="B134" s="155" t="s">
        <v>839</v>
      </c>
      <c r="C134" s="24" t="s">
        <v>840</v>
      </c>
      <c r="D134" s="208">
        <v>14</v>
      </c>
      <c r="E134" s="178">
        <f t="shared" si="4"/>
        <v>0</v>
      </c>
      <c r="F134" s="195">
        <f t="shared" si="5"/>
        <v>0</v>
      </c>
      <c r="G134" s="186"/>
      <c r="H134" s="228"/>
      <c r="I134" s="186"/>
      <c r="J134" s="228"/>
      <c r="K134" s="186"/>
      <c r="L134" s="186"/>
      <c r="M134" s="186"/>
      <c r="N134" s="228"/>
      <c r="O134" s="228"/>
      <c r="P134" s="228"/>
      <c r="Q134" s="186"/>
      <c r="R134" s="228"/>
      <c r="S134" s="178">
        <f t="shared" si="6"/>
        <v>0</v>
      </c>
      <c r="T134" s="195">
        <f t="shared" si="7"/>
        <v>0</v>
      </c>
      <c r="U134" s="179"/>
      <c r="V134" s="180"/>
      <c r="W134" s="179"/>
      <c r="X134" s="180"/>
      <c r="Y134" s="179"/>
      <c r="Z134" s="179"/>
      <c r="AA134" s="179"/>
      <c r="AB134" s="180"/>
      <c r="AC134" s="180"/>
      <c r="AD134" s="180"/>
      <c r="AE134" s="179"/>
      <c r="AF134" s="256"/>
    </row>
    <row r="135" spans="1:32" s="223" customFormat="1" ht="15" customHeight="1">
      <c r="A135" s="155" t="s">
        <v>351</v>
      </c>
      <c r="B135" s="155" t="s">
        <v>841</v>
      </c>
      <c r="C135" s="24">
        <v>431558</v>
      </c>
      <c r="D135" s="208">
        <v>14</v>
      </c>
      <c r="E135" s="178">
        <f aca="true" t="shared" si="8" ref="E135:E198">SUM(G135,I135,K135,L135,M135,Q135)</f>
        <v>0</v>
      </c>
      <c r="F135" s="195">
        <f aca="true" t="shared" si="9" ref="F135:F198">SUM(H135,J135,N135,O135,P135,R135)</f>
        <v>0</v>
      </c>
      <c r="G135" s="186"/>
      <c r="H135" s="228"/>
      <c r="I135" s="186"/>
      <c r="J135" s="228"/>
      <c r="K135" s="186"/>
      <c r="L135" s="186"/>
      <c r="M135" s="186"/>
      <c r="N135" s="228"/>
      <c r="O135" s="228"/>
      <c r="P135" s="228"/>
      <c r="Q135" s="186"/>
      <c r="R135" s="228"/>
      <c r="S135" s="178">
        <f aca="true" t="shared" si="10" ref="S135:S198">SUM(U135,W135,Y135,Z135,AA135,AE135)</f>
        <v>0</v>
      </c>
      <c r="T135" s="195">
        <f aca="true" t="shared" si="11" ref="T135:T198">SUM(V135,X135,AB135,AC135,AD135,AF135)</f>
        <v>0</v>
      </c>
      <c r="U135" s="179"/>
      <c r="V135" s="180"/>
      <c r="W135" s="179"/>
      <c r="X135" s="180"/>
      <c r="Y135" s="179"/>
      <c r="Z135" s="179"/>
      <c r="AA135" s="179"/>
      <c r="AB135" s="180"/>
      <c r="AC135" s="180"/>
      <c r="AD135" s="180"/>
      <c r="AE135" s="179"/>
      <c r="AF135" s="256"/>
    </row>
    <row r="136" spans="1:32" s="223" customFormat="1" ht="15" customHeight="1">
      <c r="A136" s="155" t="s">
        <v>351</v>
      </c>
      <c r="B136" s="155" t="s">
        <v>842</v>
      </c>
      <c r="C136" s="24" t="s">
        <v>843</v>
      </c>
      <c r="D136" s="208">
        <v>14</v>
      </c>
      <c r="E136" s="178">
        <f t="shared" si="8"/>
        <v>0</v>
      </c>
      <c r="F136" s="195">
        <f t="shared" si="9"/>
        <v>0</v>
      </c>
      <c r="G136" s="186"/>
      <c r="H136" s="228"/>
      <c r="I136" s="186"/>
      <c r="J136" s="228"/>
      <c r="K136" s="186"/>
      <c r="L136" s="186"/>
      <c r="M136" s="186"/>
      <c r="N136" s="228"/>
      <c r="O136" s="228"/>
      <c r="P136" s="228"/>
      <c r="Q136" s="186"/>
      <c r="R136" s="228"/>
      <c r="S136" s="178">
        <f t="shared" si="10"/>
        <v>0</v>
      </c>
      <c r="T136" s="195">
        <f t="shared" si="11"/>
        <v>0</v>
      </c>
      <c r="U136" s="179"/>
      <c r="V136" s="180"/>
      <c r="W136" s="179"/>
      <c r="X136" s="180"/>
      <c r="Y136" s="179"/>
      <c r="Z136" s="179"/>
      <c r="AA136" s="179"/>
      <c r="AB136" s="180"/>
      <c r="AC136" s="180"/>
      <c r="AD136" s="180"/>
      <c r="AE136" s="179"/>
      <c r="AF136" s="256"/>
    </row>
    <row r="137" spans="1:32" s="223" customFormat="1" ht="15" customHeight="1">
      <c r="A137" s="155" t="s">
        <v>351</v>
      </c>
      <c r="B137" s="155" t="s">
        <v>844</v>
      </c>
      <c r="C137" s="24" t="s">
        <v>845</v>
      </c>
      <c r="D137" s="208">
        <v>14</v>
      </c>
      <c r="E137" s="178">
        <f t="shared" si="8"/>
        <v>0</v>
      </c>
      <c r="F137" s="195">
        <f t="shared" si="9"/>
        <v>0</v>
      </c>
      <c r="G137" s="186"/>
      <c r="H137" s="228"/>
      <c r="I137" s="186"/>
      <c r="J137" s="228"/>
      <c r="K137" s="186"/>
      <c r="L137" s="186"/>
      <c r="M137" s="186"/>
      <c r="N137" s="228"/>
      <c r="O137" s="228"/>
      <c r="P137" s="228"/>
      <c r="Q137" s="186"/>
      <c r="R137" s="228"/>
      <c r="S137" s="178">
        <f t="shared" si="10"/>
        <v>0</v>
      </c>
      <c r="T137" s="195">
        <f t="shared" si="11"/>
        <v>0</v>
      </c>
      <c r="U137" s="179"/>
      <c r="V137" s="180"/>
      <c r="W137" s="179"/>
      <c r="X137" s="180"/>
      <c r="Y137" s="179"/>
      <c r="Z137" s="179"/>
      <c r="AA137" s="179"/>
      <c r="AB137" s="180"/>
      <c r="AC137" s="180"/>
      <c r="AD137" s="180"/>
      <c r="AE137" s="179"/>
      <c r="AF137" s="256"/>
    </row>
    <row r="138" spans="1:32" s="223" customFormat="1" ht="15" customHeight="1">
      <c r="A138" s="155" t="s">
        <v>351</v>
      </c>
      <c r="B138" s="155" t="s">
        <v>846</v>
      </c>
      <c r="C138" s="24">
        <v>133155</v>
      </c>
      <c r="D138" s="208">
        <v>14</v>
      </c>
      <c r="E138" s="178">
        <f t="shared" si="8"/>
        <v>0</v>
      </c>
      <c r="F138" s="195">
        <f t="shared" si="9"/>
        <v>0</v>
      </c>
      <c r="G138" s="186"/>
      <c r="H138" s="228"/>
      <c r="I138" s="186"/>
      <c r="J138" s="228"/>
      <c r="K138" s="186"/>
      <c r="L138" s="186"/>
      <c r="M138" s="186"/>
      <c r="N138" s="228"/>
      <c r="O138" s="228"/>
      <c r="P138" s="228"/>
      <c r="Q138" s="186"/>
      <c r="R138" s="228"/>
      <c r="S138" s="178">
        <f t="shared" si="10"/>
        <v>0</v>
      </c>
      <c r="T138" s="195">
        <f t="shared" si="11"/>
        <v>0</v>
      </c>
      <c r="U138" s="179"/>
      <c r="V138" s="180"/>
      <c r="W138" s="179"/>
      <c r="X138" s="180"/>
      <c r="Y138" s="179"/>
      <c r="Z138" s="179"/>
      <c r="AA138" s="179"/>
      <c r="AB138" s="180"/>
      <c r="AC138" s="180"/>
      <c r="AD138" s="180"/>
      <c r="AE138" s="179"/>
      <c r="AF138" s="256"/>
    </row>
    <row r="139" spans="1:32" s="223" customFormat="1" ht="15" customHeight="1">
      <c r="A139" s="155" t="s">
        <v>351</v>
      </c>
      <c r="B139" s="155" t="s">
        <v>847</v>
      </c>
      <c r="C139" s="24" t="s">
        <v>848</v>
      </c>
      <c r="D139" s="208">
        <v>14</v>
      </c>
      <c r="E139" s="178">
        <f t="shared" si="8"/>
        <v>0</v>
      </c>
      <c r="F139" s="195">
        <f t="shared" si="9"/>
        <v>0</v>
      </c>
      <c r="G139" s="186"/>
      <c r="H139" s="228"/>
      <c r="I139" s="186"/>
      <c r="J139" s="228"/>
      <c r="K139" s="186"/>
      <c r="L139" s="186"/>
      <c r="M139" s="186"/>
      <c r="N139" s="228"/>
      <c r="O139" s="228"/>
      <c r="P139" s="228"/>
      <c r="Q139" s="186"/>
      <c r="R139" s="228"/>
      <c r="S139" s="178">
        <f t="shared" si="10"/>
        <v>0</v>
      </c>
      <c r="T139" s="195">
        <f t="shared" si="11"/>
        <v>0</v>
      </c>
      <c r="U139" s="179"/>
      <c r="V139" s="180"/>
      <c r="W139" s="179"/>
      <c r="X139" s="180"/>
      <c r="Y139" s="179"/>
      <c r="Z139" s="179"/>
      <c r="AA139" s="179"/>
      <c r="AB139" s="180"/>
      <c r="AC139" s="180"/>
      <c r="AD139" s="180"/>
      <c r="AE139" s="179"/>
      <c r="AF139" s="256"/>
    </row>
    <row r="140" spans="1:32" s="223" customFormat="1" ht="15" customHeight="1">
      <c r="A140" s="155" t="s">
        <v>351</v>
      </c>
      <c r="B140" s="155" t="s">
        <v>849</v>
      </c>
      <c r="C140" s="24">
        <v>419226</v>
      </c>
      <c r="D140" s="208">
        <v>14</v>
      </c>
      <c r="E140" s="178">
        <f t="shared" si="8"/>
        <v>0</v>
      </c>
      <c r="F140" s="195">
        <f t="shared" si="9"/>
        <v>0</v>
      </c>
      <c r="G140" s="186"/>
      <c r="H140" s="228"/>
      <c r="I140" s="186"/>
      <c r="J140" s="228"/>
      <c r="K140" s="186"/>
      <c r="L140" s="186"/>
      <c r="M140" s="186"/>
      <c r="N140" s="228"/>
      <c r="O140" s="228"/>
      <c r="P140" s="228"/>
      <c r="Q140" s="186"/>
      <c r="R140" s="228"/>
      <c r="S140" s="178">
        <f t="shared" si="10"/>
        <v>0</v>
      </c>
      <c r="T140" s="195">
        <f t="shared" si="11"/>
        <v>0</v>
      </c>
      <c r="U140" s="179"/>
      <c r="V140" s="180"/>
      <c r="W140" s="179"/>
      <c r="X140" s="180"/>
      <c r="Y140" s="179"/>
      <c r="Z140" s="179"/>
      <c r="AA140" s="179"/>
      <c r="AB140" s="180"/>
      <c r="AC140" s="180"/>
      <c r="AD140" s="180"/>
      <c r="AE140" s="179"/>
      <c r="AF140" s="256"/>
    </row>
    <row r="141" spans="1:32" s="223" customFormat="1" ht="15" customHeight="1">
      <c r="A141" s="155" t="s">
        <v>351</v>
      </c>
      <c r="B141" s="155" t="s">
        <v>850</v>
      </c>
      <c r="C141" s="24">
        <v>425162</v>
      </c>
      <c r="D141" s="208">
        <v>14</v>
      </c>
      <c r="E141" s="178">
        <f t="shared" si="8"/>
        <v>0</v>
      </c>
      <c r="F141" s="195">
        <f t="shared" si="9"/>
        <v>0</v>
      </c>
      <c r="G141" s="186"/>
      <c r="H141" s="228"/>
      <c r="I141" s="186"/>
      <c r="J141" s="228"/>
      <c r="K141" s="186"/>
      <c r="L141" s="186"/>
      <c r="M141" s="186"/>
      <c r="N141" s="228"/>
      <c r="O141" s="228"/>
      <c r="P141" s="228"/>
      <c r="Q141" s="186"/>
      <c r="R141" s="228"/>
      <c r="S141" s="178">
        <f t="shared" si="10"/>
        <v>0</v>
      </c>
      <c r="T141" s="195">
        <f t="shared" si="11"/>
        <v>0</v>
      </c>
      <c r="U141" s="179"/>
      <c r="V141" s="180"/>
      <c r="W141" s="179"/>
      <c r="X141" s="180"/>
      <c r="Y141" s="179"/>
      <c r="Z141" s="179"/>
      <c r="AA141" s="179"/>
      <c r="AB141" s="180"/>
      <c r="AC141" s="180"/>
      <c r="AD141" s="180"/>
      <c r="AE141" s="179"/>
      <c r="AF141" s="256"/>
    </row>
    <row r="142" spans="1:32" s="223" customFormat="1" ht="15" customHeight="1">
      <c r="A142" s="155" t="s">
        <v>351</v>
      </c>
      <c r="B142" s="155" t="s">
        <v>851</v>
      </c>
      <c r="C142" s="24" t="s">
        <v>852</v>
      </c>
      <c r="D142" s="208">
        <v>14</v>
      </c>
      <c r="E142" s="178">
        <f t="shared" si="8"/>
        <v>0</v>
      </c>
      <c r="F142" s="195">
        <f t="shared" si="9"/>
        <v>0</v>
      </c>
      <c r="G142" s="186"/>
      <c r="H142" s="228"/>
      <c r="I142" s="186"/>
      <c r="J142" s="228"/>
      <c r="K142" s="186"/>
      <c r="L142" s="186"/>
      <c r="M142" s="186"/>
      <c r="N142" s="228"/>
      <c r="O142" s="228"/>
      <c r="P142" s="228"/>
      <c r="Q142" s="186"/>
      <c r="R142" s="228"/>
      <c r="S142" s="178">
        <f t="shared" si="10"/>
        <v>0</v>
      </c>
      <c r="T142" s="195">
        <f t="shared" si="11"/>
        <v>0</v>
      </c>
      <c r="U142" s="179"/>
      <c r="V142" s="180"/>
      <c r="W142" s="179"/>
      <c r="X142" s="180"/>
      <c r="Y142" s="179"/>
      <c r="Z142" s="179"/>
      <c r="AA142" s="179"/>
      <c r="AB142" s="180"/>
      <c r="AC142" s="180"/>
      <c r="AD142" s="180"/>
      <c r="AE142" s="179"/>
      <c r="AF142" s="256"/>
    </row>
    <row r="143" spans="1:32" s="223" customFormat="1" ht="15" customHeight="1">
      <c r="A143" s="155" t="s">
        <v>351</v>
      </c>
      <c r="B143" s="155" t="s">
        <v>853</v>
      </c>
      <c r="C143" s="24" t="s">
        <v>854</v>
      </c>
      <c r="D143" s="208">
        <v>14</v>
      </c>
      <c r="E143" s="178">
        <f t="shared" si="8"/>
        <v>0</v>
      </c>
      <c r="F143" s="195">
        <f t="shared" si="9"/>
        <v>0</v>
      </c>
      <c r="G143" s="186"/>
      <c r="H143" s="228"/>
      <c r="I143" s="186"/>
      <c r="J143" s="228"/>
      <c r="K143" s="186"/>
      <c r="L143" s="186"/>
      <c r="M143" s="186"/>
      <c r="N143" s="228"/>
      <c r="O143" s="228"/>
      <c r="P143" s="228"/>
      <c r="Q143" s="186"/>
      <c r="R143" s="228"/>
      <c r="S143" s="178">
        <f t="shared" si="10"/>
        <v>0</v>
      </c>
      <c r="T143" s="195">
        <f t="shared" si="11"/>
        <v>0</v>
      </c>
      <c r="U143" s="179"/>
      <c r="V143" s="180"/>
      <c r="W143" s="179"/>
      <c r="X143" s="180"/>
      <c r="Y143" s="179"/>
      <c r="Z143" s="179"/>
      <c r="AA143" s="179"/>
      <c r="AB143" s="180"/>
      <c r="AC143" s="180"/>
      <c r="AD143" s="180"/>
      <c r="AE143" s="179"/>
      <c r="AF143" s="256"/>
    </row>
    <row r="144" spans="1:32" s="223" customFormat="1" ht="15" customHeight="1">
      <c r="A144" s="155" t="s">
        <v>351</v>
      </c>
      <c r="B144" s="155" t="s">
        <v>855</v>
      </c>
      <c r="C144" s="24">
        <v>135656</v>
      </c>
      <c r="D144" s="208">
        <v>14</v>
      </c>
      <c r="E144" s="178">
        <f t="shared" si="8"/>
        <v>0</v>
      </c>
      <c r="F144" s="195">
        <f t="shared" si="9"/>
        <v>0</v>
      </c>
      <c r="G144" s="186"/>
      <c r="H144" s="228"/>
      <c r="I144" s="186"/>
      <c r="J144" s="228"/>
      <c r="K144" s="186"/>
      <c r="L144" s="186"/>
      <c r="M144" s="186"/>
      <c r="N144" s="228"/>
      <c r="O144" s="228"/>
      <c r="P144" s="228"/>
      <c r="Q144" s="186"/>
      <c r="R144" s="228"/>
      <c r="S144" s="178">
        <f t="shared" si="10"/>
        <v>0</v>
      </c>
      <c r="T144" s="195">
        <f t="shared" si="11"/>
        <v>0</v>
      </c>
      <c r="U144" s="179"/>
      <c r="V144" s="180"/>
      <c r="W144" s="179"/>
      <c r="X144" s="180"/>
      <c r="Y144" s="179"/>
      <c r="Z144" s="179"/>
      <c r="AA144" s="179"/>
      <c r="AB144" s="180"/>
      <c r="AC144" s="180"/>
      <c r="AD144" s="180"/>
      <c r="AE144" s="179"/>
      <c r="AF144" s="256"/>
    </row>
    <row r="145" spans="1:32" s="223" customFormat="1" ht="15" customHeight="1">
      <c r="A145" s="155" t="s">
        <v>351</v>
      </c>
      <c r="B145" s="155" t="s">
        <v>856</v>
      </c>
      <c r="C145" s="24" t="s">
        <v>857</v>
      </c>
      <c r="D145" s="208">
        <v>14</v>
      </c>
      <c r="E145" s="178">
        <f t="shared" si="8"/>
        <v>0</v>
      </c>
      <c r="F145" s="195">
        <f t="shared" si="9"/>
        <v>0</v>
      </c>
      <c r="G145" s="186"/>
      <c r="H145" s="228"/>
      <c r="I145" s="186"/>
      <c r="J145" s="228"/>
      <c r="K145" s="186"/>
      <c r="L145" s="186"/>
      <c r="M145" s="186"/>
      <c r="N145" s="228"/>
      <c r="O145" s="228"/>
      <c r="P145" s="228"/>
      <c r="Q145" s="186"/>
      <c r="R145" s="228"/>
      <c r="S145" s="178">
        <f t="shared" si="10"/>
        <v>0</v>
      </c>
      <c r="T145" s="195">
        <f t="shared" si="11"/>
        <v>0</v>
      </c>
      <c r="U145" s="179"/>
      <c r="V145" s="180"/>
      <c r="W145" s="179"/>
      <c r="X145" s="180"/>
      <c r="Y145" s="179"/>
      <c r="Z145" s="179"/>
      <c r="AA145" s="179"/>
      <c r="AB145" s="180"/>
      <c r="AC145" s="180"/>
      <c r="AD145" s="180"/>
      <c r="AE145" s="179"/>
      <c r="AF145" s="256"/>
    </row>
    <row r="146" spans="1:32" s="223" customFormat="1" ht="15" customHeight="1">
      <c r="A146" s="155" t="s">
        <v>351</v>
      </c>
      <c r="B146" s="155" t="s">
        <v>979</v>
      </c>
      <c r="C146" s="24" t="s">
        <v>980</v>
      </c>
      <c r="D146" s="208">
        <v>14</v>
      </c>
      <c r="E146" s="178">
        <f t="shared" si="8"/>
        <v>0</v>
      </c>
      <c r="F146" s="195">
        <f t="shared" si="9"/>
        <v>0</v>
      </c>
      <c r="G146" s="186"/>
      <c r="H146" s="228"/>
      <c r="I146" s="186"/>
      <c r="J146" s="228"/>
      <c r="K146" s="186"/>
      <c r="L146" s="186"/>
      <c r="M146" s="186"/>
      <c r="N146" s="228"/>
      <c r="O146" s="228"/>
      <c r="P146" s="228"/>
      <c r="Q146" s="186"/>
      <c r="R146" s="228"/>
      <c r="S146" s="178">
        <f t="shared" si="10"/>
        <v>0</v>
      </c>
      <c r="T146" s="195">
        <f t="shared" si="11"/>
        <v>0</v>
      </c>
      <c r="U146" s="179"/>
      <c r="V146" s="180"/>
      <c r="W146" s="179"/>
      <c r="X146" s="180"/>
      <c r="Y146" s="179"/>
      <c r="Z146" s="179"/>
      <c r="AA146" s="179"/>
      <c r="AB146" s="180"/>
      <c r="AC146" s="180"/>
      <c r="AD146" s="180"/>
      <c r="AE146" s="179"/>
      <c r="AF146" s="256"/>
    </row>
    <row r="147" spans="1:32" s="223" customFormat="1" ht="15" customHeight="1">
      <c r="A147" s="155" t="s">
        <v>351</v>
      </c>
      <c r="B147" s="155" t="s">
        <v>981</v>
      </c>
      <c r="C147" s="24">
        <v>433068</v>
      </c>
      <c r="D147" s="208">
        <v>14</v>
      </c>
      <c r="E147" s="178">
        <f t="shared" si="8"/>
        <v>0</v>
      </c>
      <c r="F147" s="195">
        <f t="shared" si="9"/>
        <v>0</v>
      </c>
      <c r="G147" s="186"/>
      <c r="H147" s="228"/>
      <c r="I147" s="186"/>
      <c r="J147" s="228"/>
      <c r="K147" s="186"/>
      <c r="L147" s="186"/>
      <c r="M147" s="186"/>
      <c r="N147" s="228"/>
      <c r="O147" s="228"/>
      <c r="P147" s="228"/>
      <c r="Q147" s="186"/>
      <c r="R147" s="228"/>
      <c r="S147" s="178">
        <f t="shared" si="10"/>
        <v>0</v>
      </c>
      <c r="T147" s="195">
        <f t="shared" si="11"/>
        <v>0</v>
      </c>
      <c r="U147" s="179"/>
      <c r="V147" s="180"/>
      <c r="W147" s="179"/>
      <c r="X147" s="180"/>
      <c r="Y147" s="179"/>
      <c r="Z147" s="179"/>
      <c r="AA147" s="179"/>
      <c r="AB147" s="180"/>
      <c r="AC147" s="180"/>
      <c r="AD147" s="180"/>
      <c r="AE147" s="179"/>
      <c r="AF147" s="256"/>
    </row>
    <row r="148" spans="1:32" s="223" customFormat="1" ht="15" customHeight="1">
      <c r="A148" s="155" t="s">
        <v>351</v>
      </c>
      <c r="B148" s="155" t="s">
        <v>982</v>
      </c>
      <c r="C148" s="24" t="s">
        <v>983</v>
      </c>
      <c r="D148" s="208">
        <v>14</v>
      </c>
      <c r="E148" s="178">
        <f t="shared" si="8"/>
        <v>0</v>
      </c>
      <c r="F148" s="195">
        <f t="shared" si="9"/>
        <v>0</v>
      </c>
      <c r="G148" s="186"/>
      <c r="H148" s="228"/>
      <c r="I148" s="186"/>
      <c r="J148" s="228"/>
      <c r="K148" s="186"/>
      <c r="L148" s="186"/>
      <c r="M148" s="186"/>
      <c r="N148" s="228"/>
      <c r="O148" s="228"/>
      <c r="P148" s="228"/>
      <c r="Q148" s="186"/>
      <c r="R148" s="228"/>
      <c r="S148" s="178">
        <f t="shared" si="10"/>
        <v>0</v>
      </c>
      <c r="T148" s="195">
        <f t="shared" si="11"/>
        <v>0</v>
      </c>
      <c r="U148" s="179"/>
      <c r="V148" s="180"/>
      <c r="W148" s="179"/>
      <c r="X148" s="180"/>
      <c r="Y148" s="179"/>
      <c r="Z148" s="179"/>
      <c r="AA148" s="179"/>
      <c r="AB148" s="180"/>
      <c r="AC148" s="180"/>
      <c r="AD148" s="180"/>
      <c r="AE148" s="179"/>
      <c r="AF148" s="256"/>
    </row>
    <row r="149" spans="1:32" s="223" customFormat="1" ht="15" customHeight="1">
      <c r="A149" s="155" t="s">
        <v>351</v>
      </c>
      <c r="B149" s="155" t="s">
        <v>984</v>
      </c>
      <c r="C149" s="24" t="s">
        <v>985</v>
      </c>
      <c r="D149" s="208">
        <v>14</v>
      </c>
      <c r="E149" s="178">
        <f t="shared" si="8"/>
        <v>0</v>
      </c>
      <c r="F149" s="195">
        <f t="shared" si="9"/>
        <v>0</v>
      </c>
      <c r="G149" s="186"/>
      <c r="H149" s="228"/>
      <c r="I149" s="186"/>
      <c r="J149" s="228"/>
      <c r="K149" s="186"/>
      <c r="L149" s="186"/>
      <c r="M149" s="186"/>
      <c r="N149" s="228"/>
      <c r="O149" s="228"/>
      <c r="P149" s="228"/>
      <c r="Q149" s="186"/>
      <c r="R149" s="228"/>
      <c r="S149" s="178">
        <f t="shared" si="10"/>
        <v>0</v>
      </c>
      <c r="T149" s="195">
        <f t="shared" si="11"/>
        <v>0</v>
      </c>
      <c r="U149" s="179"/>
      <c r="V149" s="180"/>
      <c r="W149" s="179"/>
      <c r="X149" s="180"/>
      <c r="Y149" s="179"/>
      <c r="Z149" s="179"/>
      <c r="AA149" s="179"/>
      <c r="AB149" s="180"/>
      <c r="AC149" s="180"/>
      <c r="AD149" s="180"/>
      <c r="AE149" s="179"/>
      <c r="AF149" s="256"/>
    </row>
    <row r="150" spans="1:32" s="223" customFormat="1" ht="15" customHeight="1">
      <c r="A150" s="155" t="s">
        <v>351</v>
      </c>
      <c r="B150" s="155" t="s">
        <v>986</v>
      </c>
      <c r="C150" s="24" t="s">
        <v>987</v>
      </c>
      <c r="D150" s="208">
        <v>14</v>
      </c>
      <c r="E150" s="178">
        <f t="shared" si="8"/>
        <v>0</v>
      </c>
      <c r="F150" s="195">
        <f t="shared" si="9"/>
        <v>0</v>
      </c>
      <c r="G150" s="186"/>
      <c r="H150" s="228"/>
      <c r="I150" s="186"/>
      <c r="J150" s="228"/>
      <c r="K150" s="186"/>
      <c r="L150" s="186"/>
      <c r="M150" s="186"/>
      <c r="N150" s="228"/>
      <c r="O150" s="228"/>
      <c r="P150" s="228"/>
      <c r="Q150" s="186"/>
      <c r="R150" s="228"/>
      <c r="S150" s="178">
        <f t="shared" si="10"/>
        <v>0</v>
      </c>
      <c r="T150" s="195">
        <f t="shared" si="11"/>
        <v>0</v>
      </c>
      <c r="U150" s="179"/>
      <c r="V150" s="180"/>
      <c r="W150" s="179"/>
      <c r="X150" s="180"/>
      <c r="Y150" s="179"/>
      <c r="Z150" s="179"/>
      <c r="AA150" s="179"/>
      <c r="AB150" s="180"/>
      <c r="AC150" s="180"/>
      <c r="AD150" s="180"/>
      <c r="AE150" s="179"/>
      <c r="AF150" s="256"/>
    </row>
    <row r="151" spans="1:32" s="223" customFormat="1" ht="15" customHeight="1">
      <c r="A151" s="155" t="s">
        <v>351</v>
      </c>
      <c r="B151" s="155" t="s">
        <v>988</v>
      </c>
      <c r="C151" s="24" t="s">
        <v>989</v>
      </c>
      <c r="D151" s="208">
        <v>14</v>
      </c>
      <c r="E151" s="178">
        <f t="shared" si="8"/>
        <v>0</v>
      </c>
      <c r="F151" s="195">
        <f t="shared" si="9"/>
        <v>0</v>
      </c>
      <c r="G151" s="186"/>
      <c r="H151" s="228"/>
      <c r="I151" s="186"/>
      <c r="J151" s="228"/>
      <c r="K151" s="186"/>
      <c r="L151" s="186"/>
      <c r="M151" s="186"/>
      <c r="N151" s="228"/>
      <c r="O151" s="228"/>
      <c r="P151" s="228"/>
      <c r="Q151" s="186"/>
      <c r="R151" s="228"/>
      <c r="S151" s="178">
        <f t="shared" si="10"/>
        <v>0</v>
      </c>
      <c r="T151" s="195">
        <f t="shared" si="11"/>
        <v>0</v>
      </c>
      <c r="U151" s="179"/>
      <c r="V151" s="180"/>
      <c r="W151" s="179"/>
      <c r="X151" s="180"/>
      <c r="Y151" s="179"/>
      <c r="Z151" s="179"/>
      <c r="AA151" s="179"/>
      <c r="AB151" s="180"/>
      <c r="AC151" s="180"/>
      <c r="AD151" s="180"/>
      <c r="AE151" s="179"/>
      <c r="AF151" s="256"/>
    </row>
    <row r="152" spans="1:32" s="223" customFormat="1" ht="15" customHeight="1">
      <c r="A152" s="155" t="s">
        <v>351</v>
      </c>
      <c r="B152" s="155" t="s">
        <v>990</v>
      </c>
      <c r="C152" s="24" t="s">
        <v>991</v>
      </c>
      <c r="D152" s="208">
        <v>14</v>
      </c>
      <c r="E152" s="178">
        <f t="shared" si="8"/>
        <v>0</v>
      </c>
      <c r="F152" s="195">
        <f t="shared" si="9"/>
        <v>0</v>
      </c>
      <c r="G152" s="186"/>
      <c r="H152" s="228"/>
      <c r="I152" s="186"/>
      <c r="J152" s="228"/>
      <c r="K152" s="186"/>
      <c r="L152" s="186"/>
      <c r="M152" s="186"/>
      <c r="N152" s="228"/>
      <c r="O152" s="228"/>
      <c r="P152" s="228"/>
      <c r="Q152" s="186"/>
      <c r="R152" s="228"/>
      <c r="S152" s="178">
        <f t="shared" si="10"/>
        <v>0</v>
      </c>
      <c r="T152" s="195">
        <f t="shared" si="11"/>
        <v>0</v>
      </c>
      <c r="U152" s="179"/>
      <c r="V152" s="180"/>
      <c r="W152" s="179"/>
      <c r="X152" s="180"/>
      <c r="Y152" s="179"/>
      <c r="Z152" s="179"/>
      <c r="AA152" s="179"/>
      <c r="AB152" s="180"/>
      <c r="AC152" s="180"/>
      <c r="AD152" s="180"/>
      <c r="AE152" s="179"/>
      <c r="AF152" s="256"/>
    </row>
    <row r="153" spans="1:32" s="223" customFormat="1" ht="15" customHeight="1">
      <c r="A153" s="155" t="s">
        <v>351</v>
      </c>
      <c r="B153" s="155" t="s">
        <v>992</v>
      </c>
      <c r="C153" s="24">
        <v>136826</v>
      </c>
      <c r="D153" s="208">
        <v>14</v>
      </c>
      <c r="E153" s="178">
        <f t="shared" si="8"/>
        <v>0</v>
      </c>
      <c r="F153" s="195">
        <f t="shared" si="9"/>
        <v>0</v>
      </c>
      <c r="G153" s="186"/>
      <c r="H153" s="228"/>
      <c r="I153" s="186"/>
      <c r="J153" s="228"/>
      <c r="K153" s="186"/>
      <c r="L153" s="186"/>
      <c r="M153" s="186"/>
      <c r="N153" s="228"/>
      <c r="O153" s="228"/>
      <c r="P153" s="228"/>
      <c r="Q153" s="186"/>
      <c r="R153" s="228"/>
      <c r="S153" s="178">
        <f t="shared" si="10"/>
        <v>0</v>
      </c>
      <c r="T153" s="195">
        <f t="shared" si="11"/>
        <v>0</v>
      </c>
      <c r="U153" s="179"/>
      <c r="V153" s="180"/>
      <c r="W153" s="179"/>
      <c r="X153" s="180"/>
      <c r="Y153" s="179"/>
      <c r="Z153" s="179"/>
      <c r="AA153" s="179"/>
      <c r="AB153" s="180"/>
      <c r="AC153" s="180"/>
      <c r="AD153" s="180"/>
      <c r="AE153" s="179"/>
      <c r="AF153" s="256"/>
    </row>
    <row r="154" spans="1:32" s="223" customFormat="1" ht="15" customHeight="1">
      <c r="A154" s="155" t="s">
        <v>351</v>
      </c>
      <c r="B154" s="155" t="s">
        <v>993</v>
      </c>
      <c r="C154" s="24" t="s">
        <v>36</v>
      </c>
      <c r="D154" s="208">
        <v>14</v>
      </c>
      <c r="E154" s="178">
        <f t="shared" si="8"/>
        <v>0</v>
      </c>
      <c r="F154" s="195">
        <f t="shared" si="9"/>
        <v>0</v>
      </c>
      <c r="G154" s="186"/>
      <c r="H154" s="228"/>
      <c r="I154" s="186"/>
      <c r="J154" s="228"/>
      <c r="K154" s="186"/>
      <c r="L154" s="186"/>
      <c r="M154" s="186"/>
      <c r="N154" s="228"/>
      <c r="O154" s="228"/>
      <c r="P154" s="228"/>
      <c r="Q154" s="186"/>
      <c r="R154" s="228"/>
      <c r="S154" s="178">
        <f t="shared" si="10"/>
        <v>0</v>
      </c>
      <c r="T154" s="195">
        <f t="shared" si="11"/>
        <v>0</v>
      </c>
      <c r="U154" s="179"/>
      <c r="V154" s="180"/>
      <c r="W154" s="179"/>
      <c r="X154" s="180"/>
      <c r="Y154" s="179"/>
      <c r="Z154" s="179"/>
      <c r="AA154" s="179"/>
      <c r="AB154" s="180"/>
      <c r="AC154" s="180"/>
      <c r="AD154" s="180"/>
      <c r="AE154" s="179"/>
      <c r="AF154" s="256"/>
    </row>
    <row r="155" spans="1:32" s="223" customFormat="1" ht="15" customHeight="1">
      <c r="A155" s="155" t="s">
        <v>351</v>
      </c>
      <c r="B155" s="155" t="s">
        <v>37</v>
      </c>
      <c r="C155" s="24" t="s">
        <v>38</v>
      </c>
      <c r="D155" s="208">
        <v>14</v>
      </c>
      <c r="E155" s="178">
        <f t="shared" si="8"/>
        <v>0</v>
      </c>
      <c r="F155" s="195">
        <f t="shared" si="9"/>
        <v>0</v>
      </c>
      <c r="G155" s="186"/>
      <c r="H155" s="228"/>
      <c r="I155" s="186"/>
      <c r="J155" s="228"/>
      <c r="K155" s="186"/>
      <c r="L155" s="186"/>
      <c r="M155" s="186"/>
      <c r="N155" s="228"/>
      <c r="O155" s="228"/>
      <c r="P155" s="228"/>
      <c r="Q155" s="186"/>
      <c r="R155" s="228"/>
      <c r="S155" s="178">
        <f t="shared" si="10"/>
        <v>0</v>
      </c>
      <c r="T155" s="195">
        <f t="shared" si="11"/>
        <v>0</v>
      </c>
      <c r="U155" s="179"/>
      <c r="V155" s="180"/>
      <c r="W155" s="179"/>
      <c r="X155" s="180"/>
      <c r="Y155" s="179"/>
      <c r="Z155" s="179"/>
      <c r="AA155" s="179"/>
      <c r="AB155" s="180"/>
      <c r="AC155" s="180"/>
      <c r="AD155" s="180"/>
      <c r="AE155" s="179"/>
      <c r="AF155" s="256"/>
    </row>
    <row r="156" spans="1:32" s="223" customFormat="1" ht="15" customHeight="1">
      <c r="A156" s="155" t="s">
        <v>351</v>
      </c>
      <c r="B156" s="155" t="s">
        <v>39</v>
      </c>
      <c r="C156" s="24">
        <v>137290</v>
      </c>
      <c r="D156" s="208">
        <v>14</v>
      </c>
      <c r="E156" s="178">
        <f t="shared" si="8"/>
        <v>0</v>
      </c>
      <c r="F156" s="195">
        <f t="shared" si="9"/>
        <v>0</v>
      </c>
      <c r="G156" s="186"/>
      <c r="H156" s="228"/>
      <c r="I156" s="186"/>
      <c r="J156" s="228"/>
      <c r="K156" s="186"/>
      <c r="L156" s="186"/>
      <c r="M156" s="186"/>
      <c r="N156" s="228"/>
      <c r="O156" s="228"/>
      <c r="P156" s="228"/>
      <c r="Q156" s="186"/>
      <c r="R156" s="228"/>
      <c r="S156" s="178">
        <f t="shared" si="10"/>
        <v>0</v>
      </c>
      <c r="T156" s="195">
        <f t="shared" si="11"/>
        <v>0</v>
      </c>
      <c r="U156" s="179"/>
      <c r="V156" s="180"/>
      <c r="W156" s="179"/>
      <c r="X156" s="180"/>
      <c r="Y156" s="179"/>
      <c r="Z156" s="179"/>
      <c r="AA156" s="179"/>
      <c r="AB156" s="180"/>
      <c r="AC156" s="180"/>
      <c r="AD156" s="180"/>
      <c r="AE156" s="179"/>
      <c r="AF156" s="256"/>
    </row>
    <row r="157" spans="1:32" s="223" customFormat="1" ht="15" customHeight="1">
      <c r="A157" s="155" t="s">
        <v>351</v>
      </c>
      <c r="B157" s="155" t="s">
        <v>40</v>
      </c>
      <c r="C157" s="24" t="s">
        <v>41</v>
      </c>
      <c r="D157" s="208">
        <v>14</v>
      </c>
      <c r="E157" s="178">
        <f t="shared" si="8"/>
        <v>0</v>
      </c>
      <c r="F157" s="195">
        <f t="shared" si="9"/>
        <v>0</v>
      </c>
      <c r="G157" s="186"/>
      <c r="H157" s="228"/>
      <c r="I157" s="186"/>
      <c r="J157" s="228"/>
      <c r="K157" s="186"/>
      <c r="L157" s="186"/>
      <c r="M157" s="186"/>
      <c r="N157" s="228"/>
      <c r="O157" s="228"/>
      <c r="P157" s="228"/>
      <c r="Q157" s="186"/>
      <c r="R157" s="228"/>
      <c r="S157" s="178">
        <f t="shared" si="10"/>
        <v>0</v>
      </c>
      <c r="T157" s="195">
        <f t="shared" si="11"/>
        <v>0</v>
      </c>
      <c r="U157" s="179"/>
      <c r="V157" s="180"/>
      <c r="W157" s="179"/>
      <c r="X157" s="180"/>
      <c r="Y157" s="179"/>
      <c r="Z157" s="179"/>
      <c r="AA157" s="179"/>
      <c r="AB157" s="180"/>
      <c r="AC157" s="180"/>
      <c r="AD157" s="180"/>
      <c r="AE157" s="179"/>
      <c r="AF157" s="256"/>
    </row>
    <row r="158" spans="1:32" s="223" customFormat="1" ht="15" customHeight="1">
      <c r="A158" s="155" t="s">
        <v>351</v>
      </c>
      <c r="B158" s="155" t="s">
        <v>42</v>
      </c>
      <c r="C158" s="24" t="s">
        <v>43</v>
      </c>
      <c r="D158" s="208">
        <v>14</v>
      </c>
      <c r="E158" s="178">
        <f t="shared" si="8"/>
        <v>0</v>
      </c>
      <c r="F158" s="195">
        <f t="shared" si="9"/>
        <v>0</v>
      </c>
      <c r="G158" s="186"/>
      <c r="H158" s="228"/>
      <c r="I158" s="186"/>
      <c r="J158" s="228"/>
      <c r="K158" s="186"/>
      <c r="L158" s="186"/>
      <c r="M158" s="186"/>
      <c r="N158" s="228"/>
      <c r="O158" s="228"/>
      <c r="P158" s="228"/>
      <c r="Q158" s="186"/>
      <c r="R158" s="228"/>
      <c r="S158" s="178">
        <f t="shared" si="10"/>
        <v>0</v>
      </c>
      <c r="T158" s="195">
        <f t="shared" si="11"/>
        <v>0</v>
      </c>
      <c r="U158" s="179"/>
      <c r="V158" s="180"/>
      <c r="W158" s="179"/>
      <c r="X158" s="180"/>
      <c r="Y158" s="179"/>
      <c r="Z158" s="179"/>
      <c r="AA158" s="179"/>
      <c r="AB158" s="180"/>
      <c r="AC158" s="180"/>
      <c r="AD158" s="180"/>
      <c r="AE158" s="179"/>
      <c r="AF158" s="256"/>
    </row>
    <row r="159" spans="1:32" s="223" customFormat="1" ht="15" customHeight="1">
      <c r="A159" s="155" t="s">
        <v>351</v>
      </c>
      <c r="B159" s="155" t="s">
        <v>44</v>
      </c>
      <c r="C159" s="24" t="s">
        <v>45</v>
      </c>
      <c r="D159" s="208">
        <v>14</v>
      </c>
      <c r="E159" s="178">
        <f t="shared" si="8"/>
        <v>0</v>
      </c>
      <c r="F159" s="195">
        <f t="shared" si="9"/>
        <v>0</v>
      </c>
      <c r="G159" s="186"/>
      <c r="H159" s="228"/>
      <c r="I159" s="186"/>
      <c r="J159" s="228"/>
      <c r="K159" s="186"/>
      <c r="L159" s="186"/>
      <c r="M159" s="186"/>
      <c r="N159" s="228"/>
      <c r="O159" s="228"/>
      <c r="P159" s="228"/>
      <c r="Q159" s="186"/>
      <c r="R159" s="228"/>
      <c r="S159" s="178">
        <f t="shared" si="10"/>
        <v>0</v>
      </c>
      <c r="T159" s="195">
        <f t="shared" si="11"/>
        <v>0</v>
      </c>
      <c r="U159" s="179"/>
      <c r="V159" s="180"/>
      <c r="W159" s="179"/>
      <c r="X159" s="180"/>
      <c r="Y159" s="179"/>
      <c r="Z159" s="179"/>
      <c r="AA159" s="179"/>
      <c r="AB159" s="180"/>
      <c r="AC159" s="180"/>
      <c r="AD159" s="180"/>
      <c r="AE159" s="179"/>
      <c r="AF159" s="256"/>
    </row>
    <row r="160" spans="1:32" s="223" customFormat="1" ht="15" customHeight="1">
      <c r="A160" s="155" t="s">
        <v>351</v>
      </c>
      <c r="B160" s="155" t="s">
        <v>46</v>
      </c>
      <c r="C160" s="24" t="s">
        <v>47</v>
      </c>
      <c r="D160" s="208">
        <v>14</v>
      </c>
      <c r="E160" s="178">
        <f t="shared" si="8"/>
        <v>0</v>
      </c>
      <c r="F160" s="195">
        <f t="shared" si="9"/>
        <v>0</v>
      </c>
      <c r="G160" s="186"/>
      <c r="H160" s="228"/>
      <c r="I160" s="186"/>
      <c r="J160" s="228"/>
      <c r="K160" s="186"/>
      <c r="L160" s="186"/>
      <c r="M160" s="186"/>
      <c r="N160" s="228"/>
      <c r="O160" s="228"/>
      <c r="P160" s="228"/>
      <c r="Q160" s="186"/>
      <c r="R160" s="228"/>
      <c r="S160" s="178">
        <f t="shared" si="10"/>
        <v>0</v>
      </c>
      <c r="T160" s="195">
        <f t="shared" si="11"/>
        <v>0</v>
      </c>
      <c r="U160" s="179"/>
      <c r="V160" s="180"/>
      <c r="W160" s="179"/>
      <c r="X160" s="180"/>
      <c r="Y160" s="179"/>
      <c r="Z160" s="179"/>
      <c r="AA160" s="179"/>
      <c r="AB160" s="180"/>
      <c r="AC160" s="180"/>
      <c r="AD160" s="180"/>
      <c r="AE160" s="179"/>
      <c r="AF160" s="256"/>
    </row>
    <row r="161" spans="1:32" s="223" customFormat="1" ht="15" customHeight="1">
      <c r="A161" s="155" t="s">
        <v>351</v>
      </c>
      <c r="B161" s="155" t="s">
        <v>48</v>
      </c>
      <c r="C161" s="24" t="s">
        <v>49</v>
      </c>
      <c r="D161" s="208">
        <v>14</v>
      </c>
      <c r="E161" s="178">
        <f t="shared" si="8"/>
        <v>0</v>
      </c>
      <c r="F161" s="195">
        <f t="shared" si="9"/>
        <v>0</v>
      </c>
      <c r="G161" s="186"/>
      <c r="H161" s="228"/>
      <c r="I161" s="186"/>
      <c r="J161" s="228"/>
      <c r="K161" s="186"/>
      <c r="L161" s="186"/>
      <c r="M161" s="186"/>
      <c r="N161" s="228"/>
      <c r="O161" s="228"/>
      <c r="P161" s="228"/>
      <c r="Q161" s="186"/>
      <c r="R161" s="228"/>
      <c r="S161" s="178">
        <f t="shared" si="10"/>
        <v>0</v>
      </c>
      <c r="T161" s="195">
        <f t="shared" si="11"/>
        <v>0</v>
      </c>
      <c r="U161" s="179"/>
      <c r="V161" s="180"/>
      <c r="W161" s="179"/>
      <c r="X161" s="180"/>
      <c r="Y161" s="179"/>
      <c r="Z161" s="179"/>
      <c r="AA161" s="179"/>
      <c r="AB161" s="180"/>
      <c r="AC161" s="180"/>
      <c r="AD161" s="180"/>
      <c r="AE161" s="179"/>
      <c r="AF161" s="256"/>
    </row>
    <row r="162" spans="1:32" s="223" customFormat="1" ht="15" customHeight="1">
      <c r="A162" s="155" t="s">
        <v>351</v>
      </c>
      <c r="B162" s="155" t="s">
        <v>50</v>
      </c>
      <c r="C162" s="24" t="s">
        <v>51</v>
      </c>
      <c r="D162" s="208">
        <v>14</v>
      </c>
      <c r="E162" s="178">
        <f t="shared" si="8"/>
        <v>0</v>
      </c>
      <c r="F162" s="195">
        <f t="shared" si="9"/>
        <v>0</v>
      </c>
      <c r="G162" s="186"/>
      <c r="H162" s="228"/>
      <c r="I162" s="186"/>
      <c r="J162" s="228"/>
      <c r="K162" s="186"/>
      <c r="L162" s="186"/>
      <c r="M162" s="186"/>
      <c r="N162" s="228"/>
      <c r="O162" s="228"/>
      <c r="P162" s="228"/>
      <c r="Q162" s="186"/>
      <c r="R162" s="228"/>
      <c r="S162" s="178">
        <f t="shared" si="10"/>
        <v>0</v>
      </c>
      <c r="T162" s="195">
        <f t="shared" si="11"/>
        <v>0</v>
      </c>
      <c r="U162" s="179"/>
      <c r="V162" s="180"/>
      <c r="W162" s="179"/>
      <c r="X162" s="180"/>
      <c r="Y162" s="179"/>
      <c r="Z162" s="179"/>
      <c r="AA162" s="179"/>
      <c r="AB162" s="180"/>
      <c r="AC162" s="180"/>
      <c r="AD162" s="180"/>
      <c r="AE162" s="179"/>
      <c r="AF162" s="256"/>
    </row>
    <row r="163" spans="1:32" s="223" customFormat="1" ht="15" customHeight="1">
      <c r="A163" s="155" t="s">
        <v>351</v>
      </c>
      <c r="B163" s="155" t="s">
        <v>61</v>
      </c>
      <c r="C163" s="24" t="s">
        <v>62</v>
      </c>
      <c r="D163" s="208">
        <v>14</v>
      </c>
      <c r="E163" s="178">
        <f t="shared" si="8"/>
        <v>0</v>
      </c>
      <c r="F163" s="195">
        <f t="shared" si="9"/>
        <v>0</v>
      </c>
      <c r="G163" s="186"/>
      <c r="H163" s="228"/>
      <c r="I163" s="186"/>
      <c r="J163" s="228"/>
      <c r="K163" s="186"/>
      <c r="L163" s="186"/>
      <c r="M163" s="186"/>
      <c r="N163" s="228"/>
      <c r="O163" s="228"/>
      <c r="P163" s="228"/>
      <c r="Q163" s="186"/>
      <c r="R163" s="228"/>
      <c r="S163" s="178">
        <f t="shared" si="10"/>
        <v>0</v>
      </c>
      <c r="T163" s="195">
        <f t="shared" si="11"/>
        <v>0</v>
      </c>
      <c r="U163" s="179"/>
      <c r="V163" s="180"/>
      <c r="W163" s="179"/>
      <c r="X163" s="180"/>
      <c r="Y163" s="179"/>
      <c r="Z163" s="179"/>
      <c r="AA163" s="179"/>
      <c r="AB163" s="180"/>
      <c r="AC163" s="180"/>
      <c r="AD163" s="180"/>
      <c r="AE163" s="179"/>
      <c r="AF163" s="256"/>
    </row>
    <row r="164" spans="1:32" s="223" customFormat="1" ht="15" customHeight="1">
      <c r="A164" s="155" t="s">
        <v>351</v>
      </c>
      <c r="B164" s="155" t="s">
        <v>63</v>
      </c>
      <c r="C164" s="24" t="s">
        <v>64</v>
      </c>
      <c r="D164" s="208">
        <v>14</v>
      </c>
      <c r="E164" s="178">
        <f t="shared" si="8"/>
        <v>0</v>
      </c>
      <c r="F164" s="195">
        <f t="shared" si="9"/>
        <v>0</v>
      </c>
      <c r="G164" s="186"/>
      <c r="H164" s="228"/>
      <c r="I164" s="186"/>
      <c r="J164" s="228"/>
      <c r="K164" s="186"/>
      <c r="L164" s="186"/>
      <c r="M164" s="186"/>
      <c r="N164" s="228"/>
      <c r="O164" s="228"/>
      <c r="P164" s="228"/>
      <c r="Q164" s="186"/>
      <c r="R164" s="228"/>
      <c r="S164" s="178">
        <f t="shared" si="10"/>
        <v>0</v>
      </c>
      <c r="T164" s="195">
        <f t="shared" si="11"/>
        <v>0</v>
      </c>
      <c r="U164" s="179"/>
      <c r="V164" s="180"/>
      <c r="W164" s="179"/>
      <c r="X164" s="180"/>
      <c r="Y164" s="179"/>
      <c r="Z164" s="179"/>
      <c r="AA164" s="179"/>
      <c r="AB164" s="180"/>
      <c r="AC164" s="180"/>
      <c r="AD164" s="180"/>
      <c r="AE164" s="179"/>
      <c r="AF164" s="256"/>
    </row>
    <row r="165" spans="1:32" s="223" customFormat="1" ht="15" customHeight="1">
      <c r="A165" s="155" t="s">
        <v>351</v>
      </c>
      <c r="B165" s="155" t="s">
        <v>65</v>
      </c>
      <c r="C165" s="24">
        <v>138372</v>
      </c>
      <c r="D165" s="208">
        <v>14</v>
      </c>
      <c r="E165" s="178">
        <f t="shared" si="8"/>
        <v>0</v>
      </c>
      <c r="F165" s="195">
        <f t="shared" si="9"/>
        <v>0</v>
      </c>
      <c r="G165" s="186"/>
      <c r="H165" s="228"/>
      <c r="I165" s="186"/>
      <c r="J165" s="228"/>
      <c r="K165" s="186"/>
      <c r="L165" s="186"/>
      <c r="M165" s="186"/>
      <c r="N165" s="228"/>
      <c r="O165" s="228"/>
      <c r="P165" s="228"/>
      <c r="Q165" s="186"/>
      <c r="R165" s="228"/>
      <c r="S165" s="178">
        <f t="shared" si="10"/>
        <v>0</v>
      </c>
      <c r="T165" s="195">
        <f t="shared" si="11"/>
        <v>0</v>
      </c>
      <c r="U165" s="179"/>
      <c r="V165" s="180"/>
      <c r="W165" s="179"/>
      <c r="X165" s="180"/>
      <c r="Y165" s="179"/>
      <c r="Z165" s="179"/>
      <c r="AA165" s="179"/>
      <c r="AB165" s="180"/>
      <c r="AC165" s="180"/>
      <c r="AD165" s="180"/>
      <c r="AE165" s="179"/>
      <c r="AF165" s="256"/>
    </row>
    <row r="166" spans="1:32" s="223" customFormat="1" ht="15" customHeight="1">
      <c r="A166" s="155" t="s">
        <v>351</v>
      </c>
      <c r="B166" s="155" t="s">
        <v>66</v>
      </c>
      <c r="C166" s="24" t="s">
        <v>67</v>
      </c>
      <c r="D166" s="208">
        <v>14</v>
      </c>
      <c r="E166" s="178">
        <f t="shared" si="8"/>
        <v>0</v>
      </c>
      <c r="F166" s="195">
        <f t="shared" si="9"/>
        <v>0</v>
      </c>
      <c r="G166" s="186"/>
      <c r="H166" s="228"/>
      <c r="I166" s="186"/>
      <c r="J166" s="228"/>
      <c r="K166" s="186"/>
      <c r="L166" s="186"/>
      <c r="M166" s="186"/>
      <c r="N166" s="228"/>
      <c r="O166" s="228"/>
      <c r="P166" s="228"/>
      <c r="Q166" s="186"/>
      <c r="R166" s="228"/>
      <c r="S166" s="178">
        <f t="shared" si="10"/>
        <v>0</v>
      </c>
      <c r="T166" s="195">
        <f t="shared" si="11"/>
        <v>0</v>
      </c>
      <c r="U166" s="179"/>
      <c r="V166" s="180"/>
      <c r="W166" s="179"/>
      <c r="X166" s="180"/>
      <c r="Y166" s="179"/>
      <c r="Z166" s="179"/>
      <c r="AA166" s="179"/>
      <c r="AB166" s="180"/>
      <c r="AC166" s="180"/>
      <c r="AD166" s="180"/>
      <c r="AE166" s="179"/>
      <c r="AF166" s="256"/>
    </row>
    <row r="167" spans="1:32" s="223" customFormat="1" ht="15" customHeight="1">
      <c r="A167" s="155" t="s">
        <v>351</v>
      </c>
      <c r="B167" s="155" t="s">
        <v>68</v>
      </c>
      <c r="C167" s="24">
        <v>138488</v>
      </c>
      <c r="D167" s="208">
        <v>14</v>
      </c>
      <c r="E167" s="178">
        <f t="shared" si="8"/>
        <v>0</v>
      </c>
      <c r="F167" s="195">
        <f t="shared" si="9"/>
        <v>0</v>
      </c>
      <c r="G167" s="186"/>
      <c r="H167" s="228"/>
      <c r="I167" s="186"/>
      <c r="J167" s="228"/>
      <c r="K167" s="186"/>
      <c r="L167" s="186"/>
      <c r="M167" s="186"/>
      <c r="N167" s="228"/>
      <c r="O167" s="228"/>
      <c r="P167" s="228"/>
      <c r="Q167" s="186"/>
      <c r="R167" s="228"/>
      <c r="S167" s="178">
        <f t="shared" si="10"/>
        <v>0</v>
      </c>
      <c r="T167" s="195">
        <f t="shared" si="11"/>
        <v>0</v>
      </c>
      <c r="U167" s="179"/>
      <c r="V167" s="180"/>
      <c r="W167" s="179"/>
      <c r="X167" s="180"/>
      <c r="Y167" s="179"/>
      <c r="Z167" s="179"/>
      <c r="AA167" s="179"/>
      <c r="AB167" s="180"/>
      <c r="AC167" s="180"/>
      <c r="AD167" s="180"/>
      <c r="AE167" s="179"/>
      <c r="AF167" s="256"/>
    </row>
    <row r="168" spans="1:32" s="223" customFormat="1" ht="15" customHeight="1">
      <c r="A168" s="155" t="s">
        <v>351</v>
      </c>
      <c r="B168" s="155" t="s">
        <v>69</v>
      </c>
      <c r="C168" s="24" t="s">
        <v>70</v>
      </c>
      <c r="D168" s="208">
        <v>14</v>
      </c>
      <c r="E168" s="178">
        <f t="shared" si="8"/>
        <v>0</v>
      </c>
      <c r="F168" s="195">
        <f t="shared" si="9"/>
        <v>0</v>
      </c>
      <c r="G168" s="186"/>
      <c r="H168" s="228"/>
      <c r="I168" s="186"/>
      <c r="J168" s="228"/>
      <c r="K168" s="186"/>
      <c r="L168" s="186"/>
      <c r="M168" s="186"/>
      <c r="N168" s="228"/>
      <c r="O168" s="228"/>
      <c r="P168" s="228"/>
      <c r="Q168" s="186"/>
      <c r="R168" s="228"/>
      <c r="S168" s="178">
        <f t="shared" si="10"/>
        <v>0</v>
      </c>
      <c r="T168" s="195">
        <f t="shared" si="11"/>
        <v>0</v>
      </c>
      <c r="U168" s="179"/>
      <c r="V168" s="180"/>
      <c r="W168" s="179"/>
      <c r="X168" s="180"/>
      <c r="Y168" s="179"/>
      <c r="Z168" s="179"/>
      <c r="AA168" s="179"/>
      <c r="AB168" s="180"/>
      <c r="AC168" s="180"/>
      <c r="AD168" s="180"/>
      <c r="AE168" s="179"/>
      <c r="AF168" s="256"/>
    </row>
    <row r="169" spans="1:32" s="223" customFormat="1" ht="15" customHeight="1">
      <c r="A169" s="157" t="s">
        <v>391</v>
      </c>
      <c r="B169" s="157" t="s">
        <v>392</v>
      </c>
      <c r="C169" s="25">
        <v>139940</v>
      </c>
      <c r="D169" s="209">
        <v>1</v>
      </c>
      <c r="E169" s="178">
        <f t="shared" si="8"/>
        <v>536700.5</v>
      </c>
      <c r="F169" s="195">
        <f t="shared" si="9"/>
        <v>535428</v>
      </c>
      <c r="G169" s="179">
        <v>533150.5</v>
      </c>
      <c r="H169" s="180">
        <v>531646</v>
      </c>
      <c r="I169" s="179">
        <v>2837</v>
      </c>
      <c r="J169" s="180">
        <v>3347</v>
      </c>
      <c r="K169" s="179">
        <v>681</v>
      </c>
      <c r="L169" s="179">
        <v>32</v>
      </c>
      <c r="M169" s="179">
        <v>0</v>
      </c>
      <c r="N169" s="180">
        <v>418</v>
      </c>
      <c r="O169" s="180">
        <v>0</v>
      </c>
      <c r="P169" s="180">
        <v>17</v>
      </c>
      <c r="Q169" s="179">
        <v>0</v>
      </c>
      <c r="R169" s="180">
        <v>0</v>
      </c>
      <c r="S169" s="178">
        <f t="shared" si="10"/>
        <v>177045.5</v>
      </c>
      <c r="T169" s="195">
        <f t="shared" si="11"/>
        <v>167498</v>
      </c>
      <c r="U169" s="179">
        <v>169274</v>
      </c>
      <c r="V169" s="180">
        <v>164032</v>
      </c>
      <c r="W169" s="179">
        <v>6851.5</v>
      </c>
      <c r="X169" s="180">
        <v>3047</v>
      </c>
      <c r="Y169" s="179">
        <v>876.3</v>
      </c>
      <c r="Z169" s="179">
        <v>43.7</v>
      </c>
      <c r="AA169" s="179">
        <v>0</v>
      </c>
      <c r="AB169" s="180">
        <v>382</v>
      </c>
      <c r="AC169" s="180">
        <v>25</v>
      </c>
      <c r="AD169" s="180">
        <v>12</v>
      </c>
      <c r="AE169" s="179">
        <v>0</v>
      </c>
      <c r="AF169" s="256">
        <v>0</v>
      </c>
    </row>
    <row r="170" spans="1:32" s="223" customFormat="1" ht="15" customHeight="1">
      <c r="A170" s="157" t="s">
        <v>391</v>
      </c>
      <c r="B170" s="157" t="s">
        <v>393</v>
      </c>
      <c r="C170" s="25">
        <v>139959</v>
      </c>
      <c r="D170" s="209">
        <v>1</v>
      </c>
      <c r="E170" s="178">
        <f t="shared" si="8"/>
        <v>721342</v>
      </c>
      <c r="F170" s="195">
        <f t="shared" si="9"/>
        <v>721973</v>
      </c>
      <c r="G170" s="179">
        <v>707964</v>
      </c>
      <c r="H170" s="180">
        <v>703386</v>
      </c>
      <c r="I170" s="179">
        <v>11965</v>
      </c>
      <c r="J170" s="180">
        <v>16949</v>
      </c>
      <c r="K170" s="179">
        <v>1413</v>
      </c>
      <c r="L170" s="179">
        <v>0</v>
      </c>
      <c r="M170" s="179">
        <v>0</v>
      </c>
      <c r="N170" s="180">
        <v>1638</v>
      </c>
      <c r="O170" s="180">
        <v>0</v>
      </c>
      <c r="P170" s="180">
        <v>0</v>
      </c>
      <c r="Q170" s="179">
        <v>0</v>
      </c>
      <c r="R170" s="180">
        <v>0</v>
      </c>
      <c r="S170" s="178">
        <f t="shared" si="10"/>
        <v>219203.8</v>
      </c>
      <c r="T170" s="195">
        <f t="shared" si="11"/>
        <v>224187</v>
      </c>
      <c r="U170" s="179">
        <v>199429.8</v>
      </c>
      <c r="V170" s="180">
        <v>201172</v>
      </c>
      <c r="W170" s="179">
        <v>9102</v>
      </c>
      <c r="X170" s="180">
        <v>11102</v>
      </c>
      <c r="Y170" s="179">
        <v>9895.22</v>
      </c>
      <c r="Z170" s="179">
        <v>468</v>
      </c>
      <c r="AA170" s="179">
        <v>308.78</v>
      </c>
      <c r="AB170" s="180">
        <v>11333</v>
      </c>
      <c r="AC170" s="180">
        <v>391</v>
      </c>
      <c r="AD170" s="180">
        <v>189</v>
      </c>
      <c r="AE170" s="179">
        <v>0</v>
      </c>
      <c r="AF170" s="256">
        <v>0</v>
      </c>
    </row>
    <row r="171" spans="1:32" s="223" customFormat="1" ht="15" customHeight="1">
      <c r="A171" s="157" t="s">
        <v>391</v>
      </c>
      <c r="B171" s="157" t="s">
        <v>394</v>
      </c>
      <c r="C171" s="25">
        <v>139755</v>
      </c>
      <c r="D171" s="209">
        <v>2</v>
      </c>
      <c r="E171" s="178">
        <f t="shared" si="8"/>
        <v>345931</v>
      </c>
      <c r="F171" s="195">
        <f t="shared" si="9"/>
        <v>344402</v>
      </c>
      <c r="G171" s="179">
        <v>336977</v>
      </c>
      <c r="H171" s="180">
        <v>332847</v>
      </c>
      <c r="I171" s="179">
        <v>7139</v>
      </c>
      <c r="J171" s="180">
        <v>8519</v>
      </c>
      <c r="K171" s="179">
        <v>316</v>
      </c>
      <c r="L171" s="179">
        <v>1103</v>
      </c>
      <c r="M171" s="179">
        <v>396</v>
      </c>
      <c r="N171" s="180">
        <v>403</v>
      </c>
      <c r="O171" s="180">
        <f>561+1565</f>
        <v>2126</v>
      </c>
      <c r="P171" s="180">
        <v>507</v>
      </c>
      <c r="Q171" s="179">
        <v>0</v>
      </c>
      <c r="R171" s="180">
        <v>0</v>
      </c>
      <c r="S171" s="178">
        <f t="shared" si="10"/>
        <v>184136</v>
      </c>
      <c r="T171" s="195">
        <f t="shared" si="11"/>
        <v>189510</v>
      </c>
      <c r="U171" s="179">
        <v>178474</v>
      </c>
      <c r="V171" s="180">
        <v>183001</v>
      </c>
      <c r="W171" s="179">
        <v>2786</v>
      </c>
      <c r="X171" s="180">
        <v>3294</v>
      </c>
      <c r="Y171" s="179">
        <v>321</v>
      </c>
      <c r="Z171" s="179">
        <v>15.48</v>
      </c>
      <c r="AA171" s="179">
        <v>2539.52</v>
      </c>
      <c r="AB171" s="180">
        <v>513</v>
      </c>
      <c r="AC171" s="180">
        <v>132</v>
      </c>
      <c r="AD171" s="180">
        <v>2570</v>
      </c>
      <c r="AE171" s="179">
        <v>0</v>
      </c>
      <c r="AF171" s="256">
        <v>0</v>
      </c>
    </row>
    <row r="172" spans="1:32" s="223" customFormat="1" ht="15" customHeight="1">
      <c r="A172" s="157" t="s">
        <v>391</v>
      </c>
      <c r="B172" s="157" t="s">
        <v>395</v>
      </c>
      <c r="C172" s="25">
        <v>139931</v>
      </c>
      <c r="D172" s="209">
        <v>3</v>
      </c>
      <c r="E172" s="178">
        <f t="shared" si="8"/>
        <v>391053</v>
      </c>
      <c r="F172" s="195">
        <f t="shared" si="9"/>
        <v>403819</v>
      </c>
      <c r="G172" s="179">
        <v>386161</v>
      </c>
      <c r="H172" s="180">
        <v>398618</v>
      </c>
      <c r="I172" s="179">
        <v>1684</v>
      </c>
      <c r="J172" s="180">
        <v>1748</v>
      </c>
      <c r="K172" s="179">
        <v>1972</v>
      </c>
      <c r="L172" s="179">
        <v>1236</v>
      </c>
      <c r="M172" s="179">
        <v>0</v>
      </c>
      <c r="N172" s="180">
        <v>2415</v>
      </c>
      <c r="O172" s="180">
        <f>51+987</f>
        <v>1038</v>
      </c>
      <c r="P172" s="180">
        <v>0</v>
      </c>
      <c r="Q172" s="179">
        <v>0</v>
      </c>
      <c r="R172" s="180">
        <v>0</v>
      </c>
      <c r="S172" s="178">
        <f t="shared" si="10"/>
        <v>29993</v>
      </c>
      <c r="T172" s="195">
        <f t="shared" si="11"/>
        <v>30722</v>
      </c>
      <c r="U172" s="179">
        <v>16839</v>
      </c>
      <c r="V172" s="180">
        <v>17541</v>
      </c>
      <c r="W172" s="179">
        <v>4457</v>
      </c>
      <c r="X172" s="180">
        <v>4221</v>
      </c>
      <c r="Y172" s="179">
        <v>8196.4</v>
      </c>
      <c r="Z172" s="179">
        <v>500.6</v>
      </c>
      <c r="AA172" s="179">
        <v>0</v>
      </c>
      <c r="AB172" s="180">
        <v>8465</v>
      </c>
      <c r="AC172" s="180">
        <f>18+477</f>
        <v>495</v>
      </c>
      <c r="AD172" s="180">
        <v>0</v>
      </c>
      <c r="AE172" s="179">
        <v>0</v>
      </c>
      <c r="AF172" s="256">
        <v>0</v>
      </c>
    </row>
    <row r="173" spans="1:32" s="223" customFormat="1" ht="15" customHeight="1">
      <c r="A173" s="157" t="s">
        <v>391</v>
      </c>
      <c r="B173" s="157" t="s">
        <v>665</v>
      </c>
      <c r="C173" s="25">
        <v>141334</v>
      </c>
      <c r="D173" s="209">
        <v>3</v>
      </c>
      <c r="E173" s="178">
        <f t="shared" si="8"/>
        <v>219502</v>
      </c>
      <c r="F173" s="195">
        <f t="shared" si="9"/>
        <v>226641</v>
      </c>
      <c r="G173" s="179">
        <v>203711</v>
      </c>
      <c r="H173" s="180">
        <v>209883</v>
      </c>
      <c r="I173" s="179">
        <v>6928</v>
      </c>
      <c r="J173" s="180">
        <v>7745</v>
      </c>
      <c r="K173" s="179">
        <v>8863</v>
      </c>
      <c r="L173" s="179">
        <v>0</v>
      </c>
      <c r="M173" s="179">
        <v>0</v>
      </c>
      <c r="N173" s="180">
        <v>9013</v>
      </c>
      <c r="O173" s="180">
        <v>0</v>
      </c>
      <c r="P173" s="180">
        <v>0</v>
      </c>
      <c r="Q173" s="179">
        <v>0</v>
      </c>
      <c r="R173" s="180">
        <v>0</v>
      </c>
      <c r="S173" s="178">
        <f t="shared" si="10"/>
        <v>29150</v>
      </c>
      <c r="T173" s="195">
        <f t="shared" si="11"/>
        <v>28051</v>
      </c>
      <c r="U173" s="179">
        <v>18907</v>
      </c>
      <c r="V173" s="180">
        <v>19191</v>
      </c>
      <c r="W173" s="179">
        <v>6340</v>
      </c>
      <c r="X173" s="180">
        <v>4192</v>
      </c>
      <c r="Y173" s="179">
        <v>3219.54</v>
      </c>
      <c r="Z173" s="179">
        <v>672.96</v>
      </c>
      <c r="AA173" s="179">
        <v>10.5</v>
      </c>
      <c r="AB173" s="180">
        <v>4609</v>
      </c>
      <c r="AC173" s="180">
        <v>15</v>
      </c>
      <c r="AD173" s="180">
        <v>0</v>
      </c>
      <c r="AE173" s="179">
        <v>0</v>
      </c>
      <c r="AF173" s="256">
        <v>44</v>
      </c>
    </row>
    <row r="174" spans="1:32" s="223" customFormat="1" ht="15" customHeight="1">
      <c r="A174" s="157" t="s">
        <v>391</v>
      </c>
      <c r="B174" s="157" t="s">
        <v>396</v>
      </c>
      <c r="C174" s="25">
        <v>138716</v>
      </c>
      <c r="D174" s="209">
        <v>4</v>
      </c>
      <c r="E174" s="178">
        <f t="shared" si="8"/>
        <v>89818</v>
      </c>
      <c r="F174" s="195">
        <f t="shared" si="9"/>
        <v>93002</v>
      </c>
      <c r="G174" s="179">
        <v>88908</v>
      </c>
      <c r="H174" s="180">
        <v>92430</v>
      </c>
      <c r="I174" s="179">
        <v>839</v>
      </c>
      <c r="J174" s="180">
        <v>554</v>
      </c>
      <c r="K174" s="179">
        <v>0</v>
      </c>
      <c r="L174" s="179">
        <v>71</v>
      </c>
      <c r="M174" s="179">
        <v>0</v>
      </c>
      <c r="N174" s="180">
        <v>0</v>
      </c>
      <c r="O174" s="180">
        <v>18</v>
      </c>
      <c r="P174" s="180">
        <v>0</v>
      </c>
      <c r="Q174" s="179">
        <v>0</v>
      </c>
      <c r="R174" s="180">
        <v>0</v>
      </c>
      <c r="S174" s="178">
        <f t="shared" si="10"/>
        <v>8480</v>
      </c>
      <c r="T174" s="195">
        <f t="shared" si="11"/>
        <v>8078</v>
      </c>
      <c r="U174" s="179">
        <v>7748</v>
      </c>
      <c r="V174" s="180">
        <v>7505</v>
      </c>
      <c r="W174" s="179">
        <v>444</v>
      </c>
      <c r="X174" s="180">
        <v>441</v>
      </c>
      <c r="Y174" s="179">
        <v>12</v>
      </c>
      <c r="Z174" s="179">
        <v>276</v>
      </c>
      <c r="AA174" s="179">
        <v>0</v>
      </c>
      <c r="AB174" s="180">
        <v>0</v>
      </c>
      <c r="AC174" s="180">
        <v>132</v>
      </c>
      <c r="AD174" s="180">
        <v>0</v>
      </c>
      <c r="AE174" s="179">
        <v>0</v>
      </c>
      <c r="AF174" s="256">
        <v>0</v>
      </c>
    </row>
    <row r="175" spans="1:32" s="223" customFormat="1" ht="15" customHeight="1">
      <c r="A175" s="157" t="s">
        <v>391</v>
      </c>
      <c r="B175" s="157" t="s">
        <v>401</v>
      </c>
      <c r="C175" s="25">
        <v>138789</v>
      </c>
      <c r="D175" s="209">
        <v>4</v>
      </c>
      <c r="E175" s="178">
        <f t="shared" si="8"/>
        <v>140601</v>
      </c>
      <c r="F175" s="195">
        <f t="shared" si="9"/>
        <v>147821</v>
      </c>
      <c r="G175" s="179">
        <v>127507</v>
      </c>
      <c r="H175" s="180">
        <v>132656</v>
      </c>
      <c r="I175" s="179">
        <v>10052</v>
      </c>
      <c r="J175" s="180">
        <v>10383</v>
      </c>
      <c r="K175" s="179">
        <v>2751</v>
      </c>
      <c r="L175" s="179">
        <v>291</v>
      </c>
      <c r="M175" s="179">
        <v>0</v>
      </c>
      <c r="N175" s="180">
        <v>4473</v>
      </c>
      <c r="O175" s="180">
        <f>57+252</f>
        <v>309</v>
      </c>
      <c r="P175" s="180">
        <v>0</v>
      </c>
      <c r="Q175" s="179">
        <v>0</v>
      </c>
      <c r="R175" s="180">
        <v>0</v>
      </c>
      <c r="S175" s="178">
        <f t="shared" si="10"/>
        <v>14939</v>
      </c>
      <c r="T175" s="195">
        <f t="shared" si="11"/>
        <v>15456</v>
      </c>
      <c r="U175" s="179">
        <v>12183</v>
      </c>
      <c r="V175" s="180">
        <v>12321</v>
      </c>
      <c r="W175" s="179">
        <v>1360</v>
      </c>
      <c r="X175" s="180">
        <v>893</v>
      </c>
      <c r="Y175" s="179">
        <v>1173</v>
      </c>
      <c r="Z175" s="179">
        <v>223</v>
      </c>
      <c r="AA175" s="179">
        <v>0</v>
      </c>
      <c r="AB175" s="180">
        <v>2078</v>
      </c>
      <c r="AC175" s="180">
        <f>12+152</f>
        <v>164</v>
      </c>
      <c r="AD175" s="180">
        <v>0</v>
      </c>
      <c r="AE175" s="179">
        <v>0</v>
      </c>
      <c r="AF175" s="256">
        <v>0</v>
      </c>
    </row>
    <row r="176" spans="1:32" s="223" customFormat="1" ht="15" customHeight="1">
      <c r="A176" s="157" t="s">
        <v>391</v>
      </c>
      <c r="B176" s="157" t="s">
        <v>397</v>
      </c>
      <c r="C176" s="25">
        <v>139366</v>
      </c>
      <c r="D176" s="209">
        <v>4</v>
      </c>
      <c r="E176" s="178">
        <f t="shared" si="8"/>
        <v>149577</v>
      </c>
      <c r="F176" s="195">
        <f t="shared" si="9"/>
        <v>160739</v>
      </c>
      <c r="G176" s="179">
        <v>141507</v>
      </c>
      <c r="H176" s="180">
        <v>151206</v>
      </c>
      <c r="I176" s="179">
        <v>1963</v>
      </c>
      <c r="J176" s="180">
        <v>2846</v>
      </c>
      <c r="K176" s="179">
        <v>6095</v>
      </c>
      <c r="L176" s="179">
        <v>12</v>
      </c>
      <c r="M176" s="179">
        <v>0</v>
      </c>
      <c r="N176" s="180">
        <v>6687</v>
      </c>
      <c r="O176" s="180">
        <v>0</v>
      </c>
      <c r="P176" s="180">
        <v>0</v>
      </c>
      <c r="Q176" s="179">
        <v>0</v>
      </c>
      <c r="R176" s="180">
        <v>0</v>
      </c>
      <c r="S176" s="178">
        <f t="shared" si="10"/>
        <v>15703</v>
      </c>
      <c r="T176" s="195">
        <f t="shared" si="11"/>
        <v>15901</v>
      </c>
      <c r="U176" s="179">
        <v>11203</v>
      </c>
      <c r="V176" s="180">
        <v>11878</v>
      </c>
      <c r="W176" s="179">
        <v>986</v>
      </c>
      <c r="X176" s="180">
        <v>1159</v>
      </c>
      <c r="Y176" s="179">
        <v>1989</v>
      </c>
      <c r="Z176" s="179">
        <v>1525</v>
      </c>
      <c r="AA176" s="179">
        <v>0</v>
      </c>
      <c r="AB176" s="180">
        <v>1898</v>
      </c>
      <c r="AC176" s="180">
        <v>966</v>
      </c>
      <c r="AD176" s="180">
        <v>0</v>
      </c>
      <c r="AE176" s="179">
        <v>0</v>
      </c>
      <c r="AF176" s="256">
        <v>0</v>
      </c>
    </row>
    <row r="177" spans="1:32" s="223" customFormat="1" ht="15" customHeight="1">
      <c r="A177" s="157" t="s">
        <v>391</v>
      </c>
      <c r="B177" s="157" t="s">
        <v>398</v>
      </c>
      <c r="C177" s="25">
        <v>139861</v>
      </c>
      <c r="D177" s="209">
        <v>4</v>
      </c>
      <c r="E177" s="178">
        <f t="shared" si="8"/>
        <v>129553</v>
      </c>
      <c r="F177" s="195">
        <f t="shared" si="9"/>
        <v>127780</v>
      </c>
      <c r="G177" s="179">
        <v>125656</v>
      </c>
      <c r="H177" s="180">
        <v>124497</v>
      </c>
      <c r="I177" s="179">
        <v>3723</v>
      </c>
      <c r="J177" s="180">
        <v>2719</v>
      </c>
      <c r="K177" s="179">
        <v>48</v>
      </c>
      <c r="L177" s="179">
        <v>126</v>
      </c>
      <c r="M177" s="179">
        <v>0</v>
      </c>
      <c r="N177" s="180">
        <v>486</v>
      </c>
      <c r="O177" s="180">
        <f>39+39</f>
        <v>78</v>
      </c>
      <c r="P177" s="180">
        <v>0</v>
      </c>
      <c r="Q177" s="179">
        <v>0</v>
      </c>
      <c r="R177" s="180">
        <v>0</v>
      </c>
      <c r="S177" s="178">
        <f t="shared" si="10"/>
        <v>19273</v>
      </c>
      <c r="T177" s="195">
        <f t="shared" si="11"/>
        <v>18236</v>
      </c>
      <c r="U177" s="179">
        <v>7390</v>
      </c>
      <c r="V177" s="180">
        <v>6965</v>
      </c>
      <c r="W177" s="179">
        <v>8920</v>
      </c>
      <c r="X177" s="180">
        <v>8446</v>
      </c>
      <c r="Y177" s="179">
        <v>2705</v>
      </c>
      <c r="Z177" s="179">
        <v>258</v>
      </c>
      <c r="AA177" s="179">
        <v>0</v>
      </c>
      <c r="AB177" s="180">
        <v>2645</v>
      </c>
      <c r="AC177" s="180">
        <f>6+174</f>
        <v>180</v>
      </c>
      <c r="AD177" s="180">
        <v>0</v>
      </c>
      <c r="AE177" s="179">
        <v>0</v>
      </c>
      <c r="AF177" s="256">
        <v>0</v>
      </c>
    </row>
    <row r="178" spans="1:32" s="223" customFormat="1" ht="12.75">
      <c r="A178" s="157" t="s">
        <v>391</v>
      </c>
      <c r="B178" s="157" t="s">
        <v>399</v>
      </c>
      <c r="C178" s="25">
        <v>140164</v>
      </c>
      <c r="D178" s="209">
        <v>4</v>
      </c>
      <c r="E178" s="178">
        <f t="shared" si="8"/>
        <v>378815</v>
      </c>
      <c r="F178" s="195">
        <f t="shared" si="9"/>
        <v>403462</v>
      </c>
      <c r="G178" s="179">
        <v>371624</v>
      </c>
      <c r="H178" s="180">
        <v>395743</v>
      </c>
      <c r="I178" s="179">
        <v>0</v>
      </c>
      <c r="J178" s="180">
        <v>18</v>
      </c>
      <c r="K178" s="179">
        <v>7191</v>
      </c>
      <c r="L178" s="179">
        <v>0</v>
      </c>
      <c r="M178" s="179">
        <v>0</v>
      </c>
      <c r="N178" s="180">
        <v>7701</v>
      </c>
      <c r="O178" s="180">
        <v>0</v>
      </c>
      <c r="P178" s="180">
        <v>0</v>
      </c>
      <c r="Q178" s="179">
        <v>0</v>
      </c>
      <c r="R178" s="180">
        <v>0</v>
      </c>
      <c r="S178" s="178">
        <f t="shared" si="10"/>
        <v>30854</v>
      </c>
      <c r="T178" s="195">
        <f t="shared" si="11"/>
        <v>31716</v>
      </c>
      <c r="U178" s="179">
        <v>26187</v>
      </c>
      <c r="V178" s="180">
        <v>28712</v>
      </c>
      <c r="W178" s="179">
        <v>3823</v>
      </c>
      <c r="X178" s="180">
        <v>2746</v>
      </c>
      <c r="Y178" s="179">
        <v>844</v>
      </c>
      <c r="Z178" s="179">
        <v>0</v>
      </c>
      <c r="AA178" s="179">
        <v>0</v>
      </c>
      <c r="AB178" s="180">
        <v>258</v>
      </c>
      <c r="AC178" s="180">
        <v>0</v>
      </c>
      <c r="AD178" s="180">
        <v>0</v>
      </c>
      <c r="AE178" s="179">
        <v>0</v>
      </c>
      <c r="AF178" s="256">
        <v>0</v>
      </c>
    </row>
    <row r="179" spans="1:32" s="223" customFormat="1" ht="15" customHeight="1">
      <c r="A179" s="157" t="s">
        <v>391</v>
      </c>
      <c r="B179" s="157" t="s">
        <v>400</v>
      </c>
      <c r="C179" s="25">
        <v>141264</v>
      </c>
      <c r="D179" s="209">
        <v>4</v>
      </c>
      <c r="E179" s="178">
        <f t="shared" si="8"/>
        <v>236575.99999999997</v>
      </c>
      <c r="F179" s="195">
        <f t="shared" si="9"/>
        <v>248689</v>
      </c>
      <c r="G179" s="179">
        <v>210089</v>
      </c>
      <c r="H179" s="180">
        <v>223363</v>
      </c>
      <c r="I179" s="179">
        <v>12541</v>
      </c>
      <c r="J179" s="180">
        <v>11682</v>
      </c>
      <c r="K179" s="179">
        <v>8013.55</v>
      </c>
      <c r="L179" s="179">
        <v>869.4</v>
      </c>
      <c r="M179" s="179">
        <v>4742.75</v>
      </c>
      <c r="N179" s="180">
        <v>7660</v>
      </c>
      <c r="O179" s="180">
        <f>42+100</f>
        <v>142</v>
      </c>
      <c r="P179" s="180">
        <v>4998</v>
      </c>
      <c r="Q179" s="179">
        <v>320.3</v>
      </c>
      <c r="R179" s="180">
        <v>844</v>
      </c>
      <c r="S179" s="178">
        <f t="shared" si="10"/>
        <v>28592</v>
      </c>
      <c r="T179" s="195">
        <f t="shared" si="11"/>
        <v>26477</v>
      </c>
      <c r="U179" s="179">
        <v>11474</v>
      </c>
      <c r="V179" s="180">
        <v>12012</v>
      </c>
      <c r="W179" s="179">
        <v>12588</v>
      </c>
      <c r="X179" s="180">
        <v>8113</v>
      </c>
      <c r="Y179" s="179">
        <v>3747.8</v>
      </c>
      <c r="Z179" s="179">
        <v>70</v>
      </c>
      <c r="AA179" s="179">
        <v>550.95</v>
      </c>
      <c r="AB179" s="180">
        <v>5045</v>
      </c>
      <c r="AC179" s="180">
        <f>10+23</f>
        <v>33</v>
      </c>
      <c r="AD179" s="180">
        <v>920</v>
      </c>
      <c r="AE179" s="179">
        <v>161.25</v>
      </c>
      <c r="AF179" s="256">
        <v>354</v>
      </c>
    </row>
    <row r="180" spans="1:32" s="223" customFormat="1" ht="15" customHeight="1">
      <c r="A180" s="157" t="s">
        <v>391</v>
      </c>
      <c r="B180" s="157" t="s">
        <v>402</v>
      </c>
      <c r="C180" s="25">
        <v>138983</v>
      </c>
      <c r="D180" s="209">
        <v>5</v>
      </c>
      <c r="E180" s="178">
        <f t="shared" si="8"/>
        <v>138475</v>
      </c>
      <c r="F180" s="195">
        <f t="shared" si="9"/>
        <v>143437</v>
      </c>
      <c r="G180" s="179">
        <v>136653</v>
      </c>
      <c r="H180" s="180">
        <v>140475</v>
      </c>
      <c r="I180" s="179">
        <v>529</v>
      </c>
      <c r="J180" s="180">
        <v>760</v>
      </c>
      <c r="K180" s="179">
        <v>1293</v>
      </c>
      <c r="L180" s="179">
        <v>0</v>
      </c>
      <c r="M180" s="179">
        <v>0</v>
      </c>
      <c r="N180" s="180">
        <v>2202</v>
      </c>
      <c r="O180" s="180">
        <v>0</v>
      </c>
      <c r="P180" s="180">
        <v>0</v>
      </c>
      <c r="Q180" s="179">
        <v>0</v>
      </c>
      <c r="R180" s="180">
        <v>0</v>
      </c>
      <c r="S180" s="178">
        <f t="shared" si="10"/>
        <v>8265</v>
      </c>
      <c r="T180" s="195">
        <f t="shared" si="11"/>
        <v>9159</v>
      </c>
      <c r="U180" s="179">
        <v>8250</v>
      </c>
      <c r="V180" s="180">
        <v>9132</v>
      </c>
      <c r="W180" s="179">
        <v>15</v>
      </c>
      <c r="X180" s="180">
        <v>27</v>
      </c>
      <c r="Y180" s="179">
        <v>0</v>
      </c>
      <c r="Z180" s="179">
        <v>0</v>
      </c>
      <c r="AA180" s="179">
        <v>0</v>
      </c>
      <c r="AB180" s="180">
        <v>0</v>
      </c>
      <c r="AC180" s="180">
        <v>0</v>
      </c>
      <c r="AD180" s="180">
        <v>0</v>
      </c>
      <c r="AE180" s="179">
        <v>0</v>
      </c>
      <c r="AF180" s="256">
        <v>0</v>
      </c>
    </row>
    <row r="181" spans="1:32" s="223" customFormat="1" ht="15" customHeight="1">
      <c r="A181" s="157" t="s">
        <v>391</v>
      </c>
      <c r="B181" s="157" t="s">
        <v>403</v>
      </c>
      <c r="C181" s="25">
        <v>139719</v>
      </c>
      <c r="D181" s="209">
        <v>5</v>
      </c>
      <c r="E181" s="178">
        <f t="shared" si="8"/>
        <v>65916</v>
      </c>
      <c r="F181" s="195">
        <f t="shared" si="9"/>
        <v>68935</v>
      </c>
      <c r="G181" s="179">
        <v>65878</v>
      </c>
      <c r="H181" s="180">
        <v>68902</v>
      </c>
      <c r="I181" s="179">
        <v>0</v>
      </c>
      <c r="J181" s="180">
        <v>0</v>
      </c>
      <c r="K181" s="179">
        <v>0</v>
      </c>
      <c r="L181" s="179">
        <v>38</v>
      </c>
      <c r="M181" s="179">
        <v>0</v>
      </c>
      <c r="N181" s="180">
        <v>0</v>
      </c>
      <c r="O181" s="180">
        <f>12+21</f>
        <v>33</v>
      </c>
      <c r="P181" s="180">
        <v>0</v>
      </c>
      <c r="Q181" s="179">
        <v>0</v>
      </c>
      <c r="R181" s="180">
        <v>0</v>
      </c>
      <c r="S181" s="178">
        <f t="shared" si="10"/>
        <v>4322</v>
      </c>
      <c r="T181" s="195">
        <f t="shared" si="11"/>
        <v>3941</v>
      </c>
      <c r="U181" s="179">
        <v>4322</v>
      </c>
      <c r="V181" s="180">
        <v>3941</v>
      </c>
      <c r="W181" s="179">
        <v>0</v>
      </c>
      <c r="X181" s="180">
        <v>0</v>
      </c>
      <c r="Y181" s="179">
        <v>0</v>
      </c>
      <c r="Z181" s="179">
        <v>0</v>
      </c>
      <c r="AA181" s="179">
        <v>0</v>
      </c>
      <c r="AB181" s="180">
        <v>0</v>
      </c>
      <c r="AC181" s="180">
        <v>0</v>
      </c>
      <c r="AD181" s="180">
        <v>0</v>
      </c>
      <c r="AE181" s="179">
        <v>0</v>
      </c>
      <c r="AF181" s="256">
        <v>0</v>
      </c>
    </row>
    <row r="182" spans="1:32" s="223" customFormat="1" ht="15" customHeight="1">
      <c r="A182" s="157" t="s">
        <v>391</v>
      </c>
      <c r="B182" s="157" t="s">
        <v>404</v>
      </c>
      <c r="C182" s="25">
        <v>139764</v>
      </c>
      <c r="D182" s="209">
        <v>5</v>
      </c>
      <c r="E182" s="178">
        <f t="shared" si="8"/>
        <v>56232</v>
      </c>
      <c r="F182" s="195">
        <f t="shared" si="9"/>
        <v>57118</v>
      </c>
      <c r="G182" s="179">
        <v>51751</v>
      </c>
      <c r="H182" s="180">
        <v>51327</v>
      </c>
      <c r="I182" s="179">
        <v>520</v>
      </c>
      <c r="J182" s="180">
        <v>557</v>
      </c>
      <c r="K182" s="179">
        <v>3562</v>
      </c>
      <c r="L182" s="179">
        <v>399</v>
      </c>
      <c r="M182" s="179">
        <v>0</v>
      </c>
      <c r="N182" s="180">
        <v>4844</v>
      </c>
      <c r="O182" s="180">
        <f>6+384</f>
        <v>390</v>
      </c>
      <c r="P182" s="180">
        <v>0</v>
      </c>
      <c r="Q182" s="179">
        <v>0</v>
      </c>
      <c r="R182" s="180">
        <v>0</v>
      </c>
      <c r="S182" s="178">
        <f t="shared" si="10"/>
        <v>6156</v>
      </c>
      <c r="T182" s="195">
        <f t="shared" si="11"/>
        <v>3756</v>
      </c>
      <c r="U182" s="179">
        <v>4638</v>
      </c>
      <c r="V182" s="180">
        <v>2301</v>
      </c>
      <c r="W182" s="179">
        <v>498</v>
      </c>
      <c r="X182" s="180">
        <v>6</v>
      </c>
      <c r="Y182" s="179">
        <v>1020</v>
      </c>
      <c r="Z182" s="179">
        <v>0</v>
      </c>
      <c r="AA182" s="179">
        <v>0</v>
      </c>
      <c r="AB182" s="180">
        <v>1449</v>
      </c>
      <c r="AC182" s="180">
        <v>0</v>
      </c>
      <c r="AD182" s="180">
        <v>0</v>
      </c>
      <c r="AE182" s="179">
        <v>0</v>
      </c>
      <c r="AF182" s="256">
        <v>0</v>
      </c>
    </row>
    <row r="183" spans="1:32" s="223" customFormat="1" ht="15" customHeight="1">
      <c r="A183" s="157" t="s">
        <v>391</v>
      </c>
      <c r="B183" s="157" t="s">
        <v>405</v>
      </c>
      <c r="C183" s="25">
        <v>140669</v>
      </c>
      <c r="D183" s="209">
        <v>5</v>
      </c>
      <c r="E183" s="178">
        <f t="shared" si="8"/>
        <v>109477</v>
      </c>
      <c r="F183" s="195">
        <f t="shared" si="9"/>
        <v>115700</v>
      </c>
      <c r="G183" s="179">
        <v>100559</v>
      </c>
      <c r="H183" s="180">
        <v>106118</v>
      </c>
      <c r="I183" s="179">
        <v>6374</v>
      </c>
      <c r="J183" s="180">
        <v>6003</v>
      </c>
      <c r="K183" s="179">
        <v>111.15</v>
      </c>
      <c r="L183" s="179">
        <v>2400</v>
      </c>
      <c r="M183" s="179">
        <v>32.85</v>
      </c>
      <c r="N183" s="180">
        <v>748</v>
      </c>
      <c r="O183" s="180">
        <f>159+2639</f>
        <v>2798</v>
      </c>
      <c r="P183" s="180">
        <v>33</v>
      </c>
      <c r="Q183" s="179">
        <v>0</v>
      </c>
      <c r="R183" s="180">
        <v>0</v>
      </c>
      <c r="S183" s="178">
        <f t="shared" si="10"/>
        <v>10008</v>
      </c>
      <c r="T183" s="195">
        <f t="shared" si="11"/>
        <v>10226</v>
      </c>
      <c r="U183" s="179">
        <v>8034</v>
      </c>
      <c r="V183" s="180">
        <v>8430</v>
      </c>
      <c r="W183" s="179">
        <v>1479</v>
      </c>
      <c r="X183" s="180">
        <v>1193</v>
      </c>
      <c r="Y183" s="179">
        <v>405</v>
      </c>
      <c r="Z183" s="179">
        <v>90</v>
      </c>
      <c r="AA183" s="179">
        <v>0</v>
      </c>
      <c r="AB183" s="180">
        <v>530</v>
      </c>
      <c r="AC183" s="180">
        <f>48+24</f>
        <v>72</v>
      </c>
      <c r="AD183" s="180">
        <v>0</v>
      </c>
      <c r="AE183" s="179">
        <v>0</v>
      </c>
      <c r="AF183" s="256">
        <v>1</v>
      </c>
    </row>
    <row r="184" spans="1:32" s="223" customFormat="1" ht="15" customHeight="1">
      <c r="A184" s="157" t="s">
        <v>391</v>
      </c>
      <c r="B184" s="157" t="s">
        <v>406</v>
      </c>
      <c r="C184" s="25">
        <v>140960</v>
      </c>
      <c r="D184" s="209">
        <v>5</v>
      </c>
      <c r="E184" s="178">
        <f t="shared" si="8"/>
        <v>71171</v>
      </c>
      <c r="F184" s="195">
        <f t="shared" si="9"/>
        <v>74513</v>
      </c>
      <c r="G184" s="179">
        <v>70709</v>
      </c>
      <c r="H184" s="180">
        <v>74276</v>
      </c>
      <c r="I184" s="179">
        <v>462</v>
      </c>
      <c r="J184" s="180">
        <v>237</v>
      </c>
      <c r="K184" s="179">
        <v>0</v>
      </c>
      <c r="L184" s="179">
        <v>0</v>
      </c>
      <c r="M184" s="179">
        <v>0</v>
      </c>
      <c r="N184" s="180">
        <v>0</v>
      </c>
      <c r="O184" s="180">
        <v>0</v>
      </c>
      <c r="P184" s="180">
        <v>0</v>
      </c>
      <c r="Q184" s="179">
        <v>0</v>
      </c>
      <c r="R184" s="180">
        <v>0</v>
      </c>
      <c r="S184" s="178">
        <f t="shared" si="10"/>
        <v>3649</v>
      </c>
      <c r="T184" s="195">
        <f t="shared" si="11"/>
        <v>3345</v>
      </c>
      <c r="U184" s="179">
        <v>2544</v>
      </c>
      <c r="V184" s="180">
        <v>2493</v>
      </c>
      <c r="W184" s="179">
        <v>707</v>
      </c>
      <c r="X184" s="180">
        <v>738</v>
      </c>
      <c r="Y184" s="179">
        <v>0</v>
      </c>
      <c r="Z184" s="179">
        <v>398</v>
      </c>
      <c r="AA184" s="179">
        <v>0</v>
      </c>
      <c r="AB184" s="180">
        <v>0</v>
      </c>
      <c r="AC184" s="180">
        <f>114</f>
        <v>114</v>
      </c>
      <c r="AD184" s="180">
        <v>0</v>
      </c>
      <c r="AE184" s="179">
        <v>0</v>
      </c>
      <c r="AF184" s="256">
        <v>0</v>
      </c>
    </row>
    <row r="185" spans="1:32" s="223" customFormat="1" ht="15" customHeight="1">
      <c r="A185" s="157" t="s">
        <v>391</v>
      </c>
      <c r="B185" s="157" t="s">
        <v>407</v>
      </c>
      <c r="C185" s="25">
        <v>139311</v>
      </c>
      <c r="D185" s="209">
        <v>6</v>
      </c>
      <c r="E185" s="178">
        <f t="shared" si="8"/>
        <v>133766</v>
      </c>
      <c r="F185" s="195">
        <f t="shared" si="9"/>
        <v>142234</v>
      </c>
      <c r="G185" s="179">
        <v>116549</v>
      </c>
      <c r="H185" s="180">
        <v>124132</v>
      </c>
      <c r="I185" s="179">
        <v>0</v>
      </c>
      <c r="J185" s="180">
        <v>0</v>
      </c>
      <c r="K185" s="179">
        <v>16323.85</v>
      </c>
      <c r="L185" s="179">
        <v>0</v>
      </c>
      <c r="M185" s="179">
        <v>206.75</v>
      </c>
      <c r="N185" s="180">
        <v>17287</v>
      </c>
      <c r="O185" s="180">
        <v>0</v>
      </c>
      <c r="P185" s="180">
        <v>90</v>
      </c>
      <c r="Q185" s="179">
        <v>686.4</v>
      </c>
      <c r="R185" s="180">
        <v>725</v>
      </c>
      <c r="S185" s="178">
        <f t="shared" si="10"/>
        <v>0</v>
      </c>
      <c r="T185" s="195">
        <f t="shared" si="11"/>
        <v>0</v>
      </c>
      <c r="U185" s="179">
        <v>0</v>
      </c>
      <c r="V185" s="180">
        <v>0</v>
      </c>
      <c r="W185" s="179">
        <v>0</v>
      </c>
      <c r="X185" s="180">
        <v>0</v>
      </c>
      <c r="Y185" s="179">
        <v>0</v>
      </c>
      <c r="Z185" s="179">
        <v>0</v>
      </c>
      <c r="AA185" s="179">
        <v>0</v>
      </c>
      <c r="AB185" s="180">
        <v>0</v>
      </c>
      <c r="AC185" s="180">
        <v>0</v>
      </c>
      <c r="AD185" s="180">
        <v>0</v>
      </c>
      <c r="AE185" s="179">
        <v>0</v>
      </c>
      <c r="AF185" s="256">
        <v>0</v>
      </c>
    </row>
    <row r="186" spans="1:32" s="223" customFormat="1" ht="15" customHeight="1">
      <c r="A186" s="157" t="s">
        <v>391</v>
      </c>
      <c r="B186" s="157" t="s">
        <v>408</v>
      </c>
      <c r="C186" s="25">
        <v>139463</v>
      </c>
      <c r="D186" s="209">
        <v>7</v>
      </c>
      <c r="E186" s="178">
        <f t="shared" si="8"/>
        <v>83263</v>
      </c>
      <c r="F186" s="195">
        <f t="shared" si="9"/>
        <v>83954</v>
      </c>
      <c r="G186" s="179">
        <v>81087</v>
      </c>
      <c r="H186" s="180">
        <v>82381</v>
      </c>
      <c r="I186" s="179">
        <v>2176</v>
      </c>
      <c r="J186" s="180">
        <v>1558</v>
      </c>
      <c r="K186" s="179">
        <v>0</v>
      </c>
      <c r="L186" s="179">
        <v>0</v>
      </c>
      <c r="M186" s="179">
        <v>0</v>
      </c>
      <c r="N186" s="180">
        <v>15</v>
      </c>
      <c r="O186" s="180">
        <v>0</v>
      </c>
      <c r="P186" s="180">
        <v>0</v>
      </c>
      <c r="Q186" s="179">
        <v>0</v>
      </c>
      <c r="R186" s="180">
        <v>0</v>
      </c>
      <c r="S186" s="178">
        <f t="shared" si="10"/>
        <v>0</v>
      </c>
      <c r="T186" s="195">
        <f t="shared" si="11"/>
        <v>0</v>
      </c>
      <c r="U186" s="179">
        <v>0</v>
      </c>
      <c r="V186" s="180">
        <v>0</v>
      </c>
      <c r="W186" s="179">
        <v>0</v>
      </c>
      <c r="X186" s="180">
        <v>0</v>
      </c>
      <c r="Y186" s="179">
        <v>0</v>
      </c>
      <c r="Z186" s="179">
        <v>0</v>
      </c>
      <c r="AA186" s="179">
        <v>0</v>
      </c>
      <c r="AB186" s="180">
        <v>0</v>
      </c>
      <c r="AC186" s="180">
        <v>0</v>
      </c>
      <c r="AD186" s="180">
        <v>0</v>
      </c>
      <c r="AE186" s="179">
        <v>0</v>
      </c>
      <c r="AF186" s="256">
        <v>0</v>
      </c>
    </row>
    <row r="187" spans="1:32" s="223" customFormat="1" ht="15" customHeight="1">
      <c r="A187" s="157" t="s">
        <v>391</v>
      </c>
      <c r="B187" s="157" t="s">
        <v>409</v>
      </c>
      <c r="C187" s="25">
        <v>140322</v>
      </c>
      <c r="D187" s="209">
        <v>7</v>
      </c>
      <c r="E187" s="178">
        <f t="shared" si="8"/>
        <v>114692</v>
      </c>
      <c r="F187" s="195">
        <f t="shared" si="9"/>
        <v>124151</v>
      </c>
      <c r="G187" s="179">
        <v>83683</v>
      </c>
      <c r="H187" s="180">
        <v>88369</v>
      </c>
      <c r="I187" s="179">
        <v>24439</v>
      </c>
      <c r="J187" s="180">
        <v>27609</v>
      </c>
      <c r="K187" s="179">
        <v>6570</v>
      </c>
      <c r="L187" s="179">
        <v>0</v>
      </c>
      <c r="M187" s="179">
        <v>0</v>
      </c>
      <c r="N187" s="180">
        <v>8173</v>
      </c>
      <c r="O187" s="180">
        <v>0</v>
      </c>
      <c r="P187" s="180">
        <v>0</v>
      </c>
      <c r="Q187" s="179">
        <v>0</v>
      </c>
      <c r="R187" s="180">
        <v>0</v>
      </c>
      <c r="S187" s="178">
        <f t="shared" si="10"/>
        <v>0</v>
      </c>
      <c r="T187" s="195">
        <f t="shared" si="11"/>
        <v>0</v>
      </c>
      <c r="U187" s="179">
        <v>0</v>
      </c>
      <c r="V187" s="180">
        <v>0</v>
      </c>
      <c r="W187" s="179">
        <v>0</v>
      </c>
      <c r="X187" s="180">
        <v>0</v>
      </c>
      <c r="Y187" s="179">
        <v>0</v>
      </c>
      <c r="Z187" s="179">
        <v>0</v>
      </c>
      <c r="AA187" s="179">
        <v>0</v>
      </c>
      <c r="AB187" s="180">
        <v>0</v>
      </c>
      <c r="AC187" s="180">
        <v>0</v>
      </c>
      <c r="AD187" s="180">
        <v>0</v>
      </c>
      <c r="AE187" s="179">
        <v>0</v>
      </c>
      <c r="AF187" s="256">
        <v>0</v>
      </c>
    </row>
    <row r="188" spans="1:32" s="223" customFormat="1" ht="15" customHeight="1">
      <c r="A188" s="157" t="s">
        <v>391</v>
      </c>
      <c r="B188" s="157" t="s">
        <v>410</v>
      </c>
      <c r="C188" s="25">
        <v>244437</v>
      </c>
      <c r="D188" s="209">
        <v>8</v>
      </c>
      <c r="E188" s="178">
        <f t="shared" si="8"/>
        <v>444800</v>
      </c>
      <c r="F188" s="195">
        <f t="shared" si="9"/>
        <v>470768</v>
      </c>
      <c r="G188" s="179">
        <v>413776</v>
      </c>
      <c r="H188" s="180">
        <v>438193</v>
      </c>
      <c r="I188" s="179">
        <v>9257</v>
      </c>
      <c r="J188" s="180">
        <v>9207</v>
      </c>
      <c r="K188" s="179">
        <v>15234.4</v>
      </c>
      <c r="L188" s="179">
        <v>346</v>
      </c>
      <c r="M188" s="179">
        <v>6186.6</v>
      </c>
      <c r="N188" s="180">
        <v>17290</v>
      </c>
      <c r="O188" s="180">
        <v>557</v>
      </c>
      <c r="P188" s="180">
        <v>5521</v>
      </c>
      <c r="Q188" s="179">
        <v>0</v>
      </c>
      <c r="R188" s="180">
        <v>0</v>
      </c>
      <c r="S188" s="178">
        <f t="shared" si="10"/>
        <v>0</v>
      </c>
      <c r="T188" s="195">
        <f t="shared" si="11"/>
        <v>0</v>
      </c>
      <c r="U188" s="179">
        <v>0</v>
      </c>
      <c r="V188" s="180">
        <v>0</v>
      </c>
      <c r="W188" s="179">
        <v>0</v>
      </c>
      <c r="X188" s="180">
        <v>0</v>
      </c>
      <c r="Y188" s="179">
        <v>0</v>
      </c>
      <c r="Z188" s="179">
        <v>0</v>
      </c>
      <c r="AA188" s="179">
        <v>0</v>
      </c>
      <c r="AB188" s="180">
        <v>0</v>
      </c>
      <c r="AC188" s="180">
        <v>0</v>
      </c>
      <c r="AD188" s="180">
        <v>0</v>
      </c>
      <c r="AE188" s="179">
        <v>0</v>
      </c>
      <c r="AF188" s="256">
        <v>0</v>
      </c>
    </row>
    <row r="189" spans="1:32" s="223" customFormat="1" ht="15" customHeight="1">
      <c r="A189" s="157" t="s">
        <v>391</v>
      </c>
      <c r="B189" s="157" t="s">
        <v>411</v>
      </c>
      <c r="C189" s="25">
        <v>138558</v>
      </c>
      <c r="D189" s="209">
        <v>9</v>
      </c>
      <c r="E189" s="178">
        <f t="shared" si="8"/>
        <v>78025</v>
      </c>
      <c r="F189" s="195">
        <f t="shared" si="9"/>
        <v>80433</v>
      </c>
      <c r="G189" s="179">
        <v>69585</v>
      </c>
      <c r="H189" s="180">
        <v>72051</v>
      </c>
      <c r="I189" s="179">
        <v>6263</v>
      </c>
      <c r="J189" s="180">
        <v>6085</v>
      </c>
      <c r="K189" s="179">
        <v>1073</v>
      </c>
      <c r="L189" s="179">
        <v>1104</v>
      </c>
      <c r="M189" s="179">
        <v>0</v>
      </c>
      <c r="N189" s="180">
        <v>1212</v>
      </c>
      <c r="O189" s="180">
        <v>1085</v>
      </c>
      <c r="P189" s="180">
        <v>0</v>
      </c>
      <c r="Q189" s="179">
        <v>0</v>
      </c>
      <c r="R189" s="180">
        <v>0</v>
      </c>
      <c r="S189" s="178">
        <f t="shared" si="10"/>
        <v>0</v>
      </c>
      <c r="T189" s="195">
        <f t="shared" si="11"/>
        <v>0</v>
      </c>
      <c r="U189" s="179">
        <v>0</v>
      </c>
      <c r="V189" s="180">
        <v>0</v>
      </c>
      <c r="W189" s="179">
        <v>0</v>
      </c>
      <c r="X189" s="180">
        <v>0</v>
      </c>
      <c r="Y189" s="179">
        <v>0</v>
      </c>
      <c r="Z189" s="179">
        <v>0</v>
      </c>
      <c r="AA189" s="179">
        <v>0</v>
      </c>
      <c r="AB189" s="180">
        <v>0</v>
      </c>
      <c r="AC189" s="180">
        <v>0</v>
      </c>
      <c r="AD189" s="180">
        <v>0</v>
      </c>
      <c r="AE189" s="179">
        <v>0</v>
      </c>
      <c r="AF189" s="256">
        <v>0</v>
      </c>
    </row>
    <row r="190" spans="1:32" s="223" customFormat="1" ht="15" customHeight="1">
      <c r="A190" s="157" t="s">
        <v>391</v>
      </c>
      <c r="B190" s="157" t="s">
        <v>412</v>
      </c>
      <c r="C190" s="25">
        <v>138691</v>
      </c>
      <c r="D190" s="209">
        <v>9</v>
      </c>
      <c r="E190" s="178">
        <f t="shared" si="8"/>
        <v>90836.5</v>
      </c>
      <c r="F190" s="195">
        <f t="shared" si="9"/>
        <v>96276</v>
      </c>
      <c r="G190" s="179">
        <v>76916.5</v>
      </c>
      <c r="H190" s="180">
        <v>77889</v>
      </c>
      <c r="I190" s="179">
        <v>5362</v>
      </c>
      <c r="J190" s="180">
        <v>6018</v>
      </c>
      <c r="K190" s="179">
        <v>7308</v>
      </c>
      <c r="L190" s="179">
        <v>39</v>
      </c>
      <c r="M190" s="179">
        <v>1211</v>
      </c>
      <c r="N190" s="180">
        <v>11565</v>
      </c>
      <c r="O190" s="180">
        <f>33+39</f>
        <v>72</v>
      </c>
      <c r="P190" s="180">
        <v>732</v>
      </c>
      <c r="Q190" s="179">
        <v>0</v>
      </c>
      <c r="R190" s="180">
        <v>0</v>
      </c>
      <c r="S190" s="178">
        <f t="shared" si="10"/>
        <v>0</v>
      </c>
      <c r="T190" s="195">
        <f t="shared" si="11"/>
        <v>0</v>
      </c>
      <c r="U190" s="179">
        <v>0</v>
      </c>
      <c r="V190" s="180">
        <v>0</v>
      </c>
      <c r="W190" s="179">
        <v>0</v>
      </c>
      <c r="X190" s="180">
        <v>0</v>
      </c>
      <c r="Y190" s="179">
        <v>0</v>
      </c>
      <c r="Z190" s="179">
        <v>0</v>
      </c>
      <c r="AA190" s="179">
        <v>0</v>
      </c>
      <c r="AB190" s="180">
        <v>0</v>
      </c>
      <c r="AC190" s="180">
        <v>0</v>
      </c>
      <c r="AD190" s="180">
        <v>0</v>
      </c>
      <c r="AE190" s="179">
        <v>0</v>
      </c>
      <c r="AF190" s="256">
        <v>0</v>
      </c>
    </row>
    <row r="191" spans="1:32" s="223" customFormat="1" ht="15" customHeight="1">
      <c r="A191" s="157" t="s">
        <v>391</v>
      </c>
      <c r="B191" s="157" t="s">
        <v>418</v>
      </c>
      <c r="C191" s="25">
        <v>139700</v>
      </c>
      <c r="D191" s="209">
        <v>9</v>
      </c>
      <c r="E191" s="178">
        <f t="shared" si="8"/>
        <v>71822</v>
      </c>
      <c r="F191" s="195">
        <f t="shared" si="9"/>
        <v>77163</v>
      </c>
      <c r="G191" s="179">
        <v>38080</v>
      </c>
      <c r="H191" s="180">
        <v>41497</v>
      </c>
      <c r="I191" s="179">
        <v>29439</v>
      </c>
      <c r="J191" s="180">
        <v>30796</v>
      </c>
      <c r="K191" s="179">
        <v>1790</v>
      </c>
      <c r="L191" s="179">
        <v>276</v>
      </c>
      <c r="M191" s="179">
        <v>2237</v>
      </c>
      <c r="N191" s="180">
        <v>2240</v>
      </c>
      <c r="O191" s="180">
        <f>90+117</f>
        <v>207</v>
      </c>
      <c r="P191" s="180">
        <v>2423</v>
      </c>
      <c r="Q191" s="179">
        <v>0</v>
      </c>
      <c r="R191" s="180">
        <v>0</v>
      </c>
      <c r="S191" s="178">
        <f t="shared" si="10"/>
        <v>0</v>
      </c>
      <c r="T191" s="195">
        <f t="shared" si="11"/>
        <v>0</v>
      </c>
      <c r="U191" s="179">
        <v>0</v>
      </c>
      <c r="V191" s="180">
        <v>0</v>
      </c>
      <c r="W191" s="179">
        <v>0</v>
      </c>
      <c r="X191" s="180">
        <v>0</v>
      </c>
      <c r="Y191" s="179">
        <v>0</v>
      </c>
      <c r="Z191" s="179">
        <v>0</v>
      </c>
      <c r="AA191" s="179">
        <v>0</v>
      </c>
      <c r="AB191" s="180">
        <v>0</v>
      </c>
      <c r="AC191" s="180">
        <v>0</v>
      </c>
      <c r="AD191" s="180">
        <v>0</v>
      </c>
      <c r="AE191" s="179">
        <v>0</v>
      </c>
      <c r="AF191" s="256">
        <v>0</v>
      </c>
    </row>
    <row r="192" spans="1:32" s="223" customFormat="1" ht="15" customHeight="1">
      <c r="A192" s="157" t="s">
        <v>391</v>
      </c>
      <c r="B192" s="157" t="s">
        <v>810</v>
      </c>
      <c r="C192" s="25">
        <v>139773</v>
      </c>
      <c r="D192" s="209">
        <v>9</v>
      </c>
      <c r="E192" s="178">
        <f t="shared" si="8"/>
        <v>110120</v>
      </c>
      <c r="F192" s="195">
        <f t="shared" si="9"/>
        <v>130126</v>
      </c>
      <c r="G192" s="179">
        <v>79969</v>
      </c>
      <c r="H192" s="180">
        <v>83381</v>
      </c>
      <c r="I192" s="179">
        <v>30151</v>
      </c>
      <c r="J192" s="180">
        <v>46745</v>
      </c>
      <c r="K192" s="179">
        <v>0</v>
      </c>
      <c r="L192" s="179">
        <v>0</v>
      </c>
      <c r="M192" s="179">
        <v>0</v>
      </c>
      <c r="N192" s="180">
        <v>0</v>
      </c>
      <c r="O192" s="180">
        <v>0</v>
      </c>
      <c r="P192" s="180">
        <v>0</v>
      </c>
      <c r="Q192" s="179">
        <v>0</v>
      </c>
      <c r="R192" s="180">
        <v>0</v>
      </c>
      <c r="S192" s="178">
        <f t="shared" si="10"/>
        <v>0</v>
      </c>
      <c r="T192" s="195">
        <f t="shared" si="11"/>
        <v>0</v>
      </c>
      <c r="U192" s="179">
        <v>0</v>
      </c>
      <c r="V192" s="180">
        <v>0</v>
      </c>
      <c r="W192" s="179">
        <v>0</v>
      </c>
      <c r="X192" s="180">
        <v>0</v>
      </c>
      <c r="Y192" s="179">
        <v>0</v>
      </c>
      <c r="Z192" s="179">
        <v>0</v>
      </c>
      <c r="AA192" s="179">
        <v>0</v>
      </c>
      <c r="AB192" s="180">
        <v>0</v>
      </c>
      <c r="AC192" s="180">
        <v>0</v>
      </c>
      <c r="AD192" s="180">
        <v>0</v>
      </c>
      <c r="AE192" s="179">
        <v>0</v>
      </c>
      <c r="AF192" s="256">
        <v>0</v>
      </c>
    </row>
    <row r="193" spans="1:32" s="223" customFormat="1" ht="15" customHeight="1">
      <c r="A193" s="157" t="s">
        <v>391</v>
      </c>
      <c r="B193" s="157" t="s">
        <v>413</v>
      </c>
      <c r="C193" s="25">
        <v>139968</v>
      </c>
      <c r="D193" s="209">
        <v>9</v>
      </c>
      <c r="E193" s="178">
        <f t="shared" si="8"/>
        <v>80968</v>
      </c>
      <c r="F193" s="195">
        <f t="shared" si="9"/>
        <v>83524</v>
      </c>
      <c r="G193" s="179">
        <v>75257</v>
      </c>
      <c r="H193" s="180">
        <v>77742</v>
      </c>
      <c r="I193" s="179">
        <v>5240</v>
      </c>
      <c r="J193" s="180">
        <v>5472</v>
      </c>
      <c r="K193" s="179">
        <v>471</v>
      </c>
      <c r="L193" s="179">
        <v>0</v>
      </c>
      <c r="M193" s="179">
        <v>0</v>
      </c>
      <c r="N193" s="180">
        <v>310</v>
      </c>
      <c r="O193" s="180">
        <v>0</v>
      </c>
      <c r="P193" s="180">
        <v>0</v>
      </c>
      <c r="Q193" s="179">
        <v>0</v>
      </c>
      <c r="R193" s="180">
        <v>0</v>
      </c>
      <c r="S193" s="178">
        <f t="shared" si="10"/>
        <v>0</v>
      </c>
      <c r="T193" s="195">
        <f t="shared" si="11"/>
        <v>0</v>
      </c>
      <c r="U193" s="179">
        <v>0</v>
      </c>
      <c r="V193" s="180">
        <v>0</v>
      </c>
      <c r="W193" s="179">
        <v>0</v>
      </c>
      <c r="X193" s="180">
        <v>0</v>
      </c>
      <c r="Y193" s="179">
        <v>0</v>
      </c>
      <c r="Z193" s="179">
        <v>0</v>
      </c>
      <c r="AA193" s="179">
        <v>0</v>
      </c>
      <c r="AB193" s="180">
        <v>0</v>
      </c>
      <c r="AC193" s="180">
        <v>0</v>
      </c>
      <c r="AD193" s="180">
        <v>0</v>
      </c>
      <c r="AE193" s="179">
        <v>0</v>
      </c>
      <c r="AF193" s="256">
        <v>0</v>
      </c>
    </row>
    <row r="194" spans="1:32" s="223" customFormat="1" ht="15" customHeight="1">
      <c r="A194" s="157" t="s">
        <v>391</v>
      </c>
      <c r="B194" s="157" t="s">
        <v>414</v>
      </c>
      <c r="C194" s="25">
        <v>138901</v>
      </c>
      <c r="D194" s="209">
        <v>10</v>
      </c>
      <c r="E194" s="178">
        <f t="shared" si="8"/>
        <v>45089</v>
      </c>
      <c r="F194" s="195">
        <f t="shared" si="9"/>
        <v>45628</v>
      </c>
      <c r="G194" s="179">
        <v>45089</v>
      </c>
      <c r="H194" s="180">
        <v>45628</v>
      </c>
      <c r="I194" s="179">
        <v>0</v>
      </c>
      <c r="J194" s="180">
        <v>0</v>
      </c>
      <c r="K194" s="179">
        <v>0</v>
      </c>
      <c r="L194" s="179">
        <v>0</v>
      </c>
      <c r="M194" s="179">
        <v>0</v>
      </c>
      <c r="N194" s="180">
        <v>0</v>
      </c>
      <c r="O194" s="180">
        <v>0</v>
      </c>
      <c r="P194" s="180">
        <v>0</v>
      </c>
      <c r="Q194" s="179">
        <v>0</v>
      </c>
      <c r="R194" s="180">
        <v>0</v>
      </c>
      <c r="S194" s="178">
        <f t="shared" si="10"/>
        <v>0</v>
      </c>
      <c r="T194" s="195">
        <f t="shared" si="11"/>
        <v>0</v>
      </c>
      <c r="U194" s="179">
        <v>0</v>
      </c>
      <c r="V194" s="180">
        <v>0</v>
      </c>
      <c r="W194" s="179">
        <v>0</v>
      </c>
      <c r="X194" s="180">
        <v>0</v>
      </c>
      <c r="Y194" s="179">
        <v>0</v>
      </c>
      <c r="Z194" s="179">
        <v>0</v>
      </c>
      <c r="AA194" s="179">
        <v>0</v>
      </c>
      <c r="AB194" s="180">
        <v>0</v>
      </c>
      <c r="AC194" s="180">
        <v>0</v>
      </c>
      <c r="AD194" s="180">
        <v>0</v>
      </c>
      <c r="AE194" s="179">
        <v>0</v>
      </c>
      <c r="AF194" s="256">
        <v>0</v>
      </c>
    </row>
    <row r="195" spans="1:32" s="223" customFormat="1" ht="15" customHeight="1">
      <c r="A195" s="157" t="s">
        <v>391</v>
      </c>
      <c r="B195" s="157" t="s">
        <v>415</v>
      </c>
      <c r="C195" s="25">
        <v>139010</v>
      </c>
      <c r="D195" s="209">
        <v>10</v>
      </c>
      <c r="E195" s="178">
        <f t="shared" si="8"/>
        <v>48158</v>
      </c>
      <c r="F195" s="195">
        <f t="shared" si="9"/>
        <v>58446</v>
      </c>
      <c r="G195" s="179">
        <v>41317</v>
      </c>
      <c r="H195" s="180">
        <v>46347</v>
      </c>
      <c r="I195" s="179">
        <v>6841</v>
      </c>
      <c r="J195" s="180">
        <v>8994</v>
      </c>
      <c r="K195" s="179">
        <v>0</v>
      </c>
      <c r="L195" s="179">
        <v>0</v>
      </c>
      <c r="M195" s="179">
        <v>0</v>
      </c>
      <c r="N195" s="180">
        <v>3105</v>
      </c>
      <c r="O195" s="180">
        <v>0</v>
      </c>
      <c r="P195" s="180">
        <v>0</v>
      </c>
      <c r="Q195" s="179">
        <v>0</v>
      </c>
      <c r="R195" s="180">
        <v>0</v>
      </c>
      <c r="S195" s="178">
        <f t="shared" si="10"/>
        <v>0</v>
      </c>
      <c r="T195" s="195">
        <f t="shared" si="11"/>
        <v>0</v>
      </c>
      <c r="U195" s="179">
        <v>0</v>
      </c>
      <c r="V195" s="180">
        <v>0</v>
      </c>
      <c r="W195" s="179">
        <v>0</v>
      </c>
      <c r="X195" s="180">
        <v>0</v>
      </c>
      <c r="Y195" s="179">
        <v>0</v>
      </c>
      <c r="Z195" s="179">
        <v>0</v>
      </c>
      <c r="AA195" s="179">
        <v>0</v>
      </c>
      <c r="AB195" s="180">
        <v>0</v>
      </c>
      <c r="AC195" s="180">
        <v>0</v>
      </c>
      <c r="AD195" s="180">
        <v>0</v>
      </c>
      <c r="AE195" s="179">
        <v>0</v>
      </c>
      <c r="AF195" s="256">
        <v>0</v>
      </c>
    </row>
    <row r="196" spans="1:32" s="223" customFormat="1" ht="15" customHeight="1">
      <c r="A196" s="157" t="s">
        <v>391</v>
      </c>
      <c r="B196" s="157" t="s">
        <v>416</v>
      </c>
      <c r="C196" s="25">
        <v>139250</v>
      </c>
      <c r="D196" s="209">
        <v>10</v>
      </c>
      <c r="E196" s="178">
        <f t="shared" si="8"/>
        <v>53353.5</v>
      </c>
      <c r="F196" s="195">
        <f t="shared" si="9"/>
        <v>59515</v>
      </c>
      <c r="G196" s="179">
        <v>44341</v>
      </c>
      <c r="H196" s="180">
        <v>47302</v>
      </c>
      <c r="I196" s="179">
        <v>7184.5</v>
      </c>
      <c r="J196" s="180">
        <v>10305</v>
      </c>
      <c r="K196" s="179">
        <v>170</v>
      </c>
      <c r="L196" s="179">
        <v>1658</v>
      </c>
      <c r="M196" s="179">
        <v>0</v>
      </c>
      <c r="N196" s="180">
        <v>0</v>
      </c>
      <c r="O196" s="180">
        <v>1908</v>
      </c>
      <c r="P196" s="180">
        <v>0</v>
      </c>
      <c r="Q196" s="179">
        <v>0</v>
      </c>
      <c r="R196" s="180">
        <v>0</v>
      </c>
      <c r="S196" s="178">
        <f t="shared" si="10"/>
        <v>0</v>
      </c>
      <c r="T196" s="195">
        <f t="shared" si="11"/>
        <v>0</v>
      </c>
      <c r="U196" s="179">
        <v>0</v>
      </c>
      <c r="V196" s="180">
        <v>0</v>
      </c>
      <c r="W196" s="179">
        <v>0</v>
      </c>
      <c r="X196" s="180">
        <v>0</v>
      </c>
      <c r="Y196" s="179">
        <v>0</v>
      </c>
      <c r="Z196" s="179">
        <v>0</v>
      </c>
      <c r="AA196" s="179">
        <v>0</v>
      </c>
      <c r="AB196" s="180">
        <v>0</v>
      </c>
      <c r="AC196" s="180">
        <v>0</v>
      </c>
      <c r="AD196" s="180">
        <v>0</v>
      </c>
      <c r="AE196" s="179">
        <v>0</v>
      </c>
      <c r="AF196" s="256">
        <v>0</v>
      </c>
    </row>
    <row r="197" spans="1:32" s="223" customFormat="1" ht="15" customHeight="1">
      <c r="A197" s="157" t="s">
        <v>391</v>
      </c>
      <c r="B197" s="157" t="s">
        <v>417</v>
      </c>
      <c r="C197" s="25">
        <v>139621</v>
      </c>
      <c r="D197" s="209">
        <v>10</v>
      </c>
      <c r="E197" s="178">
        <f t="shared" si="8"/>
        <v>31462</v>
      </c>
      <c r="F197" s="195">
        <f t="shared" si="9"/>
        <v>31200</v>
      </c>
      <c r="G197" s="179">
        <v>16852</v>
      </c>
      <c r="H197" s="180">
        <v>15919</v>
      </c>
      <c r="I197" s="179">
        <v>14290</v>
      </c>
      <c r="J197" s="180">
        <v>14376</v>
      </c>
      <c r="K197" s="179">
        <v>75</v>
      </c>
      <c r="L197" s="179">
        <v>245</v>
      </c>
      <c r="M197" s="179">
        <v>0</v>
      </c>
      <c r="N197" s="180">
        <v>881</v>
      </c>
      <c r="O197" s="180">
        <v>24</v>
      </c>
      <c r="P197" s="180">
        <v>0</v>
      </c>
      <c r="Q197" s="179">
        <v>0</v>
      </c>
      <c r="R197" s="180">
        <v>0</v>
      </c>
      <c r="S197" s="178">
        <f t="shared" si="10"/>
        <v>0</v>
      </c>
      <c r="T197" s="195">
        <f t="shared" si="11"/>
        <v>0</v>
      </c>
      <c r="U197" s="179">
        <v>0</v>
      </c>
      <c r="V197" s="180">
        <v>0</v>
      </c>
      <c r="W197" s="179">
        <v>0</v>
      </c>
      <c r="X197" s="180">
        <v>0</v>
      </c>
      <c r="Y197" s="179">
        <v>0</v>
      </c>
      <c r="Z197" s="179">
        <v>0</v>
      </c>
      <c r="AA197" s="179">
        <v>0</v>
      </c>
      <c r="AB197" s="180">
        <v>0</v>
      </c>
      <c r="AC197" s="180">
        <v>0</v>
      </c>
      <c r="AD197" s="180">
        <v>0</v>
      </c>
      <c r="AE197" s="179">
        <v>0</v>
      </c>
      <c r="AF197" s="256">
        <v>0</v>
      </c>
    </row>
    <row r="198" spans="1:32" s="223" customFormat="1" ht="15" customHeight="1">
      <c r="A198" s="157" t="s">
        <v>391</v>
      </c>
      <c r="B198" s="157" t="s">
        <v>419</v>
      </c>
      <c r="C198" s="25">
        <v>140483</v>
      </c>
      <c r="D198" s="209">
        <v>10</v>
      </c>
      <c r="E198" s="178">
        <f t="shared" si="8"/>
        <v>60710</v>
      </c>
      <c r="F198" s="195">
        <f t="shared" si="9"/>
        <v>65974</v>
      </c>
      <c r="G198" s="179">
        <v>39332</v>
      </c>
      <c r="H198" s="180">
        <v>41032</v>
      </c>
      <c r="I198" s="179">
        <v>18450</v>
      </c>
      <c r="J198" s="180">
        <v>19664</v>
      </c>
      <c r="K198" s="179">
        <v>2645</v>
      </c>
      <c r="L198" s="179">
        <v>283</v>
      </c>
      <c r="M198" s="179">
        <v>0</v>
      </c>
      <c r="N198" s="180">
        <v>5278</v>
      </c>
      <c r="O198" s="180">
        <v>0</v>
      </c>
      <c r="P198" s="180">
        <v>0</v>
      </c>
      <c r="Q198" s="179">
        <v>0</v>
      </c>
      <c r="R198" s="180">
        <v>0</v>
      </c>
      <c r="S198" s="178">
        <f t="shared" si="10"/>
        <v>0</v>
      </c>
      <c r="T198" s="195">
        <f t="shared" si="11"/>
        <v>0</v>
      </c>
      <c r="U198" s="179">
        <v>0</v>
      </c>
      <c r="V198" s="180">
        <v>0</v>
      </c>
      <c r="W198" s="179">
        <v>0</v>
      </c>
      <c r="X198" s="180"/>
      <c r="Y198" s="179">
        <v>0</v>
      </c>
      <c r="Z198" s="179">
        <v>0</v>
      </c>
      <c r="AA198" s="179">
        <v>0</v>
      </c>
      <c r="AB198" s="180">
        <v>0</v>
      </c>
      <c r="AC198" s="180">
        <v>0</v>
      </c>
      <c r="AD198" s="180">
        <v>0</v>
      </c>
      <c r="AE198" s="179">
        <v>0</v>
      </c>
      <c r="AF198" s="256">
        <v>0</v>
      </c>
    </row>
    <row r="199" spans="1:32" s="223" customFormat="1" ht="15" customHeight="1">
      <c r="A199" s="157" t="s">
        <v>391</v>
      </c>
      <c r="B199" s="157" t="s">
        <v>420</v>
      </c>
      <c r="C199" s="25">
        <v>140997</v>
      </c>
      <c r="D199" s="209">
        <v>10</v>
      </c>
      <c r="E199" s="178">
        <f aca="true" t="shared" si="12" ref="E199:E262">SUM(G199,I199,K199,L199,M199,Q199)</f>
        <v>33172</v>
      </c>
      <c r="F199" s="195">
        <f aca="true" t="shared" si="13" ref="F199:F262">SUM(H199,J199,N199,O199,P199,R199)</f>
        <v>33742</v>
      </c>
      <c r="G199" s="179">
        <v>30204</v>
      </c>
      <c r="H199" s="180">
        <v>29396</v>
      </c>
      <c r="I199" s="179">
        <v>2968</v>
      </c>
      <c r="J199" s="180">
        <v>4337</v>
      </c>
      <c r="K199" s="179">
        <v>0</v>
      </c>
      <c r="L199" s="179">
        <v>0</v>
      </c>
      <c r="M199" s="179">
        <v>0</v>
      </c>
      <c r="N199" s="180">
        <v>9</v>
      </c>
      <c r="O199" s="180">
        <v>0</v>
      </c>
      <c r="P199" s="180">
        <v>0</v>
      </c>
      <c r="Q199" s="179">
        <v>0</v>
      </c>
      <c r="R199" s="180">
        <v>0</v>
      </c>
      <c r="S199" s="178">
        <f aca="true" t="shared" si="14" ref="S199:S262">SUM(U199,W199,Y199,Z199,AA199,AE199)</f>
        <v>0</v>
      </c>
      <c r="T199" s="195">
        <f aca="true" t="shared" si="15" ref="T199:T262">SUM(V199,X199,AB199,AC199,AD199,AF199)</f>
        <v>0</v>
      </c>
      <c r="U199" s="179">
        <v>0</v>
      </c>
      <c r="V199" s="180">
        <v>0</v>
      </c>
      <c r="W199" s="179">
        <v>0</v>
      </c>
      <c r="X199" s="180">
        <v>0</v>
      </c>
      <c r="Y199" s="179">
        <v>0</v>
      </c>
      <c r="Z199" s="179">
        <v>0</v>
      </c>
      <c r="AA199" s="179">
        <v>0</v>
      </c>
      <c r="AB199" s="180">
        <v>0</v>
      </c>
      <c r="AC199" s="180">
        <v>0</v>
      </c>
      <c r="AD199" s="180">
        <v>0</v>
      </c>
      <c r="AE199" s="179">
        <v>0</v>
      </c>
      <c r="AF199" s="256">
        <v>0</v>
      </c>
    </row>
    <row r="200" spans="1:32" s="223" customFormat="1" ht="15" customHeight="1">
      <c r="A200" s="157" t="s">
        <v>391</v>
      </c>
      <c r="B200" s="157" t="s">
        <v>421</v>
      </c>
      <c r="C200" s="25">
        <v>141307</v>
      </c>
      <c r="D200" s="209">
        <v>10</v>
      </c>
      <c r="E200" s="178">
        <f t="shared" si="12"/>
        <v>19478</v>
      </c>
      <c r="F200" s="195">
        <f t="shared" si="13"/>
        <v>19441</v>
      </c>
      <c r="G200" s="179">
        <v>17470</v>
      </c>
      <c r="H200" s="180">
        <v>17322</v>
      </c>
      <c r="I200" s="179">
        <v>1656</v>
      </c>
      <c r="J200" s="180">
        <v>1599</v>
      </c>
      <c r="K200" s="179">
        <v>352</v>
      </c>
      <c r="L200" s="179">
        <v>0</v>
      </c>
      <c r="M200" s="179">
        <v>0</v>
      </c>
      <c r="N200" s="180">
        <v>520</v>
      </c>
      <c r="O200" s="180">
        <v>0</v>
      </c>
      <c r="P200" s="180">
        <v>0</v>
      </c>
      <c r="Q200" s="179">
        <v>0</v>
      </c>
      <c r="R200" s="180">
        <v>0</v>
      </c>
      <c r="S200" s="178">
        <f t="shared" si="14"/>
        <v>0</v>
      </c>
      <c r="T200" s="195">
        <f t="shared" si="15"/>
        <v>0</v>
      </c>
      <c r="U200" s="179">
        <v>0</v>
      </c>
      <c r="V200" s="180">
        <v>0</v>
      </c>
      <c r="W200" s="179">
        <v>0</v>
      </c>
      <c r="X200" s="180">
        <v>0</v>
      </c>
      <c r="Y200" s="179">
        <v>0</v>
      </c>
      <c r="Z200" s="179">
        <v>0</v>
      </c>
      <c r="AA200" s="179">
        <v>0</v>
      </c>
      <c r="AB200" s="180">
        <v>0</v>
      </c>
      <c r="AC200" s="180">
        <v>0</v>
      </c>
      <c r="AD200" s="180">
        <v>0</v>
      </c>
      <c r="AE200" s="179">
        <v>0</v>
      </c>
      <c r="AF200" s="256">
        <v>0</v>
      </c>
    </row>
    <row r="201" spans="1:32" s="223" customFormat="1" ht="15" customHeight="1">
      <c r="A201" s="149" t="s">
        <v>391</v>
      </c>
      <c r="B201" s="149" t="s">
        <v>422</v>
      </c>
      <c r="C201" s="21">
        <v>138682</v>
      </c>
      <c r="D201" s="210">
        <v>12</v>
      </c>
      <c r="E201" s="178">
        <f t="shared" si="12"/>
        <v>126523</v>
      </c>
      <c r="F201" s="195">
        <f t="shared" si="13"/>
        <v>133582</v>
      </c>
      <c r="G201" s="179">
        <f>117957</f>
        <v>117957</v>
      </c>
      <c r="H201" s="180">
        <v>120720</v>
      </c>
      <c r="I201" s="179"/>
      <c r="J201" s="180"/>
      <c r="K201" s="179">
        <f>8566</f>
        <v>8566</v>
      </c>
      <c r="L201" s="179">
        <v>0</v>
      </c>
      <c r="M201" s="179"/>
      <c r="N201" s="180">
        <v>12647</v>
      </c>
      <c r="O201" s="180">
        <v>215</v>
      </c>
      <c r="P201" s="180"/>
      <c r="Q201" s="179"/>
      <c r="R201" s="180"/>
      <c r="S201" s="178">
        <f t="shared" si="14"/>
        <v>0</v>
      </c>
      <c r="T201" s="195">
        <f t="shared" si="15"/>
        <v>0</v>
      </c>
      <c r="U201" s="179"/>
      <c r="V201" s="180"/>
      <c r="W201" s="179"/>
      <c r="X201" s="180"/>
      <c r="Y201" s="179"/>
      <c r="Z201" s="179">
        <v>0</v>
      </c>
      <c r="AA201" s="179"/>
      <c r="AB201" s="180"/>
      <c r="AC201" s="180"/>
      <c r="AD201" s="180"/>
      <c r="AE201" s="179"/>
      <c r="AF201" s="256"/>
    </row>
    <row r="202" spans="1:32" s="223" customFormat="1" ht="15" customHeight="1">
      <c r="A202" s="149" t="s">
        <v>391</v>
      </c>
      <c r="B202" s="149" t="s">
        <v>423</v>
      </c>
      <c r="C202" s="21">
        <v>366447</v>
      </c>
      <c r="D202" s="210">
        <v>12</v>
      </c>
      <c r="E202" s="178">
        <f t="shared" si="12"/>
        <v>52547</v>
      </c>
      <c r="F202" s="195">
        <f t="shared" si="13"/>
        <v>48222</v>
      </c>
      <c r="G202" s="179">
        <f>52326</f>
        <v>52326</v>
      </c>
      <c r="H202" s="180">
        <v>47287</v>
      </c>
      <c r="I202" s="179"/>
      <c r="J202" s="180"/>
      <c r="K202" s="179">
        <f>221</f>
        <v>221</v>
      </c>
      <c r="L202" s="179">
        <v>0</v>
      </c>
      <c r="M202" s="179"/>
      <c r="N202" s="180">
        <v>410</v>
      </c>
      <c r="O202" s="180">
        <v>525</v>
      </c>
      <c r="P202" s="180"/>
      <c r="Q202" s="179"/>
      <c r="R202" s="180"/>
      <c r="S202" s="178">
        <f t="shared" si="14"/>
        <v>0</v>
      </c>
      <c r="T202" s="195">
        <f t="shared" si="15"/>
        <v>0</v>
      </c>
      <c r="U202" s="179"/>
      <c r="V202" s="180"/>
      <c r="W202" s="179"/>
      <c r="X202" s="180"/>
      <c r="Y202" s="179"/>
      <c r="Z202" s="179">
        <v>0</v>
      </c>
      <c r="AA202" s="179"/>
      <c r="AB202" s="180"/>
      <c r="AC202" s="180"/>
      <c r="AD202" s="180"/>
      <c r="AE202" s="179"/>
      <c r="AF202" s="256"/>
    </row>
    <row r="203" spans="1:32" s="223" customFormat="1" ht="15" customHeight="1">
      <c r="A203" s="149" t="s">
        <v>391</v>
      </c>
      <c r="B203" s="149" t="s">
        <v>424</v>
      </c>
      <c r="C203" s="21">
        <v>246813</v>
      </c>
      <c r="D203" s="210">
        <v>12</v>
      </c>
      <c r="E203" s="178">
        <f t="shared" si="12"/>
        <v>125656</v>
      </c>
      <c r="F203" s="195">
        <f t="shared" si="13"/>
        <v>125470</v>
      </c>
      <c r="G203" s="179">
        <f>119433</f>
        <v>119433</v>
      </c>
      <c r="H203" s="180">
        <v>114728</v>
      </c>
      <c r="I203" s="179"/>
      <c r="J203" s="180"/>
      <c r="K203" s="179">
        <f>6223</f>
        <v>6223</v>
      </c>
      <c r="L203" s="179">
        <v>0</v>
      </c>
      <c r="M203" s="179"/>
      <c r="N203" s="180">
        <v>10742</v>
      </c>
      <c r="O203" s="180">
        <v>0</v>
      </c>
      <c r="P203" s="180"/>
      <c r="Q203" s="179"/>
      <c r="R203" s="180"/>
      <c r="S203" s="178">
        <f t="shared" si="14"/>
        <v>0</v>
      </c>
      <c r="T203" s="195">
        <f t="shared" si="15"/>
        <v>0</v>
      </c>
      <c r="U203" s="179"/>
      <c r="V203" s="180"/>
      <c r="W203" s="179"/>
      <c r="X203" s="180"/>
      <c r="Y203" s="179"/>
      <c r="Z203" s="179">
        <v>0</v>
      </c>
      <c r="AA203" s="179"/>
      <c r="AB203" s="180"/>
      <c r="AC203" s="180"/>
      <c r="AD203" s="180"/>
      <c r="AE203" s="179"/>
      <c r="AF203" s="256"/>
    </row>
    <row r="204" spans="1:32" s="223" customFormat="1" ht="15" customHeight="1">
      <c r="A204" s="149" t="s">
        <v>391</v>
      </c>
      <c r="B204" s="149" t="s">
        <v>425</v>
      </c>
      <c r="C204" s="21">
        <v>138840</v>
      </c>
      <c r="D204" s="210">
        <v>12</v>
      </c>
      <c r="E204" s="178">
        <f t="shared" si="12"/>
        <v>160936</v>
      </c>
      <c r="F204" s="195">
        <f t="shared" si="13"/>
        <v>153422</v>
      </c>
      <c r="G204" s="179">
        <f>154701</f>
        <v>154701</v>
      </c>
      <c r="H204" s="180">
        <v>144970</v>
      </c>
      <c r="I204" s="179"/>
      <c r="J204" s="180"/>
      <c r="K204" s="179">
        <f>6235</f>
        <v>6235</v>
      </c>
      <c r="L204" s="179">
        <v>0</v>
      </c>
      <c r="M204" s="179"/>
      <c r="N204" s="180">
        <v>8452</v>
      </c>
      <c r="O204" s="180">
        <v>0</v>
      </c>
      <c r="P204" s="180"/>
      <c r="Q204" s="179"/>
      <c r="R204" s="180"/>
      <c r="S204" s="178">
        <f t="shared" si="14"/>
        <v>0</v>
      </c>
      <c r="T204" s="195">
        <f t="shared" si="15"/>
        <v>0</v>
      </c>
      <c r="U204" s="179"/>
      <c r="V204" s="180"/>
      <c r="W204" s="179"/>
      <c r="X204" s="180"/>
      <c r="Y204" s="179"/>
      <c r="Z204" s="179">
        <v>0</v>
      </c>
      <c r="AA204" s="179"/>
      <c r="AB204" s="180"/>
      <c r="AC204" s="180"/>
      <c r="AD204" s="180"/>
      <c r="AE204" s="179"/>
      <c r="AF204" s="256"/>
    </row>
    <row r="205" spans="1:32" s="223" customFormat="1" ht="15" customHeight="1">
      <c r="A205" s="149" t="s">
        <v>391</v>
      </c>
      <c r="B205" s="149" t="s">
        <v>426</v>
      </c>
      <c r="C205" s="21">
        <v>138956</v>
      </c>
      <c r="D205" s="210">
        <v>12</v>
      </c>
      <c r="E205" s="178">
        <f t="shared" si="12"/>
        <v>164940</v>
      </c>
      <c r="F205" s="195">
        <f t="shared" si="13"/>
        <v>172074</v>
      </c>
      <c r="G205" s="179">
        <f>157651</f>
        <v>157651</v>
      </c>
      <c r="H205" s="180">
        <v>161867</v>
      </c>
      <c r="I205" s="179"/>
      <c r="J205" s="180"/>
      <c r="K205" s="179">
        <f>7289</f>
        <v>7289</v>
      </c>
      <c r="L205" s="179">
        <v>0</v>
      </c>
      <c r="M205" s="179"/>
      <c r="N205" s="180">
        <v>10207</v>
      </c>
      <c r="O205" s="180">
        <v>0</v>
      </c>
      <c r="P205" s="180"/>
      <c r="Q205" s="179"/>
      <c r="R205" s="180"/>
      <c r="S205" s="178">
        <f t="shared" si="14"/>
        <v>0</v>
      </c>
      <c r="T205" s="195">
        <f t="shared" si="15"/>
        <v>0</v>
      </c>
      <c r="U205" s="179"/>
      <c r="V205" s="180"/>
      <c r="W205" s="179"/>
      <c r="X205" s="180"/>
      <c r="Y205" s="179"/>
      <c r="Z205" s="179">
        <v>0</v>
      </c>
      <c r="AA205" s="179"/>
      <c r="AB205" s="180"/>
      <c r="AC205" s="180"/>
      <c r="AD205" s="180"/>
      <c r="AE205" s="179"/>
      <c r="AF205" s="256"/>
    </row>
    <row r="206" spans="1:32" s="223" customFormat="1" ht="15" customHeight="1">
      <c r="A206" s="149" t="s">
        <v>391</v>
      </c>
      <c r="B206" s="149" t="s">
        <v>427</v>
      </c>
      <c r="C206" s="21">
        <v>140304</v>
      </c>
      <c r="D206" s="210">
        <v>12</v>
      </c>
      <c r="E206" s="178">
        <f t="shared" si="12"/>
        <v>211012.3</v>
      </c>
      <c r="F206" s="195">
        <f t="shared" si="13"/>
        <v>218810</v>
      </c>
      <c r="G206" s="179">
        <f>191295.3</f>
        <v>191295.3</v>
      </c>
      <c r="H206" s="180">
        <v>184711</v>
      </c>
      <c r="I206" s="179"/>
      <c r="J206" s="180"/>
      <c r="K206" s="179">
        <f>19717</f>
        <v>19717</v>
      </c>
      <c r="L206" s="179">
        <v>0</v>
      </c>
      <c r="M206" s="179"/>
      <c r="N206" s="180">
        <v>34099</v>
      </c>
      <c r="O206" s="180">
        <v>0</v>
      </c>
      <c r="P206" s="180"/>
      <c r="Q206" s="179"/>
      <c r="R206" s="180"/>
      <c r="S206" s="178">
        <f t="shared" si="14"/>
        <v>0</v>
      </c>
      <c r="T206" s="195">
        <f t="shared" si="15"/>
        <v>0</v>
      </c>
      <c r="U206" s="179"/>
      <c r="V206" s="180"/>
      <c r="W206" s="179"/>
      <c r="X206" s="180"/>
      <c r="Y206" s="179"/>
      <c r="Z206" s="179">
        <v>0</v>
      </c>
      <c r="AA206" s="179"/>
      <c r="AB206" s="180"/>
      <c r="AC206" s="180"/>
      <c r="AD206" s="180"/>
      <c r="AE206" s="179"/>
      <c r="AF206" s="256"/>
    </row>
    <row r="207" spans="1:32" s="223" customFormat="1" ht="15" customHeight="1">
      <c r="A207" s="149" t="s">
        <v>391</v>
      </c>
      <c r="B207" s="149" t="s">
        <v>428</v>
      </c>
      <c r="C207" s="21">
        <v>140331</v>
      </c>
      <c r="D207" s="210">
        <v>12</v>
      </c>
      <c r="E207" s="178">
        <f t="shared" si="12"/>
        <v>190598</v>
      </c>
      <c r="F207" s="195">
        <f t="shared" si="13"/>
        <v>196363</v>
      </c>
      <c r="G207" s="179">
        <f>187882</f>
        <v>187882</v>
      </c>
      <c r="H207" s="180">
        <v>192997</v>
      </c>
      <c r="I207" s="179"/>
      <c r="J207" s="180"/>
      <c r="K207" s="179">
        <f>2716</f>
        <v>2716</v>
      </c>
      <c r="L207" s="179">
        <v>0</v>
      </c>
      <c r="M207" s="179"/>
      <c r="N207" s="180">
        <v>3366</v>
      </c>
      <c r="O207" s="180">
        <v>0</v>
      </c>
      <c r="P207" s="180"/>
      <c r="Q207" s="179"/>
      <c r="R207" s="180"/>
      <c r="S207" s="178">
        <f t="shared" si="14"/>
        <v>0</v>
      </c>
      <c r="T207" s="195">
        <f t="shared" si="15"/>
        <v>0</v>
      </c>
      <c r="U207" s="179"/>
      <c r="V207" s="180"/>
      <c r="W207" s="179"/>
      <c r="X207" s="180"/>
      <c r="Y207" s="179"/>
      <c r="Z207" s="179">
        <v>0</v>
      </c>
      <c r="AA207" s="179"/>
      <c r="AB207" s="180"/>
      <c r="AC207" s="180"/>
      <c r="AD207" s="180"/>
      <c r="AE207" s="179"/>
      <c r="AF207" s="256"/>
    </row>
    <row r="208" spans="1:32" s="223" customFormat="1" ht="15" customHeight="1">
      <c r="A208" s="149" t="s">
        <v>391</v>
      </c>
      <c r="B208" s="149" t="s">
        <v>429</v>
      </c>
      <c r="C208" s="21">
        <v>139357</v>
      </c>
      <c r="D208" s="210">
        <v>12</v>
      </c>
      <c r="E208" s="178">
        <f t="shared" si="12"/>
        <v>153755</v>
      </c>
      <c r="F208" s="195">
        <f t="shared" si="13"/>
        <v>153455</v>
      </c>
      <c r="G208" s="179">
        <f>142907</f>
        <v>142907</v>
      </c>
      <c r="H208" s="180">
        <v>140894</v>
      </c>
      <c r="I208" s="179"/>
      <c r="J208" s="180"/>
      <c r="K208" s="179">
        <f>10848</f>
        <v>10848</v>
      </c>
      <c r="L208" s="179">
        <v>0</v>
      </c>
      <c r="M208" s="179"/>
      <c r="N208" s="180">
        <v>12561</v>
      </c>
      <c r="O208" s="180">
        <v>0</v>
      </c>
      <c r="P208" s="180"/>
      <c r="Q208" s="179"/>
      <c r="R208" s="180"/>
      <c r="S208" s="178">
        <f t="shared" si="14"/>
        <v>0</v>
      </c>
      <c r="T208" s="195">
        <f t="shared" si="15"/>
        <v>0</v>
      </c>
      <c r="U208" s="179"/>
      <c r="V208" s="180"/>
      <c r="W208" s="179"/>
      <c r="X208" s="180"/>
      <c r="Y208" s="179"/>
      <c r="Z208" s="179">
        <v>0</v>
      </c>
      <c r="AA208" s="179"/>
      <c r="AB208" s="180"/>
      <c r="AC208" s="180"/>
      <c r="AD208" s="180"/>
      <c r="AE208" s="179"/>
      <c r="AF208" s="256"/>
    </row>
    <row r="209" spans="1:32" s="223" customFormat="1" ht="15" customHeight="1">
      <c r="A209" s="149" t="s">
        <v>391</v>
      </c>
      <c r="B209" s="149" t="s">
        <v>430</v>
      </c>
      <c r="C209" s="21">
        <v>139384</v>
      </c>
      <c r="D209" s="210">
        <v>12</v>
      </c>
      <c r="E209" s="178">
        <f t="shared" si="12"/>
        <v>113384</v>
      </c>
      <c r="F209" s="195">
        <f t="shared" si="13"/>
        <v>103375</v>
      </c>
      <c r="G209" s="179">
        <f>108752</f>
        <v>108752</v>
      </c>
      <c r="H209" s="187">
        <v>95081</v>
      </c>
      <c r="I209" s="179"/>
      <c r="J209" s="180"/>
      <c r="K209" s="179">
        <f>4632</f>
        <v>4632</v>
      </c>
      <c r="L209" s="179">
        <v>0</v>
      </c>
      <c r="M209" s="179"/>
      <c r="N209" s="180">
        <v>8294</v>
      </c>
      <c r="O209" s="180">
        <v>0</v>
      </c>
      <c r="P209" s="180"/>
      <c r="Q209" s="179"/>
      <c r="R209" s="180"/>
      <c r="S209" s="178">
        <f t="shared" si="14"/>
        <v>0</v>
      </c>
      <c r="T209" s="195">
        <f t="shared" si="15"/>
        <v>0</v>
      </c>
      <c r="U209" s="179"/>
      <c r="V209" s="180"/>
      <c r="W209" s="179"/>
      <c r="X209" s="180"/>
      <c r="Y209" s="179"/>
      <c r="Z209" s="179">
        <v>0</v>
      </c>
      <c r="AA209" s="179"/>
      <c r="AB209" s="180"/>
      <c r="AC209" s="180"/>
      <c r="AD209" s="180"/>
      <c r="AE209" s="179"/>
      <c r="AF209" s="256"/>
    </row>
    <row r="210" spans="1:32" s="223" customFormat="1" ht="15" customHeight="1">
      <c r="A210" s="149" t="s">
        <v>391</v>
      </c>
      <c r="B210" s="149" t="s">
        <v>431</v>
      </c>
      <c r="C210" s="21">
        <v>244446</v>
      </c>
      <c r="D210" s="210">
        <v>12</v>
      </c>
      <c r="E210" s="178">
        <f t="shared" si="12"/>
        <v>185451</v>
      </c>
      <c r="F210" s="195">
        <f t="shared" si="13"/>
        <v>181707</v>
      </c>
      <c r="G210" s="179">
        <f>148702</f>
        <v>148702</v>
      </c>
      <c r="H210" s="180">
        <v>135740</v>
      </c>
      <c r="I210" s="179"/>
      <c r="J210" s="180"/>
      <c r="K210" s="179">
        <f>36749</f>
        <v>36749</v>
      </c>
      <c r="L210" s="179">
        <v>0</v>
      </c>
      <c r="M210" s="179"/>
      <c r="N210" s="180">
        <v>45967</v>
      </c>
      <c r="O210" s="180">
        <v>0</v>
      </c>
      <c r="P210" s="180"/>
      <c r="Q210" s="179"/>
      <c r="R210" s="180"/>
      <c r="S210" s="178">
        <f t="shared" si="14"/>
        <v>0</v>
      </c>
      <c r="T210" s="195">
        <f t="shared" si="15"/>
        <v>0</v>
      </c>
      <c r="U210" s="179"/>
      <c r="V210" s="180"/>
      <c r="W210" s="179"/>
      <c r="X210" s="180"/>
      <c r="Y210" s="179"/>
      <c r="Z210" s="179">
        <v>0</v>
      </c>
      <c r="AA210" s="179"/>
      <c r="AB210" s="180"/>
      <c r="AC210" s="180"/>
      <c r="AD210" s="180"/>
      <c r="AE210" s="179"/>
      <c r="AF210" s="256"/>
    </row>
    <row r="211" spans="1:32" s="223" customFormat="1" ht="15" customHeight="1">
      <c r="A211" s="149" t="s">
        <v>391</v>
      </c>
      <c r="B211" s="149" t="s">
        <v>432</v>
      </c>
      <c r="C211" s="21">
        <v>139126</v>
      </c>
      <c r="D211" s="210">
        <v>12</v>
      </c>
      <c r="E211" s="178">
        <f t="shared" si="12"/>
        <v>67231</v>
      </c>
      <c r="F211" s="195">
        <f t="shared" si="13"/>
        <v>63119</v>
      </c>
      <c r="G211" s="179">
        <f>60565</f>
        <v>60565</v>
      </c>
      <c r="H211" s="180">
        <v>54290</v>
      </c>
      <c r="I211" s="179"/>
      <c r="J211" s="180"/>
      <c r="K211" s="179">
        <f>6666</f>
        <v>6666</v>
      </c>
      <c r="L211" s="179">
        <v>0</v>
      </c>
      <c r="M211" s="179"/>
      <c r="N211" s="180">
        <v>8829</v>
      </c>
      <c r="O211" s="180">
        <v>0</v>
      </c>
      <c r="P211" s="180"/>
      <c r="Q211" s="179"/>
      <c r="R211" s="180"/>
      <c r="S211" s="178">
        <f t="shared" si="14"/>
        <v>0</v>
      </c>
      <c r="T211" s="195">
        <f t="shared" si="15"/>
        <v>0</v>
      </c>
      <c r="U211" s="179"/>
      <c r="V211" s="180"/>
      <c r="W211" s="179"/>
      <c r="X211" s="180"/>
      <c r="Y211" s="179"/>
      <c r="Z211" s="179">
        <v>0</v>
      </c>
      <c r="AA211" s="179"/>
      <c r="AB211" s="180"/>
      <c r="AC211" s="180"/>
      <c r="AD211" s="180"/>
      <c r="AE211" s="179"/>
      <c r="AF211" s="256"/>
    </row>
    <row r="212" spans="1:32" s="223" customFormat="1" ht="15" customHeight="1">
      <c r="A212" s="149" t="s">
        <v>391</v>
      </c>
      <c r="B212" s="149" t="s">
        <v>433</v>
      </c>
      <c r="C212" s="21">
        <v>248794</v>
      </c>
      <c r="D212" s="210">
        <v>12</v>
      </c>
      <c r="E212" s="178">
        <f t="shared" si="12"/>
        <v>46405.2</v>
      </c>
      <c r="F212" s="195">
        <f t="shared" si="13"/>
        <v>43080.5</v>
      </c>
      <c r="G212" s="179">
        <f>43292.2</f>
        <v>43292.2</v>
      </c>
      <c r="H212" s="180">
        <v>40398.5</v>
      </c>
      <c r="I212" s="179"/>
      <c r="J212" s="180"/>
      <c r="K212" s="179">
        <f>3113</f>
        <v>3113</v>
      </c>
      <c r="L212" s="179">
        <v>0</v>
      </c>
      <c r="M212" s="179"/>
      <c r="N212" s="180">
        <v>2682</v>
      </c>
      <c r="O212" s="180">
        <v>0</v>
      </c>
      <c r="P212" s="180"/>
      <c r="Q212" s="179"/>
      <c r="R212" s="180"/>
      <c r="S212" s="178">
        <f t="shared" si="14"/>
        <v>0</v>
      </c>
      <c r="T212" s="195">
        <f t="shared" si="15"/>
        <v>0</v>
      </c>
      <c r="U212" s="179"/>
      <c r="V212" s="180"/>
      <c r="W212" s="179"/>
      <c r="X212" s="180"/>
      <c r="Y212" s="179"/>
      <c r="Z212" s="179">
        <v>0</v>
      </c>
      <c r="AA212" s="179"/>
      <c r="AB212" s="180"/>
      <c r="AC212" s="180"/>
      <c r="AD212" s="180"/>
      <c r="AE212" s="179"/>
      <c r="AF212" s="256"/>
    </row>
    <row r="213" spans="1:32" s="223" customFormat="1" ht="15" customHeight="1">
      <c r="A213" s="149" t="s">
        <v>391</v>
      </c>
      <c r="B213" s="149" t="s">
        <v>434</v>
      </c>
      <c r="C213" s="21">
        <v>139986</v>
      </c>
      <c r="D213" s="210">
        <v>12</v>
      </c>
      <c r="E213" s="178">
        <f t="shared" si="12"/>
        <v>138368</v>
      </c>
      <c r="F213" s="195">
        <f t="shared" si="13"/>
        <v>132654</v>
      </c>
      <c r="G213" s="179">
        <f>134948</f>
        <v>134948</v>
      </c>
      <c r="H213" s="180">
        <v>124688</v>
      </c>
      <c r="I213" s="179"/>
      <c r="J213" s="180"/>
      <c r="K213" s="179">
        <f>3420</f>
        <v>3420</v>
      </c>
      <c r="L213" s="179">
        <v>0</v>
      </c>
      <c r="M213" s="179"/>
      <c r="N213" s="180">
        <v>7966</v>
      </c>
      <c r="O213" s="180">
        <v>0</v>
      </c>
      <c r="P213" s="180"/>
      <c r="Q213" s="179"/>
      <c r="R213" s="180"/>
      <c r="S213" s="178">
        <f t="shared" si="14"/>
        <v>0</v>
      </c>
      <c r="T213" s="195">
        <f t="shared" si="15"/>
        <v>0</v>
      </c>
      <c r="U213" s="179"/>
      <c r="V213" s="180"/>
      <c r="W213" s="179"/>
      <c r="X213" s="180"/>
      <c r="Y213" s="179"/>
      <c r="Z213" s="179">
        <v>0</v>
      </c>
      <c r="AA213" s="179"/>
      <c r="AB213" s="180"/>
      <c r="AC213" s="180"/>
      <c r="AD213" s="180"/>
      <c r="AE213" s="179"/>
      <c r="AF213" s="256"/>
    </row>
    <row r="214" spans="1:32" s="223" customFormat="1" ht="15" customHeight="1">
      <c r="A214" s="149" t="s">
        <v>391</v>
      </c>
      <c r="B214" s="149" t="s">
        <v>435</v>
      </c>
      <c r="C214" s="21">
        <v>140012</v>
      </c>
      <c r="D214" s="210">
        <v>12</v>
      </c>
      <c r="E214" s="178">
        <f t="shared" si="12"/>
        <v>167175</v>
      </c>
      <c r="F214" s="195">
        <f t="shared" si="13"/>
        <v>166358</v>
      </c>
      <c r="G214" s="179">
        <f>137203</f>
        <v>137203</v>
      </c>
      <c r="H214" s="180">
        <v>117968</v>
      </c>
      <c r="I214" s="179"/>
      <c r="J214" s="180"/>
      <c r="K214" s="179">
        <f>29972</f>
        <v>29972</v>
      </c>
      <c r="L214" s="179">
        <v>0</v>
      </c>
      <c r="M214" s="179"/>
      <c r="N214" s="180">
        <v>48390</v>
      </c>
      <c r="O214" s="180">
        <v>0</v>
      </c>
      <c r="P214" s="180"/>
      <c r="Q214" s="179"/>
      <c r="R214" s="180"/>
      <c r="S214" s="178">
        <f t="shared" si="14"/>
        <v>0</v>
      </c>
      <c r="T214" s="195">
        <f t="shared" si="15"/>
        <v>0</v>
      </c>
      <c r="U214" s="179"/>
      <c r="V214" s="180"/>
      <c r="W214" s="179"/>
      <c r="X214" s="180"/>
      <c r="Y214" s="179"/>
      <c r="Z214" s="179">
        <v>0</v>
      </c>
      <c r="AA214" s="179"/>
      <c r="AB214" s="180"/>
      <c r="AC214" s="180"/>
      <c r="AD214" s="180"/>
      <c r="AE214" s="179"/>
      <c r="AF214" s="256"/>
    </row>
    <row r="215" spans="1:32" s="223" customFormat="1" ht="15" customHeight="1">
      <c r="A215" s="149" t="s">
        <v>391</v>
      </c>
      <c r="B215" s="149" t="s">
        <v>436</v>
      </c>
      <c r="C215" s="21">
        <v>140076</v>
      </c>
      <c r="D215" s="210">
        <v>12</v>
      </c>
      <c r="E215" s="178">
        <f t="shared" si="12"/>
        <v>55335</v>
      </c>
      <c r="F215" s="195">
        <f t="shared" si="13"/>
        <v>52877</v>
      </c>
      <c r="G215" s="179">
        <f>54544</f>
        <v>54544</v>
      </c>
      <c r="H215" s="180">
        <v>51006</v>
      </c>
      <c r="I215" s="179"/>
      <c r="J215" s="180"/>
      <c r="K215" s="179">
        <f>791</f>
        <v>791</v>
      </c>
      <c r="L215" s="179">
        <v>0</v>
      </c>
      <c r="M215" s="179"/>
      <c r="N215" s="180">
        <v>1871</v>
      </c>
      <c r="O215" s="180">
        <v>0</v>
      </c>
      <c r="P215" s="180"/>
      <c r="Q215" s="179"/>
      <c r="R215" s="180"/>
      <c r="S215" s="178">
        <f t="shared" si="14"/>
        <v>0</v>
      </c>
      <c r="T215" s="195">
        <f t="shared" si="15"/>
        <v>0</v>
      </c>
      <c r="U215" s="179"/>
      <c r="V215" s="180"/>
      <c r="W215" s="179"/>
      <c r="X215" s="180"/>
      <c r="Y215" s="179"/>
      <c r="Z215" s="179">
        <v>0</v>
      </c>
      <c r="AA215" s="179"/>
      <c r="AB215" s="180"/>
      <c r="AC215" s="180"/>
      <c r="AD215" s="180"/>
      <c r="AE215" s="179"/>
      <c r="AF215" s="256"/>
    </row>
    <row r="216" spans="1:32" s="223" customFormat="1" ht="15" customHeight="1">
      <c r="A216" s="149" t="s">
        <v>391</v>
      </c>
      <c r="B216" s="149" t="s">
        <v>437</v>
      </c>
      <c r="C216" s="21">
        <v>140243</v>
      </c>
      <c r="D216" s="210">
        <v>12</v>
      </c>
      <c r="E216" s="178">
        <f t="shared" si="12"/>
        <v>110197</v>
      </c>
      <c r="F216" s="195">
        <f t="shared" si="13"/>
        <v>112755</v>
      </c>
      <c r="G216" s="179">
        <f>89968</f>
        <v>89968</v>
      </c>
      <c r="H216" s="180">
        <v>77110</v>
      </c>
      <c r="I216" s="179"/>
      <c r="J216" s="180"/>
      <c r="K216" s="179">
        <f>20229</f>
        <v>20229</v>
      </c>
      <c r="L216" s="179">
        <v>0</v>
      </c>
      <c r="M216" s="179"/>
      <c r="N216" s="180">
        <v>35645</v>
      </c>
      <c r="O216" s="180">
        <v>0</v>
      </c>
      <c r="P216" s="180"/>
      <c r="Q216" s="179"/>
      <c r="R216" s="180"/>
      <c r="S216" s="178">
        <f t="shared" si="14"/>
        <v>0</v>
      </c>
      <c r="T216" s="195">
        <f t="shared" si="15"/>
        <v>0</v>
      </c>
      <c r="U216" s="179"/>
      <c r="V216" s="180"/>
      <c r="W216" s="179"/>
      <c r="X216" s="180"/>
      <c r="Y216" s="179"/>
      <c r="Z216" s="179">
        <v>0</v>
      </c>
      <c r="AA216" s="179"/>
      <c r="AB216" s="180"/>
      <c r="AC216" s="180"/>
      <c r="AD216" s="180"/>
      <c r="AE216" s="179"/>
      <c r="AF216" s="256"/>
    </row>
    <row r="217" spans="1:32" s="223" customFormat="1" ht="15" customHeight="1">
      <c r="A217" s="149" t="s">
        <v>391</v>
      </c>
      <c r="B217" s="149" t="s">
        <v>438</v>
      </c>
      <c r="C217" s="21">
        <v>140085</v>
      </c>
      <c r="D217" s="210">
        <v>12</v>
      </c>
      <c r="E217" s="178">
        <f t="shared" si="12"/>
        <v>106071</v>
      </c>
      <c r="F217" s="195">
        <f t="shared" si="13"/>
        <v>109180</v>
      </c>
      <c r="G217" s="179">
        <f>102635</f>
        <v>102635</v>
      </c>
      <c r="H217" s="180">
        <v>101502</v>
      </c>
      <c r="I217" s="179"/>
      <c r="J217" s="180"/>
      <c r="K217" s="179">
        <f>3436</f>
        <v>3436</v>
      </c>
      <c r="L217" s="179">
        <v>0</v>
      </c>
      <c r="M217" s="179"/>
      <c r="N217" s="180">
        <v>7678</v>
      </c>
      <c r="O217" s="180">
        <v>0</v>
      </c>
      <c r="P217" s="180"/>
      <c r="Q217" s="179"/>
      <c r="R217" s="180"/>
      <c r="S217" s="178">
        <f t="shared" si="14"/>
        <v>0</v>
      </c>
      <c r="T217" s="195">
        <f t="shared" si="15"/>
        <v>0</v>
      </c>
      <c r="U217" s="179"/>
      <c r="V217" s="180"/>
      <c r="W217" s="179"/>
      <c r="X217" s="180"/>
      <c r="Y217" s="179"/>
      <c r="Z217" s="179">
        <v>0</v>
      </c>
      <c r="AA217" s="179"/>
      <c r="AB217" s="180"/>
      <c r="AC217" s="180"/>
      <c r="AD217" s="180"/>
      <c r="AE217" s="179"/>
      <c r="AF217" s="256"/>
    </row>
    <row r="218" spans="1:32" s="223" customFormat="1" ht="15" customHeight="1">
      <c r="A218" s="149" t="s">
        <v>391</v>
      </c>
      <c r="B218" s="149" t="s">
        <v>441</v>
      </c>
      <c r="C218" s="21">
        <v>140599</v>
      </c>
      <c r="D218" s="210">
        <v>12</v>
      </c>
      <c r="E218" s="178">
        <f t="shared" si="12"/>
        <v>77313</v>
      </c>
      <c r="F218" s="195">
        <f t="shared" si="13"/>
        <v>77384</v>
      </c>
      <c r="G218" s="179">
        <f>72181</f>
        <v>72181</v>
      </c>
      <c r="H218" s="180">
        <v>71605</v>
      </c>
      <c r="I218" s="179"/>
      <c r="J218" s="180"/>
      <c r="K218" s="179">
        <f>5132</f>
        <v>5132</v>
      </c>
      <c r="L218" s="179">
        <v>0</v>
      </c>
      <c r="M218" s="179"/>
      <c r="N218" s="180">
        <v>5779</v>
      </c>
      <c r="O218" s="180">
        <v>0</v>
      </c>
      <c r="P218" s="180"/>
      <c r="Q218" s="179"/>
      <c r="R218" s="180"/>
      <c r="S218" s="178">
        <f t="shared" si="14"/>
        <v>0</v>
      </c>
      <c r="T218" s="195">
        <f t="shared" si="15"/>
        <v>0</v>
      </c>
      <c r="U218" s="179"/>
      <c r="V218" s="180"/>
      <c r="W218" s="179"/>
      <c r="X218" s="180"/>
      <c r="Y218" s="179"/>
      <c r="Z218" s="179">
        <v>0</v>
      </c>
      <c r="AA218" s="179"/>
      <c r="AB218" s="180"/>
      <c r="AC218" s="180"/>
      <c r="AD218" s="180"/>
      <c r="AE218" s="179"/>
      <c r="AF218" s="256"/>
    </row>
    <row r="219" spans="1:32" s="223" customFormat="1" ht="15" customHeight="1">
      <c r="A219" s="149" t="s">
        <v>391</v>
      </c>
      <c r="B219" s="149" t="s">
        <v>442</v>
      </c>
      <c r="C219" s="21">
        <v>140678</v>
      </c>
      <c r="D219" s="210">
        <v>12</v>
      </c>
      <c r="E219" s="178">
        <f t="shared" si="12"/>
        <v>83901</v>
      </c>
      <c r="F219" s="195">
        <f t="shared" si="13"/>
        <v>82163</v>
      </c>
      <c r="G219" s="179">
        <f>75829</f>
        <v>75829</v>
      </c>
      <c r="H219" s="180">
        <v>73417</v>
      </c>
      <c r="I219" s="179"/>
      <c r="J219" s="180"/>
      <c r="K219" s="179">
        <f>8072</f>
        <v>8072</v>
      </c>
      <c r="L219" s="179">
        <v>0</v>
      </c>
      <c r="M219" s="179"/>
      <c r="N219" s="180">
        <v>8746</v>
      </c>
      <c r="O219" s="180">
        <v>0</v>
      </c>
      <c r="P219" s="180"/>
      <c r="Q219" s="179"/>
      <c r="R219" s="180"/>
      <c r="S219" s="178">
        <f t="shared" si="14"/>
        <v>0</v>
      </c>
      <c r="T219" s="195">
        <f t="shared" si="15"/>
        <v>0</v>
      </c>
      <c r="U219" s="179"/>
      <c r="V219" s="180"/>
      <c r="W219" s="179"/>
      <c r="X219" s="180"/>
      <c r="Y219" s="179"/>
      <c r="Z219" s="179">
        <v>0</v>
      </c>
      <c r="AA219" s="179"/>
      <c r="AB219" s="180"/>
      <c r="AC219" s="180"/>
      <c r="AD219" s="180"/>
      <c r="AE219" s="179"/>
      <c r="AF219" s="256"/>
    </row>
    <row r="220" spans="1:32" s="223" customFormat="1" ht="15" customHeight="1">
      <c r="A220" s="149" t="s">
        <v>391</v>
      </c>
      <c r="B220" s="149" t="s">
        <v>443</v>
      </c>
      <c r="C220" s="21">
        <v>366456</v>
      </c>
      <c r="D220" s="210">
        <v>12</v>
      </c>
      <c r="E220" s="178">
        <f t="shared" si="12"/>
        <v>64746</v>
      </c>
      <c r="F220" s="195">
        <f t="shared" si="13"/>
        <v>67187</v>
      </c>
      <c r="G220" s="179">
        <f>59963</f>
        <v>59963</v>
      </c>
      <c r="H220" s="180">
        <v>60560</v>
      </c>
      <c r="I220" s="179"/>
      <c r="J220" s="180"/>
      <c r="K220" s="179">
        <f>4783</f>
        <v>4783</v>
      </c>
      <c r="L220" s="179">
        <v>0</v>
      </c>
      <c r="M220" s="179"/>
      <c r="N220" s="180">
        <v>6627</v>
      </c>
      <c r="O220" s="180">
        <v>0</v>
      </c>
      <c r="P220" s="180"/>
      <c r="Q220" s="179"/>
      <c r="R220" s="180"/>
      <c r="S220" s="178">
        <f t="shared" si="14"/>
        <v>0</v>
      </c>
      <c r="T220" s="195">
        <f t="shared" si="15"/>
        <v>0</v>
      </c>
      <c r="U220" s="179"/>
      <c r="V220" s="180"/>
      <c r="W220" s="179"/>
      <c r="X220" s="180"/>
      <c r="Y220" s="179"/>
      <c r="Z220" s="179">
        <v>0</v>
      </c>
      <c r="AA220" s="179"/>
      <c r="AB220" s="180"/>
      <c r="AC220" s="180"/>
      <c r="AD220" s="180"/>
      <c r="AE220" s="179"/>
      <c r="AF220" s="256"/>
    </row>
    <row r="221" spans="1:32" s="223" customFormat="1" ht="15" customHeight="1">
      <c r="A221" s="149" t="s">
        <v>391</v>
      </c>
      <c r="B221" s="149" t="s">
        <v>444</v>
      </c>
      <c r="C221" s="21">
        <v>141273</v>
      </c>
      <c r="D221" s="210">
        <v>12</v>
      </c>
      <c r="E221" s="178">
        <f t="shared" si="12"/>
        <v>87193</v>
      </c>
      <c r="F221" s="195">
        <f t="shared" si="13"/>
        <v>83248</v>
      </c>
      <c r="G221" s="179">
        <f>76541</f>
        <v>76541</v>
      </c>
      <c r="H221" s="180">
        <v>70752</v>
      </c>
      <c r="I221" s="179"/>
      <c r="J221" s="180"/>
      <c r="K221" s="179">
        <f>10652</f>
        <v>10652</v>
      </c>
      <c r="L221" s="179">
        <v>0</v>
      </c>
      <c r="M221" s="179"/>
      <c r="N221" s="180">
        <v>12496</v>
      </c>
      <c r="O221" s="180">
        <v>0</v>
      </c>
      <c r="P221" s="180"/>
      <c r="Q221" s="179"/>
      <c r="R221" s="180"/>
      <c r="S221" s="178">
        <f t="shared" si="14"/>
        <v>0</v>
      </c>
      <c r="T221" s="195">
        <f t="shared" si="15"/>
        <v>0</v>
      </c>
      <c r="U221" s="179"/>
      <c r="V221" s="180"/>
      <c r="W221" s="179"/>
      <c r="X221" s="180"/>
      <c r="Y221" s="179"/>
      <c r="Z221" s="179">
        <v>0</v>
      </c>
      <c r="AA221" s="179"/>
      <c r="AB221" s="180"/>
      <c r="AC221" s="180"/>
      <c r="AD221" s="180"/>
      <c r="AE221" s="179"/>
      <c r="AF221" s="256"/>
    </row>
    <row r="222" spans="1:32" s="223" customFormat="1" ht="15" customHeight="1">
      <c r="A222" s="149" t="s">
        <v>391</v>
      </c>
      <c r="B222" s="149" t="s">
        <v>445</v>
      </c>
      <c r="C222" s="21">
        <v>366465</v>
      </c>
      <c r="D222" s="210">
        <v>12</v>
      </c>
      <c r="E222" s="178">
        <f t="shared" si="12"/>
        <v>86455</v>
      </c>
      <c r="F222" s="195">
        <f t="shared" si="13"/>
        <v>86626</v>
      </c>
      <c r="G222" s="179">
        <f>81955</f>
        <v>81955</v>
      </c>
      <c r="H222" s="180">
        <v>75605</v>
      </c>
      <c r="I222" s="179"/>
      <c r="J222" s="180"/>
      <c r="K222" s="179">
        <f>4500</f>
        <v>4500</v>
      </c>
      <c r="L222" s="179">
        <v>0</v>
      </c>
      <c r="M222" s="179"/>
      <c r="N222" s="180">
        <v>11021</v>
      </c>
      <c r="O222" s="180">
        <v>0</v>
      </c>
      <c r="P222" s="180"/>
      <c r="Q222" s="179"/>
      <c r="R222" s="180"/>
      <c r="S222" s="178">
        <f t="shared" si="14"/>
        <v>0</v>
      </c>
      <c r="T222" s="195">
        <f t="shared" si="15"/>
        <v>0</v>
      </c>
      <c r="U222" s="179"/>
      <c r="V222" s="180"/>
      <c r="W222" s="179"/>
      <c r="X222" s="180"/>
      <c r="Y222" s="179"/>
      <c r="Z222" s="179">
        <v>0</v>
      </c>
      <c r="AA222" s="179"/>
      <c r="AB222" s="180"/>
      <c r="AC222" s="180"/>
      <c r="AD222" s="180"/>
      <c r="AE222" s="179"/>
      <c r="AF222" s="256"/>
    </row>
    <row r="223" spans="1:32" s="223" customFormat="1" ht="15" customHeight="1">
      <c r="A223" s="149" t="s">
        <v>391</v>
      </c>
      <c r="B223" s="149" t="s">
        <v>446</v>
      </c>
      <c r="C223" s="21">
        <v>248776</v>
      </c>
      <c r="D223" s="210">
        <v>12</v>
      </c>
      <c r="E223" s="178">
        <f t="shared" si="12"/>
        <v>72978</v>
      </c>
      <c r="F223" s="195">
        <f t="shared" si="13"/>
        <v>74193.5</v>
      </c>
      <c r="G223" s="179">
        <f>69989</f>
        <v>69989</v>
      </c>
      <c r="H223" s="180">
        <v>69576.5</v>
      </c>
      <c r="I223" s="179"/>
      <c r="J223" s="180"/>
      <c r="K223" s="179">
        <f>2989</f>
        <v>2989</v>
      </c>
      <c r="L223" s="179">
        <v>0</v>
      </c>
      <c r="M223" s="179"/>
      <c r="N223" s="180">
        <v>4617</v>
      </c>
      <c r="O223" s="180">
        <v>0</v>
      </c>
      <c r="P223" s="180"/>
      <c r="Q223" s="179"/>
      <c r="R223" s="180"/>
      <c r="S223" s="178">
        <f t="shared" si="14"/>
        <v>0</v>
      </c>
      <c r="T223" s="195">
        <f t="shared" si="15"/>
        <v>0</v>
      </c>
      <c r="U223" s="179"/>
      <c r="V223" s="180"/>
      <c r="W223" s="179"/>
      <c r="X223" s="180"/>
      <c r="Y223" s="179"/>
      <c r="Z223" s="179">
        <v>0</v>
      </c>
      <c r="AA223" s="179"/>
      <c r="AB223" s="180"/>
      <c r="AC223" s="180"/>
      <c r="AD223" s="180"/>
      <c r="AE223" s="179"/>
      <c r="AF223" s="256"/>
    </row>
    <row r="224" spans="1:32" s="223" customFormat="1" ht="15" customHeight="1">
      <c r="A224" s="149" t="s">
        <v>391</v>
      </c>
      <c r="B224" s="149" t="s">
        <v>447</v>
      </c>
      <c r="C224" s="21">
        <v>140942</v>
      </c>
      <c r="D224" s="210">
        <v>12</v>
      </c>
      <c r="E224" s="178">
        <f t="shared" si="12"/>
        <v>144149</v>
      </c>
      <c r="F224" s="195">
        <f t="shared" si="13"/>
        <v>146958</v>
      </c>
      <c r="G224" s="179">
        <f>136931</f>
        <v>136931</v>
      </c>
      <c r="H224" s="180">
        <v>131843</v>
      </c>
      <c r="I224" s="179"/>
      <c r="J224" s="180"/>
      <c r="K224" s="179">
        <f>7218</f>
        <v>7218</v>
      </c>
      <c r="L224" s="179">
        <v>0</v>
      </c>
      <c r="M224" s="179"/>
      <c r="N224" s="180">
        <v>15115</v>
      </c>
      <c r="O224" s="180">
        <v>0</v>
      </c>
      <c r="P224" s="180"/>
      <c r="Q224" s="179"/>
      <c r="R224" s="180"/>
      <c r="S224" s="178">
        <f t="shared" si="14"/>
        <v>0</v>
      </c>
      <c r="T224" s="195">
        <f t="shared" si="15"/>
        <v>0</v>
      </c>
      <c r="U224" s="179"/>
      <c r="V224" s="180"/>
      <c r="W224" s="179"/>
      <c r="X224" s="180"/>
      <c r="Y224" s="179"/>
      <c r="Z224" s="179">
        <v>0</v>
      </c>
      <c r="AA224" s="179"/>
      <c r="AB224" s="180"/>
      <c r="AC224" s="180"/>
      <c r="AD224" s="180"/>
      <c r="AE224" s="179"/>
      <c r="AF224" s="256"/>
    </row>
    <row r="225" spans="1:32" s="223" customFormat="1" ht="15" customHeight="1">
      <c r="A225" s="149" t="s">
        <v>391</v>
      </c>
      <c r="B225" s="149" t="s">
        <v>448</v>
      </c>
      <c r="C225" s="21">
        <v>141006</v>
      </c>
      <c r="D225" s="210">
        <v>12</v>
      </c>
      <c r="E225" s="178">
        <f t="shared" si="12"/>
        <v>78379</v>
      </c>
      <c r="F225" s="195">
        <f t="shared" si="13"/>
        <v>71753</v>
      </c>
      <c r="G225" s="179">
        <f>75549</f>
        <v>75549</v>
      </c>
      <c r="H225" s="180">
        <v>69516</v>
      </c>
      <c r="I225" s="179"/>
      <c r="J225" s="180"/>
      <c r="K225" s="179">
        <f>2830</f>
        <v>2830</v>
      </c>
      <c r="L225" s="179">
        <v>0</v>
      </c>
      <c r="M225" s="179"/>
      <c r="N225" s="180">
        <v>2237</v>
      </c>
      <c r="O225" s="180">
        <v>0</v>
      </c>
      <c r="P225" s="180"/>
      <c r="Q225" s="179"/>
      <c r="R225" s="180"/>
      <c r="S225" s="178">
        <f t="shared" si="14"/>
        <v>0</v>
      </c>
      <c r="T225" s="195">
        <f t="shared" si="15"/>
        <v>0</v>
      </c>
      <c r="U225" s="179"/>
      <c r="V225" s="180"/>
      <c r="W225" s="179"/>
      <c r="X225" s="180"/>
      <c r="Y225" s="179"/>
      <c r="Z225" s="179">
        <v>0</v>
      </c>
      <c r="AA225" s="179"/>
      <c r="AB225" s="180"/>
      <c r="AC225" s="180"/>
      <c r="AD225" s="180"/>
      <c r="AE225" s="179"/>
      <c r="AF225" s="256"/>
    </row>
    <row r="226" spans="1:32" s="223" customFormat="1" ht="15" customHeight="1">
      <c r="A226" s="149" t="s">
        <v>391</v>
      </c>
      <c r="B226" s="149" t="s">
        <v>449</v>
      </c>
      <c r="C226" s="21">
        <v>368911</v>
      </c>
      <c r="D226" s="210">
        <v>12</v>
      </c>
      <c r="E226" s="178">
        <f t="shared" si="12"/>
        <v>53580</v>
      </c>
      <c r="F226" s="195">
        <f t="shared" si="13"/>
        <v>45084</v>
      </c>
      <c r="G226" s="179">
        <f>45197</f>
        <v>45197</v>
      </c>
      <c r="H226" s="180">
        <v>36390</v>
      </c>
      <c r="I226" s="179"/>
      <c r="J226" s="180"/>
      <c r="K226" s="179">
        <f>8383</f>
        <v>8383</v>
      </c>
      <c r="L226" s="179">
        <v>0</v>
      </c>
      <c r="M226" s="179"/>
      <c r="N226" s="180">
        <v>8694</v>
      </c>
      <c r="O226" s="180">
        <v>0</v>
      </c>
      <c r="P226" s="180"/>
      <c r="Q226" s="179"/>
      <c r="R226" s="180"/>
      <c r="S226" s="178">
        <f t="shared" si="14"/>
        <v>0</v>
      </c>
      <c r="T226" s="195">
        <f t="shared" si="15"/>
        <v>0</v>
      </c>
      <c r="U226" s="179"/>
      <c r="V226" s="180"/>
      <c r="W226" s="179"/>
      <c r="X226" s="180"/>
      <c r="Y226" s="179"/>
      <c r="Z226" s="179">
        <v>0</v>
      </c>
      <c r="AA226" s="179"/>
      <c r="AB226" s="180"/>
      <c r="AC226" s="180"/>
      <c r="AD226" s="180"/>
      <c r="AE226" s="179"/>
      <c r="AF226" s="256"/>
    </row>
    <row r="227" spans="1:32" s="223" customFormat="1" ht="15" customHeight="1">
      <c r="A227" s="149" t="s">
        <v>391</v>
      </c>
      <c r="B227" s="149" t="s">
        <v>450</v>
      </c>
      <c r="C227" s="21">
        <v>141158</v>
      </c>
      <c r="D227" s="210">
        <v>12</v>
      </c>
      <c r="E227" s="178">
        <f t="shared" si="12"/>
        <v>65558.3</v>
      </c>
      <c r="F227" s="195">
        <f t="shared" si="13"/>
        <v>66533.6</v>
      </c>
      <c r="G227" s="179">
        <f>61723.3</f>
        <v>61723.3</v>
      </c>
      <c r="H227" s="180">
        <v>57680.6</v>
      </c>
      <c r="I227" s="179"/>
      <c r="J227" s="180"/>
      <c r="K227" s="179">
        <f>3835</f>
        <v>3835</v>
      </c>
      <c r="L227" s="179">
        <v>0</v>
      </c>
      <c r="M227" s="179"/>
      <c r="N227" s="180">
        <v>8853</v>
      </c>
      <c r="O227" s="180">
        <v>0</v>
      </c>
      <c r="P227" s="180"/>
      <c r="Q227" s="179"/>
      <c r="R227" s="180"/>
      <c r="S227" s="178">
        <f t="shared" si="14"/>
        <v>0</v>
      </c>
      <c r="T227" s="195">
        <f t="shared" si="15"/>
        <v>0</v>
      </c>
      <c r="U227" s="179"/>
      <c r="V227" s="180"/>
      <c r="W227" s="179"/>
      <c r="X227" s="180"/>
      <c r="Y227" s="179"/>
      <c r="Z227" s="179">
        <v>0</v>
      </c>
      <c r="AA227" s="179"/>
      <c r="AB227" s="180"/>
      <c r="AC227" s="180"/>
      <c r="AD227" s="180"/>
      <c r="AE227" s="179"/>
      <c r="AF227" s="256"/>
    </row>
    <row r="228" spans="1:32" s="223" customFormat="1" ht="15" customHeight="1">
      <c r="A228" s="149" t="s">
        <v>391</v>
      </c>
      <c r="B228" s="149" t="s">
        <v>451</v>
      </c>
      <c r="C228" s="21">
        <v>141255</v>
      </c>
      <c r="D228" s="210">
        <v>12</v>
      </c>
      <c r="E228" s="178">
        <f t="shared" si="12"/>
        <v>99411</v>
      </c>
      <c r="F228" s="195">
        <f t="shared" si="13"/>
        <v>92667</v>
      </c>
      <c r="G228" s="179">
        <f>93610</f>
        <v>93610</v>
      </c>
      <c r="H228" s="180">
        <v>88692</v>
      </c>
      <c r="I228" s="179"/>
      <c r="J228" s="180"/>
      <c r="K228" s="179">
        <f>5801</f>
        <v>5801</v>
      </c>
      <c r="L228" s="179">
        <v>0</v>
      </c>
      <c r="M228" s="179"/>
      <c r="N228" s="180">
        <v>3975</v>
      </c>
      <c r="O228" s="180">
        <v>0</v>
      </c>
      <c r="P228" s="180"/>
      <c r="Q228" s="179"/>
      <c r="R228" s="180"/>
      <c r="S228" s="178">
        <f t="shared" si="14"/>
        <v>0</v>
      </c>
      <c r="T228" s="195">
        <f t="shared" si="15"/>
        <v>0</v>
      </c>
      <c r="U228" s="179"/>
      <c r="V228" s="180"/>
      <c r="W228" s="179"/>
      <c r="X228" s="180"/>
      <c r="Y228" s="179"/>
      <c r="Z228" s="179">
        <v>0</v>
      </c>
      <c r="AA228" s="179"/>
      <c r="AB228" s="180"/>
      <c r="AC228" s="180"/>
      <c r="AD228" s="180"/>
      <c r="AE228" s="179"/>
      <c r="AF228" s="256"/>
    </row>
    <row r="229" spans="1:32" s="223" customFormat="1" ht="15" customHeight="1">
      <c r="A229" s="149" t="s">
        <v>391</v>
      </c>
      <c r="B229" s="149" t="s">
        <v>452</v>
      </c>
      <c r="C229" s="21">
        <v>139278</v>
      </c>
      <c r="D229" s="210">
        <v>12</v>
      </c>
      <c r="E229" s="178">
        <f t="shared" si="12"/>
        <v>90736</v>
      </c>
      <c r="F229" s="195">
        <f t="shared" si="13"/>
        <v>90747.5</v>
      </c>
      <c r="G229" s="179">
        <f>88862</f>
        <v>88862</v>
      </c>
      <c r="H229" s="180">
        <v>87161.5</v>
      </c>
      <c r="I229" s="179"/>
      <c r="J229" s="180"/>
      <c r="K229" s="179">
        <f>1874</f>
        <v>1874</v>
      </c>
      <c r="L229" s="179">
        <v>0</v>
      </c>
      <c r="M229" s="179"/>
      <c r="N229" s="180">
        <v>3586</v>
      </c>
      <c r="O229" s="180">
        <v>0</v>
      </c>
      <c r="P229" s="180"/>
      <c r="Q229" s="179"/>
      <c r="R229" s="180"/>
      <c r="S229" s="178">
        <f t="shared" si="14"/>
        <v>0</v>
      </c>
      <c r="T229" s="195">
        <f t="shared" si="15"/>
        <v>0</v>
      </c>
      <c r="U229" s="179"/>
      <c r="V229" s="180"/>
      <c r="W229" s="179"/>
      <c r="X229" s="180"/>
      <c r="Y229" s="179"/>
      <c r="Z229" s="179">
        <v>0</v>
      </c>
      <c r="AA229" s="179"/>
      <c r="AB229" s="180"/>
      <c r="AC229" s="180"/>
      <c r="AD229" s="180"/>
      <c r="AE229" s="179"/>
      <c r="AF229" s="256"/>
    </row>
    <row r="230" spans="1:32" s="223" customFormat="1" ht="15" customHeight="1">
      <c r="A230" s="149" t="s">
        <v>391</v>
      </c>
      <c r="B230" s="149" t="s">
        <v>453</v>
      </c>
      <c r="C230" s="21">
        <v>141228</v>
      </c>
      <c r="D230" s="210">
        <v>12</v>
      </c>
      <c r="E230" s="178">
        <f t="shared" si="12"/>
        <v>78078</v>
      </c>
      <c r="F230" s="195">
        <f t="shared" si="13"/>
        <v>73361.1</v>
      </c>
      <c r="G230" s="179">
        <f>72123</f>
        <v>72123</v>
      </c>
      <c r="H230" s="180">
        <v>64235.1</v>
      </c>
      <c r="I230" s="179"/>
      <c r="J230" s="180"/>
      <c r="K230" s="179">
        <f>5955</f>
        <v>5955</v>
      </c>
      <c r="L230" s="179">
        <v>0</v>
      </c>
      <c r="M230" s="179"/>
      <c r="N230" s="180">
        <v>9126</v>
      </c>
      <c r="O230" s="180">
        <v>0</v>
      </c>
      <c r="P230" s="180"/>
      <c r="Q230" s="179"/>
      <c r="R230" s="180"/>
      <c r="S230" s="178">
        <f t="shared" si="14"/>
        <v>0</v>
      </c>
      <c r="T230" s="195">
        <f t="shared" si="15"/>
        <v>0</v>
      </c>
      <c r="U230" s="179"/>
      <c r="V230" s="180"/>
      <c r="W230" s="179"/>
      <c r="X230" s="180"/>
      <c r="Y230" s="179"/>
      <c r="Z230" s="179">
        <v>0</v>
      </c>
      <c r="AA230" s="179"/>
      <c r="AB230" s="180"/>
      <c r="AC230" s="180"/>
      <c r="AD230" s="180"/>
      <c r="AE230" s="179"/>
      <c r="AF230" s="256"/>
    </row>
    <row r="231" spans="1:32" s="223" customFormat="1" ht="15" customHeight="1">
      <c r="A231" s="149" t="s">
        <v>391</v>
      </c>
      <c r="B231" s="149" t="s">
        <v>454</v>
      </c>
      <c r="C231" s="21">
        <v>140809</v>
      </c>
      <c r="D231" s="210">
        <v>13</v>
      </c>
      <c r="E231" s="178">
        <f t="shared" si="12"/>
        <v>39386</v>
      </c>
      <c r="F231" s="195">
        <f t="shared" si="13"/>
        <v>36422</v>
      </c>
      <c r="G231" s="179">
        <f>34961</f>
        <v>34961</v>
      </c>
      <c r="H231" s="180">
        <v>30628</v>
      </c>
      <c r="I231" s="179"/>
      <c r="J231" s="180"/>
      <c r="K231" s="179">
        <f>4425</f>
        <v>4425</v>
      </c>
      <c r="L231" s="179">
        <v>0</v>
      </c>
      <c r="M231" s="179"/>
      <c r="N231" s="180">
        <v>5794</v>
      </c>
      <c r="O231" s="180">
        <v>0</v>
      </c>
      <c r="P231" s="180"/>
      <c r="Q231" s="179"/>
      <c r="R231" s="180"/>
      <c r="S231" s="178">
        <f t="shared" si="14"/>
        <v>0</v>
      </c>
      <c r="T231" s="195">
        <f t="shared" si="15"/>
        <v>0</v>
      </c>
      <c r="U231" s="179"/>
      <c r="V231" s="180"/>
      <c r="W231" s="179"/>
      <c r="X231" s="180"/>
      <c r="Y231" s="179"/>
      <c r="Z231" s="179">
        <v>0</v>
      </c>
      <c r="AA231" s="179"/>
      <c r="AB231" s="180"/>
      <c r="AC231" s="180"/>
      <c r="AD231" s="180"/>
      <c r="AE231" s="179"/>
      <c r="AF231" s="256"/>
    </row>
    <row r="232" spans="1:32" s="223" customFormat="1" ht="15" customHeight="1">
      <c r="A232" s="149" t="s">
        <v>391</v>
      </c>
      <c r="B232" s="149" t="s">
        <v>455</v>
      </c>
      <c r="C232" s="21">
        <v>420431</v>
      </c>
      <c r="D232" s="210">
        <v>13</v>
      </c>
      <c r="E232" s="178">
        <f t="shared" si="12"/>
        <v>29970</v>
      </c>
      <c r="F232" s="195">
        <f t="shared" si="13"/>
        <v>27606</v>
      </c>
      <c r="G232" s="179">
        <f>29722</f>
        <v>29722</v>
      </c>
      <c r="H232" s="180">
        <v>26835</v>
      </c>
      <c r="I232" s="179"/>
      <c r="J232" s="180"/>
      <c r="K232" s="179">
        <f>248</f>
        <v>248</v>
      </c>
      <c r="L232" s="179">
        <v>0</v>
      </c>
      <c r="M232" s="179"/>
      <c r="N232" s="180">
        <v>771</v>
      </c>
      <c r="O232" s="180">
        <v>0</v>
      </c>
      <c r="P232" s="180"/>
      <c r="Q232" s="179"/>
      <c r="R232" s="180"/>
      <c r="S232" s="178">
        <f t="shared" si="14"/>
        <v>0</v>
      </c>
      <c r="T232" s="195">
        <f t="shared" si="15"/>
        <v>0</v>
      </c>
      <c r="U232" s="179"/>
      <c r="V232" s="180"/>
      <c r="W232" s="179"/>
      <c r="X232" s="180"/>
      <c r="Y232" s="179"/>
      <c r="Z232" s="179">
        <v>0</v>
      </c>
      <c r="AA232" s="179"/>
      <c r="AB232" s="180"/>
      <c r="AC232" s="180"/>
      <c r="AD232" s="180"/>
      <c r="AE232" s="179"/>
      <c r="AF232" s="256"/>
    </row>
    <row r="233" spans="1:32" s="223" customFormat="1" ht="15" customHeight="1">
      <c r="A233" s="149" t="s">
        <v>391</v>
      </c>
      <c r="B233" s="149" t="s">
        <v>456</v>
      </c>
      <c r="C233" s="21">
        <v>141121</v>
      </c>
      <c r="D233" s="210">
        <v>13</v>
      </c>
      <c r="E233" s="178">
        <f t="shared" si="12"/>
        <v>29788</v>
      </c>
      <c r="F233" s="195">
        <f t="shared" si="13"/>
        <v>32429</v>
      </c>
      <c r="G233" s="179">
        <f>28836</f>
        <v>28836</v>
      </c>
      <c r="H233" s="180">
        <v>27999</v>
      </c>
      <c r="I233" s="179"/>
      <c r="J233" s="180"/>
      <c r="K233" s="179">
        <f>952</f>
        <v>952</v>
      </c>
      <c r="L233" s="179">
        <v>0</v>
      </c>
      <c r="M233" s="179"/>
      <c r="N233" s="180">
        <v>4430</v>
      </c>
      <c r="O233" s="180">
        <v>0</v>
      </c>
      <c r="P233" s="180"/>
      <c r="Q233" s="179"/>
      <c r="R233" s="180"/>
      <c r="S233" s="178">
        <f t="shared" si="14"/>
        <v>0</v>
      </c>
      <c r="T233" s="195">
        <f t="shared" si="15"/>
        <v>0</v>
      </c>
      <c r="U233" s="179"/>
      <c r="V233" s="180"/>
      <c r="W233" s="179"/>
      <c r="X233" s="180"/>
      <c r="Y233" s="179"/>
      <c r="Z233" s="179">
        <v>0</v>
      </c>
      <c r="AA233" s="179"/>
      <c r="AB233" s="180"/>
      <c r="AC233" s="180"/>
      <c r="AD233" s="180"/>
      <c r="AE233" s="179"/>
      <c r="AF233" s="256"/>
    </row>
    <row r="234" spans="1:32" s="223" customFormat="1" ht="15" customHeight="1">
      <c r="A234" s="166" t="s">
        <v>391</v>
      </c>
      <c r="B234" s="172" t="s">
        <v>666</v>
      </c>
      <c r="C234" s="173">
        <v>440615</v>
      </c>
      <c r="D234" s="204">
        <v>15</v>
      </c>
      <c r="E234" s="178">
        <f t="shared" si="12"/>
        <v>0</v>
      </c>
      <c r="F234" s="195">
        <f t="shared" si="13"/>
        <v>9568</v>
      </c>
      <c r="G234" s="179"/>
      <c r="H234" s="180">
        <v>9404</v>
      </c>
      <c r="I234" s="179"/>
      <c r="J234" s="180"/>
      <c r="K234" s="179"/>
      <c r="L234" s="179"/>
      <c r="M234" s="179"/>
      <c r="N234" s="180">
        <v>164</v>
      </c>
      <c r="O234" s="180">
        <v>0</v>
      </c>
      <c r="P234" s="180"/>
      <c r="Q234" s="179"/>
      <c r="R234" s="180"/>
      <c r="S234" s="178">
        <f t="shared" si="14"/>
        <v>0</v>
      </c>
      <c r="T234" s="195">
        <f t="shared" si="15"/>
        <v>0</v>
      </c>
      <c r="U234" s="179"/>
      <c r="V234" s="180"/>
      <c r="W234" s="179"/>
      <c r="X234" s="180"/>
      <c r="Y234" s="179"/>
      <c r="Z234" s="179"/>
      <c r="AA234" s="179"/>
      <c r="AB234" s="180"/>
      <c r="AC234" s="180"/>
      <c r="AD234" s="180"/>
      <c r="AE234" s="179"/>
      <c r="AF234" s="256"/>
    </row>
    <row r="235" spans="1:32" s="239" customFormat="1" ht="15" customHeight="1">
      <c r="A235" s="235" t="s">
        <v>457</v>
      </c>
      <c r="B235" s="235" t="s">
        <v>458</v>
      </c>
      <c r="C235" s="33">
        <v>157085</v>
      </c>
      <c r="D235" s="236">
        <v>1</v>
      </c>
      <c r="E235" s="178">
        <f t="shared" si="12"/>
        <v>495804</v>
      </c>
      <c r="F235" s="195">
        <f t="shared" si="13"/>
        <v>502699</v>
      </c>
      <c r="G235" s="237">
        <v>487693</v>
      </c>
      <c r="H235" s="238">
        <v>491412</v>
      </c>
      <c r="I235" s="237">
        <v>2678</v>
      </c>
      <c r="J235" s="238">
        <v>3320</v>
      </c>
      <c r="K235" s="237">
        <v>3603</v>
      </c>
      <c r="L235" s="237">
        <v>822</v>
      </c>
      <c r="M235" s="237">
        <v>1008</v>
      </c>
      <c r="N235" s="238">
        <v>5305</v>
      </c>
      <c r="O235" s="238">
        <v>1307</v>
      </c>
      <c r="P235" s="238">
        <v>1355</v>
      </c>
      <c r="Q235" s="237"/>
      <c r="R235" s="238"/>
      <c r="S235" s="178">
        <f t="shared" si="14"/>
        <v>85820</v>
      </c>
      <c r="T235" s="195">
        <f t="shared" si="15"/>
        <v>88952</v>
      </c>
      <c r="U235" s="237">
        <v>79329</v>
      </c>
      <c r="V235" s="238">
        <v>80311</v>
      </c>
      <c r="W235" s="237">
        <v>4138</v>
      </c>
      <c r="X235" s="238">
        <v>4642</v>
      </c>
      <c r="Y235" s="237">
        <v>1395</v>
      </c>
      <c r="Z235" s="237">
        <v>955</v>
      </c>
      <c r="AA235" s="237">
        <v>3</v>
      </c>
      <c r="AB235" s="238">
        <v>2979</v>
      </c>
      <c r="AC235" s="238">
        <v>990</v>
      </c>
      <c r="AD235" s="238">
        <v>30</v>
      </c>
      <c r="AE235" s="237"/>
      <c r="AF235" s="259"/>
    </row>
    <row r="236" spans="1:32" s="239" customFormat="1" ht="15" customHeight="1">
      <c r="A236" s="235" t="s">
        <v>457</v>
      </c>
      <c r="B236" s="235" t="s">
        <v>459</v>
      </c>
      <c r="C236" s="33">
        <v>157289</v>
      </c>
      <c r="D236" s="236">
        <v>2</v>
      </c>
      <c r="E236" s="178">
        <f t="shared" si="12"/>
        <v>354021.5</v>
      </c>
      <c r="F236" s="195">
        <f t="shared" si="13"/>
        <v>366017</v>
      </c>
      <c r="G236" s="237">
        <v>313559.5</v>
      </c>
      <c r="H236" s="238">
        <v>230526.5</v>
      </c>
      <c r="I236" s="237">
        <v>4974</v>
      </c>
      <c r="J236" s="238">
        <v>5582.5</v>
      </c>
      <c r="K236" s="237">
        <v>34393</v>
      </c>
      <c r="L236" s="237">
        <v>0</v>
      </c>
      <c r="M236" s="237">
        <v>1095</v>
      </c>
      <c r="N236" s="238">
        <v>129197</v>
      </c>
      <c r="O236" s="238">
        <v>0</v>
      </c>
      <c r="P236" s="238">
        <v>711</v>
      </c>
      <c r="Q236" s="237"/>
      <c r="R236" s="238"/>
      <c r="S236" s="178">
        <f t="shared" si="14"/>
        <v>82421</v>
      </c>
      <c r="T236" s="195">
        <f t="shared" si="15"/>
        <v>83594</v>
      </c>
      <c r="U236" s="237">
        <v>63064.5</v>
      </c>
      <c r="V236" s="238">
        <v>56228.5</v>
      </c>
      <c r="W236" s="237">
        <v>8568</v>
      </c>
      <c r="X236" s="238">
        <v>6740</v>
      </c>
      <c r="Y236" s="237">
        <v>10749.5</v>
      </c>
      <c r="Z236" s="237">
        <v>33</v>
      </c>
      <c r="AA236" s="237">
        <v>6</v>
      </c>
      <c r="AB236" s="238">
        <v>20619.5</v>
      </c>
      <c r="AC236" s="238">
        <v>0</v>
      </c>
      <c r="AD236" s="238">
        <v>6</v>
      </c>
      <c r="AE236" s="237"/>
      <c r="AF236" s="259"/>
    </row>
    <row r="237" spans="1:32" s="239" customFormat="1" ht="15" customHeight="1">
      <c r="A237" s="235" t="s">
        <v>457</v>
      </c>
      <c r="B237" s="235" t="s">
        <v>460</v>
      </c>
      <c r="C237" s="33">
        <v>156620</v>
      </c>
      <c r="D237" s="236">
        <v>3</v>
      </c>
      <c r="E237" s="178">
        <f t="shared" si="12"/>
        <v>344090</v>
      </c>
      <c r="F237" s="195">
        <f t="shared" si="13"/>
        <v>357219</v>
      </c>
      <c r="G237" s="237">
        <v>299210</v>
      </c>
      <c r="H237" s="238">
        <v>307859</v>
      </c>
      <c r="I237" s="237">
        <v>29645</v>
      </c>
      <c r="J237" s="238">
        <v>32826</v>
      </c>
      <c r="K237" s="237">
        <v>4497</v>
      </c>
      <c r="L237" s="237">
        <v>8735</v>
      </c>
      <c r="M237" s="237">
        <v>2003</v>
      </c>
      <c r="N237" s="238">
        <v>5990</v>
      </c>
      <c r="O237" s="238">
        <v>8947</v>
      </c>
      <c r="P237" s="238">
        <v>1597</v>
      </c>
      <c r="Q237" s="237"/>
      <c r="R237" s="238"/>
      <c r="S237" s="178">
        <f t="shared" si="14"/>
        <v>38254</v>
      </c>
      <c r="T237" s="195">
        <f t="shared" si="15"/>
        <v>38387.5</v>
      </c>
      <c r="U237" s="237">
        <v>26383</v>
      </c>
      <c r="V237" s="238">
        <v>24944.5</v>
      </c>
      <c r="W237" s="237">
        <v>8351</v>
      </c>
      <c r="X237" s="238">
        <v>9307</v>
      </c>
      <c r="Y237" s="237">
        <v>1270</v>
      </c>
      <c r="Z237" s="237">
        <v>2235</v>
      </c>
      <c r="AA237" s="237">
        <v>15</v>
      </c>
      <c r="AB237" s="238">
        <v>2607</v>
      </c>
      <c r="AC237" s="238">
        <v>1526</v>
      </c>
      <c r="AD237" s="238">
        <v>3</v>
      </c>
      <c r="AE237" s="237"/>
      <c r="AF237" s="259"/>
    </row>
    <row r="238" spans="1:32" s="239" customFormat="1" ht="15" customHeight="1">
      <c r="A238" s="235" t="s">
        <v>457</v>
      </c>
      <c r="B238" s="235" t="s">
        <v>461</v>
      </c>
      <c r="C238" s="33">
        <v>157401</v>
      </c>
      <c r="D238" s="236">
        <v>3</v>
      </c>
      <c r="E238" s="178">
        <f t="shared" si="12"/>
        <v>229925</v>
      </c>
      <c r="F238" s="195">
        <f t="shared" si="13"/>
        <v>232242</v>
      </c>
      <c r="G238" s="237">
        <v>208202</v>
      </c>
      <c r="H238" s="238">
        <v>210504</v>
      </c>
      <c r="I238" s="237">
        <v>11996</v>
      </c>
      <c r="J238" s="238">
        <v>11998</v>
      </c>
      <c r="K238" s="237">
        <v>5649</v>
      </c>
      <c r="L238" s="237">
        <v>2560</v>
      </c>
      <c r="M238" s="237">
        <v>1518</v>
      </c>
      <c r="N238" s="238">
        <v>5664</v>
      </c>
      <c r="O238" s="238">
        <v>2840</v>
      </c>
      <c r="P238" s="238">
        <v>1236</v>
      </c>
      <c r="Q238" s="237"/>
      <c r="R238" s="238"/>
      <c r="S238" s="178">
        <f t="shared" si="14"/>
        <v>27635</v>
      </c>
      <c r="T238" s="195">
        <f t="shared" si="15"/>
        <v>27928</v>
      </c>
      <c r="U238" s="237">
        <v>16726</v>
      </c>
      <c r="V238" s="238">
        <v>17069</v>
      </c>
      <c r="W238" s="237">
        <v>6094</v>
      </c>
      <c r="X238" s="238">
        <v>5706</v>
      </c>
      <c r="Y238" s="237">
        <v>2536</v>
      </c>
      <c r="Z238" s="237">
        <v>2273</v>
      </c>
      <c r="AA238" s="237">
        <v>6</v>
      </c>
      <c r="AB238" s="238">
        <v>2538</v>
      </c>
      <c r="AC238" s="238">
        <v>2615</v>
      </c>
      <c r="AD238" s="238">
        <v>0</v>
      </c>
      <c r="AE238" s="237"/>
      <c r="AF238" s="259"/>
    </row>
    <row r="239" spans="1:32" s="239" customFormat="1" ht="15" customHeight="1">
      <c r="A239" s="235" t="s">
        <v>457</v>
      </c>
      <c r="B239" s="235" t="s">
        <v>462</v>
      </c>
      <c r="C239" s="33">
        <v>157951</v>
      </c>
      <c r="D239" s="236">
        <v>3</v>
      </c>
      <c r="E239" s="178">
        <f t="shared" si="12"/>
        <v>421641.5</v>
      </c>
      <c r="F239" s="195">
        <f t="shared" si="13"/>
        <v>425186.5</v>
      </c>
      <c r="G239" s="237">
        <v>368210.5</v>
      </c>
      <c r="H239" s="238">
        <v>368777.5</v>
      </c>
      <c r="I239" s="237">
        <v>37812</v>
      </c>
      <c r="J239" s="238">
        <v>40276</v>
      </c>
      <c r="K239" s="237">
        <v>9253</v>
      </c>
      <c r="L239" s="237">
        <v>0</v>
      </c>
      <c r="M239" s="237">
        <v>6366</v>
      </c>
      <c r="N239" s="238">
        <v>11063</v>
      </c>
      <c r="O239" s="238">
        <v>0</v>
      </c>
      <c r="P239" s="238">
        <v>5070</v>
      </c>
      <c r="Q239" s="237"/>
      <c r="R239" s="238"/>
      <c r="S239" s="178">
        <f t="shared" si="14"/>
        <v>42732.5</v>
      </c>
      <c r="T239" s="195">
        <f t="shared" si="15"/>
        <v>45711.5</v>
      </c>
      <c r="U239" s="237">
        <v>23847.5</v>
      </c>
      <c r="V239" s="238">
        <v>25415.5</v>
      </c>
      <c r="W239" s="237">
        <v>6590</v>
      </c>
      <c r="X239" s="238">
        <v>6943</v>
      </c>
      <c r="Y239" s="237">
        <v>9264</v>
      </c>
      <c r="Z239" s="237">
        <v>0</v>
      </c>
      <c r="AA239" s="237">
        <v>3031</v>
      </c>
      <c r="AB239" s="238">
        <v>12164</v>
      </c>
      <c r="AC239" s="238">
        <v>0</v>
      </c>
      <c r="AD239" s="238">
        <v>1189</v>
      </c>
      <c r="AE239" s="237"/>
      <c r="AF239" s="259"/>
    </row>
    <row r="240" spans="1:32" s="239" customFormat="1" ht="15" customHeight="1">
      <c r="A240" s="235" t="s">
        <v>457</v>
      </c>
      <c r="B240" s="235" t="s">
        <v>463</v>
      </c>
      <c r="C240" s="33">
        <v>157386</v>
      </c>
      <c r="D240" s="236">
        <v>4</v>
      </c>
      <c r="E240" s="178">
        <f t="shared" si="12"/>
        <v>212911</v>
      </c>
      <c r="F240" s="195">
        <f t="shared" si="13"/>
        <v>209490</v>
      </c>
      <c r="G240" s="237">
        <v>192418</v>
      </c>
      <c r="H240" s="238">
        <v>182763</v>
      </c>
      <c r="I240" s="237">
        <v>13283</v>
      </c>
      <c r="J240" s="238">
        <v>15476</v>
      </c>
      <c r="K240" s="237">
        <v>2647</v>
      </c>
      <c r="L240" s="237">
        <v>4236</v>
      </c>
      <c r="M240" s="237">
        <v>327</v>
      </c>
      <c r="N240" s="238">
        <v>4972</v>
      </c>
      <c r="O240" s="238">
        <v>5454</v>
      </c>
      <c r="P240" s="238">
        <v>825</v>
      </c>
      <c r="Q240" s="237"/>
      <c r="R240" s="238"/>
      <c r="S240" s="178">
        <f t="shared" si="14"/>
        <v>21959</v>
      </c>
      <c r="T240" s="195">
        <f t="shared" si="15"/>
        <v>22319</v>
      </c>
      <c r="U240" s="237">
        <v>10040</v>
      </c>
      <c r="V240" s="238">
        <v>10862</v>
      </c>
      <c r="W240" s="237">
        <v>5133</v>
      </c>
      <c r="X240" s="238">
        <v>4650</v>
      </c>
      <c r="Y240" s="237">
        <v>5902</v>
      </c>
      <c r="Z240" s="237">
        <v>881</v>
      </c>
      <c r="AA240" s="237">
        <v>3</v>
      </c>
      <c r="AB240" s="238">
        <v>5811</v>
      </c>
      <c r="AC240" s="238">
        <v>987</v>
      </c>
      <c r="AD240" s="238">
        <v>9</v>
      </c>
      <c r="AE240" s="237"/>
      <c r="AF240" s="259"/>
    </row>
    <row r="241" spans="1:32" s="239" customFormat="1" ht="15" customHeight="1">
      <c r="A241" s="235" t="s">
        <v>457</v>
      </c>
      <c r="B241" s="235" t="s">
        <v>464</v>
      </c>
      <c r="C241" s="33">
        <v>157447</v>
      </c>
      <c r="D241" s="236">
        <v>4</v>
      </c>
      <c r="E241" s="178">
        <f t="shared" si="12"/>
        <v>306066</v>
      </c>
      <c r="F241" s="195">
        <f t="shared" si="13"/>
        <v>303365</v>
      </c>
      <c r="G241" s="237">
        <v>292226</v>
      </c>
      <c r="H241" s="238">
        <v>289239</v>
      </c>
      <c r="I241" s="237">
        <v>9664</v>
      </c>
      <c r="J241" s="238">
        <v>9493</v>
      </c>
      <c r="K241" s="237">
        <v>3006</v>
      </c>
      <c r="L241" s="237">
        <v>0</v>
      </c>
      <c r="M241" s="237">
        <v>1170</v>
      </c>
      <c r="N241" s="238">
        <v>3523</v>
      </c>
      <c r="O241" s="238">
        <v>48</v>
      </c>
      <c r="P241" s="238">
        <v>1062</v>
      </c>
      <c r="Q241" s="237"/>
      <c r="R241" s="238"/>
      <c r="S241" s="178">
        <f t="shared" si="14"/>
        <v>30246.5</v>
      </c>
      <c r="T241" s="195">
        <f t="shared" si="15"/>
        <v>32765.5</v>
      </c>
      <c r="U241" s="237">
        <v>29845.5</v>
      </c>
      <c r="V241" s="238">
        <v>31944.5</v>
      </c>
      <c r="W241" s="237">
        <v>174</v>
      </c>
      <c r="X241" s="238">
        <v>45</v>
      </c>
      <c r="Y241" s="237">
        <v>218</v>
      </c>
      <c r="Z241" s="237">
        <v>0</v>
      </c>
      <c r="AA241" s="237">
        <v>9</v>
      </c>
      <c r="AB241" s="238">
        <v>773</v>
      </c>
      <c r="AC241" s="238">
        <v>3</v>
      </c>
      <c r="AD241" s="238">
        <v>0</v>
      </c>
      <c r="AE241" s="237"/>
      <c r="AF241" s="259"/>
    </row>
    <row r="242" spans="1:32" s="239" customFormat="1" ht="15" customHeight="1">
      <c r="A242" s="235" t="s">
        <v>457</v>
      </c>
      <c r="B242" s="302" t="s">
        <v>465</v>
      </c>
      <c r="C242" s="33">
        <v>157058</v>
      </c>
      <c r="D242" s="236">
        <v>5</v>
      </c>
      <c r="E242" s="178">
        <f t="shared" si="12"/>
        <v>58570</v>
      </c>
      <c r="F242" s="195">
        <f t="shared" si="13"/>
        <v>58083.5</v>
      </c>
      <c r="G242" s="237">
        <v>55264</v>
      </c>
      <c r="H242" s="238">
        <v>52740.5</v>
      </c>
      <c r="I242" s="237">
        <v>0</v>
      </c>
      <c r="J242" s="238">
        <v>0</v>
      </c>
      <c r="K242" s="237">
        <v>2271</v>
      </c>
      <c r="L242" s="237">
        <v>183</v>
      </c>
      <c r="M242" s="237">
        <v>852</v>
      </c>
      <c r="N242" s="238">
        <v>3747</v>
      </c>
      <c r="O242" s="238">
        <v>422</v>
      </c>
      <c r="P242" s="238">
        <v>1174</v>
      </c>
      <c r="Q242" s="237"/>
      <c r="R242" s="238"/>
      <c r="S242" s="178">
        <f t="shared" si="14"/>
        <v>2420</v>
      </c>
      <c r="T242" s="195">
        <f t="shared" si="15"/>
        <v>2332</v>
      </c>
      <c r="U242" s="237">
        <v>2384</v>
      </c>
      <c r="V242" s="238">
        <v>2242</v>
      </c>
      <c r="W242" s="237">
        <v>0</v>
      </c>
      <c r="X242" s="238">
        <v>0</v>
      </c>
      <c r="Y242" s="237">
        <v>33</v>
      </c>
      <c r="Z242" s="237">
        <v>0</v>
      </c>
      <c r="AA242" s="237">
        <v>3</v>
      </c>
      <c r="AB242" s="238">
        <v>48</v>
      </c>
      <c r="AC242" s="238">
        <v>42</v>
      </c>
      <c r="AD242" s="238">
        <v>0</v>
      </c>
      <c r="AE242" s="237"/>
      <c r="AF242" s="259"/>
    </row>
    <row r="243" spans="1:32" s="246" customFormat="1" ht="15" customHeight="1">
      <c r="A243" s="240" t="s">
        <v>457</v>
      </c>
      <c r="B243" s="241" t="s">
        <v>795</v>
      </c>
      <c r="C243" s="242">
        <v>157173</v>
      </c>
      <c r="D243" s="243">
        <v>8</v>
      </c>
      <c r="E243" s="178">
        <f t="shared" si="12"/>
        <v>250149</v>
      </c>
      <c r="F243" s="195">
        <f t="shared" si="13"/>
        <v>250468</v>
      </c>
      <c r="G243" s="244">
        <f>177660+57152</f>
        <v>234812</v>
      </c>
      <c r="H243" s="245">
        <f>179787+43071</f>
        <v>222858</v>
      </c>
      <c r="I243" s="244">
        <v>2686</v>
      </c>
      <c r="J243" s="245">
        <f>4963+834</f>
        <v>5797</v>
      </c>
      <c r="K243" s="244">
        <f>6242+5461</f>
        <v>11703</v>
      </c>
      <c r="L243" s="244">
        <v>42</v>
      </c>
      <c r="M243" s="244">
        <f>879+27</f>
        <v>906</v>
      </c>
      <c r="N243" s="245">
        <f>9359+12139</f>
        <v>21498</v>
      </c>
      <c r="O243" s="245">
        <f>234+81</f>
        <v>315</v>
      </c>
      <c r="P243" s="245"/>
      <c r="Q243" s="244"/>
      <c r="R243" s="245"/>
      <c r="S243" s="178">
        <f t="shared" si="14"/>
        <v>0</v>
      </c>
      <c r="T243" s="195">
        <f t="shared" si="15"/>
        <v>0</v>
      </c>
      <c r="U243" s="244"/>
      <c r="V243" s="245"/>
      <c r="W243" s="244"/>
      <c r="X243" s="245"/>
      <c r="Y243" s="244"/>
      <c r="Z243" s="244"/>
      <c r="AA243" s="244"/>
      <c r="AB243" s="245"/>
      <c r="AC243" s="245"/>
      <c r="AD243" s="245"/>
      <c r="AE243" s="244"/>
      <c r="AF243" s="260"/>
    </row>
    <row r="244" spans="1:32" s="246" customFormat="1" ht="15" customHeight="1">
      <c r="A244" s="240" t="s">
        <v>457</v>
      </c>
      <c r="B244" s="241" t="s">
        <v>796</v>
      </c>
      <c r="C244" s="242">
        <v>156921</v>
      </c>
      <c r="D244" s="243">
        <v>8</v>
      </c>
      <c r="E244" s="178">
        <f t="shared" si="12"/>
        <v>215284</v>
      </c>
      <c r="F244" s="195">
        <f t="shared" si="13"/>
        <v>225001</v>
      </c>
      <c r="G244" s="244">
        <f>160153+29469</f>
        <v>189622</v>
      </c>
      <c r="H244" s="334">
        <f>67143+29217</f>
        <v>96360</v>
      </c>
      <c r="I244" s="244">
        <f>4920+7935</f>
        <v>12855</v>
      </c>
      <c r="J244" s="245">
        <f>4874+10492</f>
        <v>15366</v>
      </c>
      <c r="K244" s="335">
        <v>10491</v>
      </c>
      <c r="L244" s="244">
        <f>1227+168</f>
        <v>1395</v>
      </c>
      <c r="M244" s="244">
        <v>921</v>
      </c>
      <c r="N244" s="334">
        <f>110132+2085</f>
        <v>112217</v>
      </c>
      <c r="O244" s="245">
        <v>305</v>
      </c>
      <c r="P244" s="245">
        <v>753</v>
      </c>
      <c r="Q244" s="244"/>
      <c r="R244" s="245"/>
      <c r="S244" s="178">
        <f t="shared" si="14"/>
        <v>0</v>
      </c>
      <c r="T244" s="195">
        <f t="shared" si="15"/>
        <v>0</v>
      </c>
      <c r="U244" s="244"/>
      <c r="V244" s="245"/>
      <c r="W244" s="244"/>
      <c r="X244" s="245"/>
      <c r="Y244" s="244"/>
      <c r="Z244" s="244"/>
      <c r="AA244" s="244"/>
      <c r="AB244" s="245"/>
      <c r="AC244" s="245"/>
      <c r="AD244" s="245"/>
      <c r="AE244" s="244"/>
      <c r="AF244" s="260"/>
    </row>
    <row r="245" spans="1:32" s="246" customFormat="1" ht="15" customHeight="1">
      <c r="A245" s="240" t="s">
        <v>457</v>
      </c>
      <c r="B245" s="241" t="s">
        <v>797</v>
      </c>
      <c r="C245" s="242">
        <v>156231</v>
      </c>
      <c r="D245" s="243">
        <v>9</v>
      </c>
      <c r="E245" s="178">
        <f t="shared" si="12"/>
        <v>68904</v>
      </c>
      <c r="F245" s="195">
        <f t="shared" si="13"/>
        <v>66729</v>
      </c>
      <c r="G245" s="244">
        <f>41485+15208</f>
        <v>56693</v>
      </c>
      <c r="H245" s="245">
        <f>39711+16323</f>
        <v>56034</v>
      </c>
      <c r="I245" s="244">
        <f>5704+4028</f>
        <v>9732</v>
      </c>
      <c r="J245" s="245">
        <v>5025</v>
      </c>
      <c r="K245" s="244">
        <v>2114</v>
      </c>
      <c r="L245" s="244">
        <v>20</v>
      </c>
      <c r="M245" s="244">
        <v>345</v>
      </c>
      <c r="N245" s="245">
        <f>5342+79</f>
        <v>5421</v>
      </c>
      <c r="O245" s="245"/>
      <c r="P245" s="245">
        <v>249</v>
      </c>
      <c r="Q245" s="244"/>
      <c r="R245" s="245"/>
      <c r="S245" s="178">
        <f t="shared" si="14"/>
        <v>0</v>
      </c>
      <c r="T245" s="195">
        <f t="shared" si="15"/>
        <v>0</v>
      </c>
      <c r="U245" s="244"/>
      <c r="V245" s="245"/>
      <c r="W245" s="244"/>
      <c r="X245" s="245"/>
      <c r="Y245" s="244"/>
      <c r="Z245" s="244"/>
      <c r="AA245" s="244"/>
      <c r="AB245" s="245"/>
      <c r="AC245" s="245"/>
      <c r="AD245" s="245"/>
      <c r="AE245" s="244"/>
      <c r="AF245" s="260"/>
    </row>
    <row r="246" spans="1:32" s="246" customFormat="1" ht="15" customHeight="1">
      <c r="A246" s="240" t="s">
        <v>457</v>
      </c>
      <c r="B246" s="241" t="s">
        <v>798</v>
      </c>
      <c r="C246" s="247">
        <v>157553</v>
      </c>
      <c r="D246" s="243">
        <v>9</v>
      </c>
      <c r="E246" s="178">
        <f t="shared" si="12"/>
        <v>82834</v>
      </c>
      <c r="F246" s="195">
        <f t="shared" si="13"/>
        <v>82661</v>
      </c>
      <c r="G246" s="244">
        <f>34921+19357</f>
        <v>54278</v>
      </c>
      <c r="H246" s="425">
        <v>48166</v>
      </c>
      <c r="I246" s="244">
        <f>13467+4644</f>
        <v>18111</v>
      </c>
      <c r="J246" s="425">
        <v>19449</v>
      </c>
      <c r="K246" s="244">
        <f>7865+464</f>
        <v>8329</v>
      </c>
      <c r="L246" s="244">
        <v>583</v>
      </c>
      <c r="M246" s="244">
        <v>1533</v>
      </c>
      <c r="N246" s="425">
        <v>14472</v>
      </c>
      <c r="O246" s="425">
        <v>574</v>
      </c>
      <c r="P246" s="245"/>
      <c r="Q246" s="244"/>
      <c r="R246" s="245"/>
      <c r="S246" s="178">
        <f t="shared" si="14"/>
        <v>0</v>
      </c>
      <c r="T246" s="195">
        <f t="shared" si="15"/>
        <v>0</v>
      </c>
      <c r="U246" s="244"/>
      <c r="V246" s="245"/>
      <c r="W246" s="244"/>
      <c r="X246" s="245"/>
      <c r="Y246" s="244"/>
      <c r="Z246" s="244"/>
      <c r="AA246" s="244"/>
      <c r="AB246" s="245"/>
      <c r="AC246" s="245"/>
      <c r="AD246" s="245"/>
      <c r="AE246" s="244"/>
      <c r="AF246" s="260"/>
    </row>
    <row r="247" spans="1:32" s="246" customFormat="1" ht="15" customHeight="1">
      <c r="A247" s="240" t="s">
        <v>457</v>
      </c>
      <c r="B247" s="241" t="s">
        <v>799</v>
      </c>
      <c r="C247" s="242">
        <v>156648</v>
      </c>
      <c r="D247" s="243">
        <v>9</v>
      </c>
      <c r="E247" s="178">
        <f t="shared" si="12"/>
        <v>92701</v>
      </c>
      <c r="F247" s="195">
        <f t="shared" si="13"/>
        <v>91953</v>
      </c>
      <c r="G247" s="244">
        <f>66334+18388</f>
        <v>84722</v>
      </c>
      <c r="H247" s="425">
        <v>81763</v>
      </c>
      <c r="I247" s="244">
        <f>2662+16</f>
        <v>2678</v>
      </c>
      <c r="J247" s="425">
        <v>2208</v>
      </c>
      <c r="K247" s="244">
        <f>3642+102</f>
        <v>3744</v>
      </c>
      <c r="L247" s="244">
        <v>39</v>
      </c>
      <c r="M247" s="244">
        <v>1518</v>
      </c>
      <c r="N247" s="425">
        <v>6003</v>
      </c>
      <c r="O247" s="245">
        <v>92</v>
      </c>
      <c r="P247" s="245">
        <v>1887</v>
      </c>
      <c r="Q247" s="244"/>
      <c r="R247" s="245"/>
      <c r="S247" s="178">
        <f t="shared" si="14"/>
        <v>0</v>
      </c>
      <c r="T247" s="195">
        <f t="shared" si="15"/>
        <v>0</v>
      </c>
      <c r="U247" s="244"/>
      <c r="V247" s="245"/>
      <c r="W247" s="244"/>
      <c r="X247" s="245"/>
      <c r="Y247" s="244"/>
      <c r="Z247" s="244"/>
      <c r="AA247" s="244"/>
      <c r="AB247" s="245"/>
      <c r="AC247" s="245"/>
      <c r="AD247" s="245"/>
      <c r="AE247" s="244"/>
      <c r="AF247" s="260"/>
    </row>
    <row r="248" spans="1:32" s="239" customFormat="1" ht="15" customHeight="1">
      <c r="A248" s="235" t="s">
        <v>457</v>
      </c>
      <c r="B248" s="235" t="s">
        <v>467</v>
      </c>
      <c r="C248" s="33">
        <v>156790</v>
      </c>
      <c r="D248" s="236">
        <v>9</v>
      </c>
      <c r="E248" s="178">
        <f t="shared" si="12"/>
        <v>72789.8</v>
      </c>
      <c r="F248" s="195">
        <f t="shared" si="13"/>
        <v>65536.6</v>
      </c>
      <c r="G248" s="237">
        <v>60729.9</v>
      </c>
      <c r="H248" s="238">
        <v>45888.6</v>
      </c>
      <c r="I248" s="237">
        <v>3168.9</v>
      </c>
      <c r="J248" s="238">
        <v>1738</v>
      </c>
      <c r="K248" s="237">
        <v>5398</v>
      </c>
      <c r="L248" s="237">
        <v>3121</v>
      </c>
      <c r="M248" s="237">
        <v>372</v>
      </c>
      <c r="N248" s="238">
        <v>16118</v>
      </c>
      <c r="O248" s="238">
        <v>1393</v>
      </c>
      <c r="P248" s="238">
        <v>399</v>
      </c>
      <c r="Q248" s="237"/>
      <c r="R248" s="238"/>
      <c r="S248" s="178">
        <f t="shared" si="14"/>
        <v>0</v>
      </c>
      <c r="T248" s="195">
        <f t="shared" si="15"/>
        <v>0</v>
      </c>
      <c r="U248" s="237" t="s">
        <v>466</v>
      </c>
      <c r="V248" s="238">
        <v>0</v>
      </c>
      <c r="W248" s="237" t="s">
        <v>466</v>
      </c>
      <c r="X248" s="238">
        <v>0</v>
      </c>
      <c r="Y248" s="237" t="s">
        <v>466</v>
      </c>
      <c r="Z248" s="237">
        <v>0</v>
      </c>
      <c r="AA248" s="237" t="s">
        <v>466</v>
      </c>
      <c r="AB248" s="238">
        <v>0</v>
      </c>
      <c r="AC248" s="238">
        <v>0</v>
      </c>
      <c r="AD248" s="238">
        <v>0</v>
      </c>
      <c r="AE248" s="237"/>
      <c r="AF248" s="259"/>
    </row>
    <row r="249" spans="1:32" s="239" customFormat="1" ht="15" customHeight="1">
      <c r="A249" s="235" t="s">
        <v>457</v>
      </c>
      <c r="B249" s="235" t="s">
        <v>470</v>
      </c>
      <c r="C249" s="33">
        <v>157304</v>
      </c>
      <c r="D249" s="236">
        <v>9</v>
      </c>
      <c r="E249" s="178">
        <f t="shared" si="12"/>
        <v>62004.7</v>
      </c>
      <c r="F249" s="195">
        <f t="shared" si="13"/>
        <v>63135.3</v>
      </c>
      <c r="G249" s="237">
        <v>45293.7</v>
      </c>
      <c r="H249" s="426">
        <v>46982.3</v>
      </c>
      <c r="I249" s="237">
        <v>11686</v>
      </c>
      <c r="J249" s="426">
        <v>5604</v>
      </c>
      <c r="K249" s="237">
        <v>3790</v>
      </c>
      <c r="L249" s="237">
        <v>428</v>
      </c>
      <c r="M249" s="237">
        <v>807</v>
      </c>
      <c r="N249" s="426">
        <v>9880</v>
      </c>
      <c r="O249" s="426">
        <v>177</v>
      </c>
      <c r="P249" s="426">
        <v>492</v>
      </c>
      <c r="Q249" s="237"/>
      <c r="R249" s="238"/>
      <c r="S249" s="178">
        <f t="shared" si="14"/>
        <v>0</v>
      </c>
      <c r="T249" s="195">
        <f t="shared" si="15"/>
        <v>0</v>
      </c>
      <c r="U249" s="237" t="s">
        <v>466</v>
      </c>
      <c r="V249" s="238">
        <v>0</v>
      </c>
      <c r="W249" s="237" t="s">
        <v>466</v>
      </c>
      <c r="X249" s="238">
        <v>0</v>
      </c>
      <c r="Y249" s="237" t="s">
        <v>466</v>
      </c>
      <c r="Z249" s="237">
        <v>0</v>
      </c>
      <c r="AA249" s="237" t="s">
        <v>466</v>
      </c>
      <c r="AB249" s="238">
        <v>0</v>
      </c>
      <c r="AC249" s="238">
        <v>0</v>
      </c>
      <c r="AD249" s="238">
        <v>0</v>
      </c>
      <c r="AE249" s="237"/>
      <c r="AF249" s="259"/>
    </row>
    <row r="250" spans="1:32" s="246" customFormat="1" ht="15" customHeight="1">
      <c r="A250" s="248" t="s">
        <v>457</v>
      </c>
      <c r="B250" s="249" t="s">
        <v>800</v>
      </c>
      <c r="C250" s="250">
        <v>247940</v>
      </c>
      <c r="D250" s="251">
        <v>9</v>
      </c>
      <c r="E250" s="178">
        <f t="shared" si="12"/>
        <v>77930</v>
      </c>
      <c r="F250" s="195">
        <f t="shared" si="13"/>
        <v>73565</v>
      </c>
      <c r="G250" s="244">
        <f>51015+15295</f>
        <v>66310</v>
      </c>
      <c r="H250" s="426">
        <v>60838</v>
      </c>
      <c r="I250" s="244">
        <f>1520+5945</f>
        <v>7465</v>
      </c>
      <c r="J250" s="426">
        <v>6970</v>
      </c>
      <c r="K250" s="244">
        <v>3495</v>
      </c>
      <c r="L250" s="244"/>
      <c r="M250" s="244">
        <v>660</v>
      </c>
      <c r="N250" s="426">
        <v>5169</v>
      </c>
      <c r="O250" s="426">
        <v>18</v>
      </c>
      <c r="P250" s="426">
        <v>570</v>
      </c>
      <c r="Q250" s="244"/>
      <c r="R250" s="245"/>
      <c r="S250" s="178">
        <f t="shared" si="14"/>
        <v>0</v>
      </c>
      <c r="T250" s="195">
        <f t="shared" si="15"/>
        <v>0</v>
      </c>
      <c r="U250" s="244"/>
      <c r="V250" s="245"/>
      <c r="W250" s="244"/>
      <c r="X250" s="245"/>
      <c r="Y250" s="244"/>
      <c r="Z250" s="244"/>
      <c r="AA250" s="244"/>
      <c r="AB250" s="245"/>
      <c r="AC250" s="245"/>
      <c r="AD250" s="245"/>
      <c r="AE250" s="244"/>
      <c r="AF250" s="260"/>
    </row>
    <row r="251" spans="1:32" s="246" customFormat="1" ht="15" customHeight="1">
      <c r="A251" s="248" t="s">
        <v>457</v>
      </c>
      <c r="B251" s="252" t="s">
        <v>667</v>
      </c>
      <c r="C251" s="250">
        <v>157711</v>
      </c>
      <c r="D251" s="251">
        <v>9</v>
      </c>
      <c r="E251" s="178">
        <f t="shared" si="12"/>
        <v>103255</v>
      </c>
      <c r="F251" s="195">
        <f t="shared" si="13"/>
        <v>102483</v>
      </c>
      <c r="G251" s="244">
        <f>70984+14005</f>
        <v>84989</v>
      </c>
      <c r="H251" s="245">
        <f>75769+5714</f>
        <v>81483</v>
      </c>
      <c r="I251" s="244">
        <f>11317+2846</f>
        <v>14163</v>
      </c>
      <c r="J251" s="245">
        <f>12204+971</f>
        <v>13175</v>
      </c>
      <c r="K251" s="244">
        <v>1024</v>
      </c>
      <c r="L251" s="244">
        <f>2101+267</f>
        <v>2368</v>
      </c>
      <c r="M251" s="244">
        <v>711</v>
      </c>
      <c r="N251" s="245">
        <f>3973+87</f>
        <v>4060</v>
      </c>
      <c r="O251" s="245">
        <f>2498+229</f>
        <v>2727</v>
      </c>
      <c r="P251" s="245">
        <v>1038</v>
      </c>
      <c r="Q251" s="244"/>
      <c r="R251" s="245"/>
      <c r="S251" s="178">
        <f t="shared" si="14"/>
        <v>0</v>
      </c>
      <c r="T251" s="195">
        <f t="shared" si="15"/>
        <v>0</v>
      </c>
      <c r="U251" s="244"/>
      <c r="V251" s="245"/>
      <c r="W251" s="244"/>
      <c r="X251" s="245"/>
      <c r="Y251" s="244"/>
      <c r="Z251" s="244"/>
      <c r="AA251" s="244"/>
      <c r="AB251" s="245"/>
      <c r="AC251" s="245"/>
      <c r="AD251" s="245"/>
      <c r="AE251" s="244"/>
      <c r="AF251" s="260"/>
    </row>
    <row r="252" spans="1:32" s="239" customFormat="1" ht="15" customHeight="1">
      <c r="A252" s="235" t="s">
        <v>457</v>
      </c>
      <c r="B252" s="253" t="s">
        <v>801</v>
      </c>
      <c r="C252" s="33">
        <v>157739</v>
      </c>
      <c r="D252" s="236">
        <v>9</v>
      </c>
      <c r="E252" s="178">
        <f t="shared" si="12"/>
        <v>70295.5</v>
      </c>
      <c r="F252" s="195">
        <f t="shared" si="13"/>
        <v>72352.5</v>
      </c>
      <c r="G252" s="237">
        <v>23265.5</v>
      </c>
      <c r="H252" s="238">
        <v>23420</v>
      </c>
      <c r="I252" s="237">
        <v>38496</v>
      </c>
      <c r="J252" s="238">
        <v>39042.5</v>
      </c>
      <c r="K252" s="237">
        <v>3854</v>
      </c>
      <c r="L252" s="237">
        <v>2907</v>
      </c>
      <c r="M252" s="237">
        <v>1773</v>
      </c>
      <c r="N252" s="238">
        <v>4422</v>
      </c>
      <c r="O252" s="238">
        <v>3209</v>
      </c>
      <c r="P252" s="238">
        <v>2259</v>
      </c>
      <c r="Q252" s="237"/>
      <c r="R252" s="238"/>
      <c r="S252" s="178">
        <f t="shared" si="14"/>
        <v>0</v>
      </c>
      <c r="T252" s="195">
        <f t="shared" si="15"/>
        <v>0</v>
      </c>
      <c r="U252" s="237" t="s">
        <v>466</v>
      </c>
      <c r="V252" s="238">
        <v>0</v>
      </c>
      <c r="W252" s="237" t="s">
        <v>466</v>
      </c>
      <c r="X252" s="238">
        <v>0</v>
      </c>
      <c r="Y252" s="237" t="s">
        <v>466</v>
      </c>
      <c r="Z252" s="237">
        <v>0</v>
      </c>
      <c r="AA252" s="237" t="s">
        <v>466</v>
      </c>
      <c r="AB252" s="238">
        <v>0</v>
      </c>
      <c r="AC252" s="238">
        <v>0</v>
      </c>
      <c r="AD252" s="238">
        <v>0</v>
      </c>
      <c r="AE252" s="237"/>
      <c r="AF252" s="259"/>
    </row>
    <row r="253" spans="1:32" s="246" customFormat="1" ht="15" customHeight="1">
      <c r="A253" s="240" t="s">
        <v>457</v>
      </c>
      <c r="B253" s="241" t="s">
        <v>802</v>
      </c>
      <c r="C253" s="242">
        <v>157483</v>
      </c>
      <c r="D253" s="243">
        <v>9</v>
      </c>
      <c r="E253" s="178">
        <f t="shared" si="12"/>
        <v>48773</v>
      </c>
      <c r="F253" s="195">
        <f t="shared" si="13"/>
        <v>99912.2</v>
      </c>
      <c r="G253" s="244">
        <f>9755+36584</f>
        <v>46339</v>
      </c>
      <c r="H253" s="425">
        <v>84733.2</v>
      </c>
      <c r="I253" s="244">
        <v>251</v>
      </c>
      <c r="J253" s="425">
        <v>2485</v>
      </c>
      <c r="K253" s="244">
        <f>994+688</f>
        <v>1682</v>
      </c>
      <c r="L253" s="244">
        <v>501</v>
      </c>
      <c r="M253" s="244"/>
      <c r="N253" s="425">
        <v>12311</v>
      </c>
      <c r="O253" s="425">
        <v>383</v>
      </c>
      <c r="P253" s="245"/>
      <c r="Q253" s="244"/>
      <c r="R253" s="245"/>
      <c r="S253" s="178">
        <f t="shared" si="14"/>
        <v>0</v>
      </c>
      <c r="T253" s="195">
        <f t="shared" si="15"/>
        <v>0</v>
      </c>
      <c r="U253" s="244"/>
      <c r="V253" s="245"/>
      <c r="W253" s="244"/>
      <c r="X253" s="245"/>
      <c r="Y253" s="244"/>
      <c r="Z253" s="244"/>
      <c r="AA253" s="244"/>
      <c r="AB253" s="245"/>
      <c r="AC253" s="245"/>
      <c r="AD253" s="245"/>
      <c r="AE253" s="244"/>
      <c r="AF253" s="260"/>
    </row>
    <row r="254" spans="1:32" s="239" customFormat="1" ht="15" customHeight="1">
      <c r="A254" s="235" t="s">
        <v>457</v>
      </c>
      <c r="B254" s="235" t="s">
        <v>468</v>
      </c>
      <c r="C254" s="33">
        <v>156851</v>
      </c>
      <c r="D254" s="236">
        <v>10</v>
      </c>
      <c r="E254" s="178">
        <f t="shared" si="12"/>
        <v>29632.3</v>
      </c>
      <c r="F254" s="195">
        <f t="shared" si="13"/>
        <v>25313</v>
      </c>
      <c r="G254" s="237">
        <v>22979.2</v>
      </c>
      <c r="H254" s="426">
        <v>20073</v>
      </c>
      <c r="I254" s="237">
        <v>1397.1</v>
      </c>
      <c r="J254" s="425">
        <v>956</v>
      </c>
      <c r="K254" s="237">
        <v>4821</v>
      </c>
      <c r="L254" s="237">
        <v>435</v>
      </c>
      <c r="M254" s="237">
        <v>0</v>
      </c>
      <c r="N254" s="425">
        <v>3982</v>
      </c>
      <c r="O254" s="425">
        <v>302</v>
      </c>
      <c r="P254" s="426">
        <v>0</v>
      </c>
      <c r="Q254" s="237"/>
      <c r="R254" s="238"/>
      <c r="S254" s="178">
        <f t="shared" si="14"/>
        <v>0</v>
      </c>
      <c r="T254" s="195">
        <f t="shared" si="15"/>
        <v>0</v>
      </c>
      <c r="U254" s="237" t="s">
        <v>466</v>
      </c>
      <c r="V254" s="238">
        <v>0</v>
      </c>
      <c r="W254" s="237" t="s">
        <v>466</v>
      </c>
      <c r="X254" s="238">
        <v>0</v>
      </c>
      <c r="Y254" s="237" t="s">
        <v>466</v>
      </c>
      <c r="Z254" s="237">
        <v>0</v>
      </c>
      <c r="AA254" s="237" t="s">
        <v>466</v>
      </c>
      <c r="AB254" s="238">
        <v>0</v>
      </c>
      <c r="AC254" s="238">
        <v>0</v>
      </c>
      <c r="AD254" s="238">
        <v>0</v>
      </c>
      <c r="AE254" s="237"/>
      <c r="AF254" s="259"/>
    </row>
    <row r="255" spans="1:32" s="239" customFormat="1" ht="15" customHeight="1">
      <c r="A255" s="235" t="s">
        <v>457</v>
      </c>
      <c r="B255" s="235" t="s">
        <v>469</v>
      </c>
      <c r="C255" s="33">
        <v>156860</v>
      </c>
      <c r="D255" s="205">
        <v>10</v>
      </c>
      <c r="E255" s="178">
        <f t="shared" si="12"/>
        <v>57622</v>
      </c>
      <c r="F255" s="195">
        <f t="shared" si="13"/>
        <v>53667</v>
      </c>
      <c r="G255" s="237">
        <v>49409</v>
      </c>
      <c r="H255" s="426">
        <v>46990</v>
      </c>
      <c r="I255" s="237">
        <v>5684</v>
      </c>
      <c r="J255" s="425">
        <v>3557</v>
      </c>
      <c r="K255" s="237">
        <v>1986</v>
      </c>
      <c r="L255" s="237">
        <v>105</v>
      </c>
      <c r="M255" s="237">
        <v>438</v>
      </c>
      <c r="N255" s="425">
        <v>2877</v>
      </c>
      <c r="O255" s="425">
        <v>33</v>
      </c>
      <c r="P255" s="426">
        <v>210</v>
      </c>
      <c r="Q255" s="237"/>
      <c r="R255" s="238"/>
      <c r="S255" s="178">
        <f t="shared" si="14"/>
        <v>0</v>
      </c>
      <c r="T255" s="195">
        <f t="shared" si="15"/>
        <v>0</v>
      </c>
      <c r="U255" s="237" t="s">
        <v>466</v>
      </c>
      <c r="V255" s="238">
        <v>0</v>
      </c>
      <c r="W255" s="237" t="s">
        <v>466</v>
      </c>
      <c r="X255" s="238">
        <v>0</v>
      </c>
      <c r="Y255" s="237" t="s">
        <v>466</v>
      </c>
      <c r="Z255" s="237">
        <v>0</v>
      </c>
      <c r="AA255" s="237" t="s">
        <v>466</v>
      </c>
      <c r="AB255" s="238">
        <v>0</v>
      </c>
      <c r="AC255" s="238">
        <v>0</v>
      </c>
      <c r="AD255" s="238">
        <v>0</v>
      </c>
      <c r="AE255" s="237"/>
      <c r="AF255" s="259"/>
    </row>
    <row r="256" spans="1:32" s="239" customFormat="1" ht="15" customHeight="1">
      <c r="A256" s="235" t="s">
        <v>457</v>
      </c>
      <c r="B256" s="253" t="s">
        <v>803</v>
      </c>
      <c r="C256" s="33">
        <v>157331</v>
      </c>
      <c r="D256" s="205">
        <v>10</v>
      </c>
      <c r="E256" s="178">
        <f t="shared" si="12"/>
        <v>39066.1</v>
      </c>
      <c r="F256" s="195">
        <f t="shared" si="13"/>
        <v>55816</v>
      </c>
      <c r="G256" s="237">
        <v>14077.1</v>
      </c>
      <c r="H256" s="426">
        <v>18055</v>
      </c>
      <c r="I256" s="237">
        <v>12774</v>
      </c>
      <c r="J256" s="425">
        <v>12632</v>
      </c>
      <c r="K256" s="237">
        <v>11089</v>
      </c>
      <c r="L256" s="237">
        <v>1126</v>
      </c>
      <c r="M256" s="237">
        <v>0</v>
      </c>
      <c r="N256" s="425">
        <v>23200</v>
      </c>
      <c r="O256" s="425">
        <v>1369</v>
      </c>
      <c r="P256" s="426">
        <v>560</v>
      </c>
      <c r="Q256" s="237"/>
      <c r="R256" s="238"/>
      <c r="S256" s="178">
        <f t="shared" si="14"/>
        <v>0</v>
      </c>
      <c r="T256" s="195">
        <f t="shared" si="15"/>
        <v>0</v>
      </c>
      <c r="U256" s="237" t="s">
        <v>466</v>
      </c>
      <c r="V256" s="238">
        <v>0</v>
      </c>
      <c r="W256" s="237" t="s">
        <v>466</v>
      </c>
      <c r="X256" s="238">
        <v>0</v>
      </c>
      <c r="Y256" s="237" t="s">
        <v>466</v>
      </c>
      <c r="Z256" s="237">
        <v>0</v>
      </c>
      <c r="AA256" s="237" t="s">
        <v>466</v>
      </c>
      <c r="AB256" s="238">
        <v>0</v>
      </c>
      <c r="AC256" s="238">
        <v>0</v>
      </c>
      <c r="AD256" s="238">
        <v>0</v>
      </c>
      <c r="AE256" s="237"/>
      <c r="AF256" s="259"/>
    </row>
    <row r="257" spans="1:32" s="239" customFormat="1" ht="15" customHeight="1">
      <c r="A257" s="235" t="s">
        <v>457</v>
      </c>
      <c r="B257" s="235" t="s">
        <v>472</v>
      </c>
      <c r="C257" s="33">
        <v>157438</v>
      </c>
      <c r="D257" s="236">
        <v>12</v>
      </c>
      <c r="E257" s="178">
        <f t="shared" si="12"/>
        <v>36430.7</v>
      </c>
      <c r="F257" s="195">
        <f t="shared" si="13"/>
        <v>34532.4</v>
      </c>
      <c r="G257" s="237">
        <v>35444.7</v>
      </c>
      <c r="H257" s="426">
        <v>32104.4</v>
      </c>
      <c r="I257" s="237">
        <v>1</v>
      </c>
      <c r="J257" s="425">
        <v>49</v>
      </c>
      <c r="K257" s="237">
        <v>985</v>
      </c>
      <c r="L257" s="237">
        <v>0</v>
      </c>
      <c r="M257" s="237">
        <v>0</v>
      </c>
      <c r="N257" s="425">
        <v>2379</v>
      </c>
      <c r="O257" s="238">
        <v>0</v>
      </c>
      <c r="P257" s="238">
        <v>0</v>
      </c>
      <c r="Q257" s="237"/>
      <c r="R257" s="238"/>
      <c r="S257" s="178">
        <f t="shared" si="14"/>
        <v>0</v>
      </c>
      <c r="T257" s="195">
        <f t="shared" si="15"/>
        <v>0</v>
      </c>
      <c r="U257" s="237" t="s">
        <v>466</v>
      </c>
      <c r="V257" s="238">
        <v>0</v>
      </c>
      <c r="W257" s="237" t="s">
        <v>466</v>
      </c>
      <c r="X257" s="238">
        <v>0</v>
      </c>
      <c r="Y257" s="237" t="s">
        <v>466</v>
      </c>
      <c r="Z257" s="237">
        <v>0</v>
      </c>
      <c r="AA257" s="237" t="s">
        <v>466</v>
      </c>
      <c r="AB257" s="238">
        <v>0</v>
      </c>
      <c r="AC257" s="238">
        <v>0</v>
      </c>
      <c r="AD257" s="238">
        <v>0</v>
      </c>
      <c r="AE257" s="237"/>
      <c r="AF257" s="259"/>
    </row>
    <row r="258" spans="1:32" s="239" customFormat="1" ht="15" customHeight="1">
      <c r="A258" s="235" t="s">
        <v>457</v>
      </c>
      <c r="B258" s="235" t="s">
        <v>471</v>
      </c>
      <c r="C258" s="33">
        <v>156338</v>
      </c>
      <c r="D258" s="236">
        <v>13</v>
      </c>
      <c r="E258" s="178">
        <f t="shared" si="12"/>
        <v>29340</v>
      </c>
      <c r="F258" s="195">
        <f t="shared" si="13"/>
        <v>27334.199999999997</v>
      </c>
      <c r="G258" s="237">
        <v>28883.4</v>
      </c>
      <c r="H258" s="426">
        <v>26213.6</v>
      </c>
      <c r="I258" s="237">
        <v>6.6</v>
      </c>
      <c r="J258" s="425">
        <v>41.6</v>
      </c>
      <c r="K258" s="237">
        <v>450</v>
      </c>
      <c r="L258" s="237">
        <v>0</v>
      </c>
      <c r="M258" s="237">
        <v>0</v>
      </c>
      <c r="N258" s="425">
        <v>1079</v>
      </c>
      <c r="O258" s="238">
        <v>0</v>
      </c>
      <c r="P258" s="238">
        <v>0</v>
      </c>
      <c r="Q258" s="237"/>
      <c r="R258" s="238"/>
      <c r="S258" s="178">
        <f t="shared" si="14"/>
        <v>0</v>
      </c>
      <c r="T258" s="195">
        <f t="shared" si="15"/>
        <v>0</v>
      </c>
      <c r="U258" s="237" t="s">
        <v>466</v>
      </c>
      <c r="V258" s="238">
        <v>0</v>
      </c>
      <c r="W258" s="237" t="s">
        <v>466</v>
      </c>
      <c r="X258" s="238">
        <v>0</v>
      </c>
      <c r="Y258" s="237" t="s">
        <v>466</v>
      </c>
      <c r="Z258" s="237">
        <v>0</v>
      </c>
      <c r="AA258" s="237" t="s">
        <v>466</v>
      </c>
      <c r="AB258" s="238">
        <v>0</v>
      </c>
      <c r="AC258" s="238">
        <v>0</v>
      </c>
      <c r="AD258" s="238">
        <v>0</v>
      </c>
      <c r="AE258" s="237"/>
      <c r="AF258" s="259"/>
    </row>
    <row r="259" spans="1:32" s="223" customFormat="1" ht="15" customHeight="1">
      <c r="A259" s="158" t="s">
        <v>473</v>
      </c>
      <c r="B259" s="159" t="s">
        <v>668</v>
      </c>
      <c r="C259" s="140">
        <v>159391</v>
      </c>
      <c r="D259" s="211">
        <v>1</v>
      </c>
      <c r="E259" s="178">
        <f t="shared" si="12"/>
        <v>0</v>
      </c>
      <c r="F259" s="195">
        <f t="shared" si="13"/>
        <v>799311</v>
      </c>
      <c r="G259" s="179"/>
      <c r="H259" s="180">
        <v>756142</v>
      </c>
      <c r="I259" s="179"/>
      <c r="J259" s="180">
        <v>1364</v>
      </c>
      <c r="K259" s="179"/>
      <c r="L259" s="179"/>
      <c r="M259" s="179"/>
      <c r="N259" s="180">
        <v>5994</v>
      </c>
      <c r="O259" s="180">
        <v>273</v>
      </c>
      <c r="P259" s="180">
        <v>606</v>
      </c>
      <c r="Q259" s="179"/>
      <c r="R259" s="180">
        <v>34932</v>
      </c>
      <c r="S259" s="178">
        <f t="shared" si="14"/>
        <v>0</v>
      </c>
      <c r="T259" s="195">
        <f t="shared" si="15"/>
        <v>116832</v>
      </c>
      <c r="U259" s="179"/>
      <c r="V259" s="180">
        <v>113550</v>
      </c>
      <c r="W259" s="179"/>
      <c r="X259" s="180">
        <v>394</v>
      </c>
      <c r="Y259" s="179"/>
      <c r="Z259" s="179"/>
      <c r="AA259" s="179"/>
      <c r="AB259" s="180">
        <v>888</v>
      </c>
      <c r="AC259" s="180">
        <v>2000</v>
      </c>
      <c r="AD259" s="180">
        <v>0</v>
      </c>
      <c r="AE259" s="179"/>
      <c r="AF259" s="256">
        <v>0</v>
      </c>
    </row>
    <row r="260" spans="1:32" s="223" customFormat="1" ht="15" customHeight="1">
      <c r="A260" s="158" t="s">
        <v>473</v>
      </c>
      <c r="B260" s="159" t="s">
        <v>669</v>
      </c>
      <c r="C260" s="140">
        <v>160658</v>
      </c>
      <c r="D260" s="211">
        <v>2</v>
      </c>
      <c r="E260" s="178">
        <f t="shared" si="12"/>
        <v>0</v>
      </c>
      <c r="F260" s="195">
        <f t="shared" si="13"/>
        <v>403833</v>
      </c>
      <c r="G260" s="179"/>
      <c r="H260" s="180">
        <v>401186</v>
      </c>
      <c r="I260" s="179"/>
      <c r="J260" s="180">
        <v>2647</v>
      </c>
      <c r="K260" s="179"/>
      <c r="L260" s="179"/>
      <c r="M260" s="179"/>
      <c r="N260" s="180">
        <v>0</v>
      </c>
      <c r="O260" s="180">
        <v>0</v>
      </c>
      <c r="P260" s="180">
        <v>0</v>
      </c>
      <c r="Q260" s="179"/>
      <c r="R260" s="180">
        <v>0</v>
      </c>
      <c r="S260" s="178">
        <f t="shared" si="14"/>
        <v>0</v>
      </c>
      <c r="T260" s="195">
        <f t="shared" si="15"/>
        <v>29165</v>
      </c>
      <c r="U260" s="179"/>
      <c r="V260" s="180">
        <v>28774</v>
      </c>
      <c r="W260" s="179"/>
      <c r="X260" s="180">
        <v>391</v>
      </c>
      <c r="Y260" s="179"/>
      <c r="Z260" s="179"/>
      <c r="AA260" s="179"/>
      <c r="AB260" s="180">
        <v>0</v>
      </c>
      <c r="AC260" s="180">
        <v>0</v>
      </c>
      <c r="AD260" s="180">
        <v>0</v>
      </c>
      <c r="AE260" s="179"/>
      <c r="AF260" s="256">
        <v>0</v>
      </c>
    </row>
    <row r="261" spans="1:32" s="223" customFormat="1" ht="15" customHeight="1">
      <c r="A261" s="158" t="s">
        <v>473</v>
      </c>
      <c r="B261" s="159" t="s">
        <v>670</v>
      </c>
      <c r="C261" s="140">
        <v>159939</v>
      </c>
      <c r="D261" s="211">
        <v>2</v>
      </c>
      <c r="E261" s="178">
        <f t="shared" si="12"/>
        <v>0</v>
      </c>
      <c r="F261" s="195">
        <f t="shared" si="13"/>
        <v>337805</v>
      </c>
      <c r="G261" s="179"/>
      <c r="H261" s="180">
        <f>303021+1005</f>
        <v>304026</v>
      </c>
      <c r="I261" s="179"/>
      <c r="J261" s="180">
        <v>23546</v>
      </c>
      <c r="K261" s="179"/>
      <c r="L261" s="179"/>
      <c r="M261" s="179"/>
      <c r="N261" s="180">
        <v>5067</v>
      </c>
      <c r="O261" s="180">
        <v>2127</v>
      </c>
      <c r="P261" s="180">
        <v>3039</v>
      </c>
      <c r="Q261" s="179"/>
      <c r="R261" s="180">
        <v>0</v>
      </c>
      <c r="S261" s="178">
        <f t="shared" si="14"/>
        <v>0</v>
      </c>
      <c r="T261" s="195">
        <f t="shared" si="15"/>
        <v>64261</v>
      </c>
      <c r="U261" s="179"/>
      <c r="V261" s="180">
        <v>51875</v>
      </c>
      <c r="W261" s="179"/>
      <c r="X261" s="180">
        <v>10199</v>
      </c>
      <c r="Y261" s="179"/>
      <c r="Z261" s="179"/>
      <c r="AA261" s="179"/>
      <c r="AB261" s="180">
        <v>1476</v>
      </c>
      <c r="AC261" s="180">
        <v>690</v>
      </c>
      <c r="AD261" s="180">
        <v>21</v>
      </c>
      <c r="AE261" s="179"/>
      <c r="AF261" s="256">
        <v>0</v>
      </c>
    </row>
    <row r="262" spans="1:32" s="223" customFormat="1" ht="15" customHeight="1">
      <c r="A262" s="158" t="s">
        <v>473</v>
      </c>
      <c r="B262" s="159" t="s">
        <v>671</v>
      </c>
      <c r="C262" s="140">
        <v>159647</v>
      </c>
      <c r="D262" s="211">
        <v>3</v>
      </c>
      <c r="E262" s="178">
        <f t="shared" si="12"/>
        <v>0</v>
      </c>
      <c r="F262" s="195">
        <f t="shared" si="13"/>
        <v>267761</v>
      </c>
      <c r="G262" s="179"/>
      <c r="H262" s="180">
        <v>244568</v>
      </c>
      <c r="I262" s="179"/>
      <c r="J262" s="180">
        <v>19526</v>
      </c>
      <c r="K262" s="179"/>
      <c r="L262" s="179"/>
      <c r="M262" s="179"/>
      <c r="N262" s="180">
        <v>3373</v>
      </c>
      <c r="O262" s="180">
        <v>294</v>
      </c>
      <c r="P262" s="180">
        <v>0</v>
      </c>
      <c r="Q262" s="179"/>
      <c r="R262" s="180">
        <v>0</v>
      </c>
      <c r="S262" s="178">
        <f t="shared" si="14"/>
        <v>0</v>
      </c>
      <c r="T262" s="195">
        <f t="shared" si="15"/>
        <v>33865</v>
      </c>
      <c r="U262" s="179"/>
      <c r="V262" s="180">
        <v>23468</v>
      </c>
      <c r="W262" s="179"/>
      <c r="X262" s="180">
        <v>6972</v>
      </c>
      <c r="Y262" s="179"/>
      <c r="Z262" s="179"/>
      <c r="AA262" s="179"/>
      <c r="AB262" s="180">
        <v>1100</v>
      </c>
      <c r="AC262" s="180">
        <v>2325</v>
      </c>
      <c r="AD262" s="180">
        <v>0</v>
      </c>
      <c r="AE262" s="179"/>
      <c r="AF262" s="256">
        <v>0</v>
      </c>
    </row>
    <row r="263" spans="1:32" s="223" customFormat="1" ht="15" customHeight="1">
      <c r="A263" s="158" t="s">
        <v>473</v>
      </c>
      <c r="B263" s="159" t="s">
        <v>672</v>
      </c>
      <c r="C263" s="140">
        <v>160621</v>
      </c>
      <c r="D263" s="211">
        <v>3</v>
      </c>
      <c r="E263" s="178">
        <f aca="true" t="shared" si="16" ref="E263:E326">SUM(G263,I263,K263,L263,M263,Q263)</f>
        <v>0</v>
      </c>
      <c r="F263" s="195">
        <f aca="true" t="shared" si="17" ref="F263:F326">SUM(H263,J263,N263,O263,P263,R263)</f>
        <v>265672</v>
      </c>
      <c r="G263" s="179"/>
      <c r="H263" s="180">
        <v>265630</v>
      </c>
      <c r="I263" s="179"/>
      <c r="J263" s="180">
        <v>42</v>
      </c>
      <c r="K263" s="179"/>
      <c r="L263" s="179"/>
      <c r="M263" s="179"/>
      <c r="N263" s="180">
        <v>0</v>
      </c>
      <c r="O263" s="180">
        <v>0</v>
      </c>
      <c r="P263" s="180">
        <v>0</v>
      </c>
      <c r="Q263" s="179"/>
      <c r="R263" s="180">
        <v>0</v>
      </c>
      <c r="S263" s="178">
        <f aca="true" t="shared" si="18" ref="S263:S326">SUM(U263,W263,Y263,Z263,AA263,AE263)</f>
        <v>0</v>
      </c>
      <c r="T263" s="195">
        <f aca="true" t="shared" si="19" ref="T263:T326">SUM(V263,X263,AB263,AC263,AD263,AF263)</f>
        <v>19271</v>
      </c>
      <c r="U263" s="179"/>
      <c r="V263" s="180">
        <v>18900</v>
      </c>
      <c r="W263" s="179"/>
      <c r="X263" s="180">
        <v>371</v>
      </c>
      <c r="Y263" s="179"/>
      <c r="Z263" s="179"/>
      <c r="AA263" s="179"/>
      <c r="AB263" s="180">
        <v>0</v>
      </c>
      <c r="AC263" s="180">
        <v>0</v>
      </c>
      <c r="AD263" s="180">
        <v>0</v>
      </c>
      <c r="AE263" s="179"/>
      <c r="AF263" s="256">
        <v>0</v>
      </c>
    </row>
    <row r="264" spans="1:32" s="223" customFormat="1" ht="15" customHeight="1">
      <c r="A264" s="158" t="s">
        <v>473</v>
      </c>
      <c r="B264" s="159" t="s">
        <v>673</v>
      </c>
      <c r="C264" s="140">
        <v>159993</v>
      </c>
      <c r="D264" s="211">
        <v>3</v>
      </c>
      <c r="E264" s="178">
        <f t="shared" si="16"/>
        <v>0</v>
      </c>
      <c r="F264" s="195">
        <f t="shared" si="17"/>
        <v>220551</v>
      </c>
      <c r="G264" s="179"/>
      <c r="H264" s="180">
        <v>215661</v>
      </c>
      <c r="I264" s="179"/>
      <c r="J264" s="180">
        <v>381</v>
      </c>
      <c r="K264" s="179"/>
      <c r="L264" s="179"/>
      <c r="M264" s="179"/>
      <c r="N264" s="180">
        <v>4239</v>
      </c>
      <c r="O264" s="180">
        <v>0</v>
      </c>
      <c r="P264" s="180">
        <v>270</v>
      </c>
      <c r="Q264" s="179"/>
      <c r="R264" s="180">
        <v>0</v>
      </c>
      <c r="S264" s="178">
        <f t="shared" si="18"/>
        <v>0</v>
      </c>
      <c r="T264" s="195">
        <f t="shared" si="19"/>
        <v>23112</v>
      </c>
      <c r="U264" s="179"/>
      <c r="V264" s="180">
        <v>22062</v>
      </c>
      <c r="W264" s="179"/>
      <c r="X264" s="180">
        <v>339</v>
      </c>
      <c r="Y264" s="179"/>
      <c r="Z264" s="179"/>
      <c r="AA264" s="179"/>
      <c r="AB264" s="180">
        <v>651</v>
      </c>
      <c r="AC264" s="180">
        <v>60</v>
      </c>
      <c r="AD264" s="180">
        <v>0</v>
      </c>
      <c r="AE264" s="179"/>
      <c r="AF264" s="256">
        <v>0</v>
      </c>
    </row>
    <row r="265" spans="1:32" s="223" customFormat="1" ht="15" customHeight="1">
      <c r="A265" s="158" t="s">
        <v>473</v>
      </c>
      <c r="B265" s="159" t="s">
        <v>674</v>
      </c>
      <c r="C265" s="140">
        <v>159009</v>
      </c>
      <c r="D265" s="211">
        <v>4</v>
      </c>
      <c r="E265" s="178">
        <f t="shared" si="16"/>
        <v>0</v>
      </c>
      <c r="F265" s="195">
        <f t="shared" si="17"/>
        <v>135288</v>
      </c>
      <c r="G265" s="179"/>
      <c r="H265" s="180">
        <v>135288</v>
      </c>
      <c r="I265" s="179"/>
      <c r="J265" s="180">
        <v>0</v>
      </c>
      <c r="K265" s="179"/>
      <c r="L265" s="179"/>
      <c r="M265" s="179"/>
      <c r="N265" s="180">
        <v>0</v>
      </c>
      <c r="O265" s="180">
        <v>0</v>
      </c>
      <c r="P265" s="180">
        <v>0</v>
      </c>
      <c r="Q265" s="179"/>
      <c r="R265" s="180">
        <v>0</v>
      </c>
      <c r="S265" s="178">
        <f t="shared" si="18"/>
        <v>0</v>
      </c>
      <c r="T265" s="195">
        <f t="shared" si="19"/>
        <v>12550</v>
      </c>
      <c r="U265" s="179"/>
      <c r="V265" s="180">
        <v>12550</v>
      </c>
      <c r="W265" s="179"/>
      <c r="X265" s="180">
        <v>0</v>
      </c>
      <c r="Y265" s="179"/>
      <c r="Z265" s="179"/>
      <c r="AA265" s="179"/>
      <c r="AB265" s="180">
        <v>0</v>
      </c>
      <c r="AC265" s="180">
        <v>0</v>
      </c>
      <c r="AD265" s="180">
        <v>0</v>
      </c>
      <c r="AE265" s="179"/>
      <c r="AF265" s="256">
        <v>0</v>
      </c>
    </row>
    <row r="266" spans="1:32" s="223" customFormat="1" ht="15" customHeight="1">
      <c r="A266" s="158" t="s">
        <v>473</v>
      </c>
      <c r="B266" s="159" t="s">
        <v>675</v>
      </c>
      <c r="C266" s="140">
        <v>159416</v>
      </c>
      <c r="D266" s="211">
        <v>4</v>
      </c>
      <c r="E266" s="178">
        <f t="shared" si="16"/>
        <v>0</v>
      </c>
      <c r="F266" s="195">
        <f t="shared" si="17"/>
        <v>93432</v>
      </c>
      <c r="G266" s="179"/>
      <c r="H266" s="180">
        <v>93339</v>
      </c>
      <c r="I266" s="179"/>
      <c r="J266" s="180">
        <v>93</v>
      </c>
      <c r="K266" s="179"/>
      <c r="L266" s="179"/>
      <c r="M266" s="179"/>
      <c r="N266" s="180">
        <v>0</v>
      </c>
      <c r="O266" s="180">
        <v>0</v>
      </c>
      <c r="P266" s="180">
        <v>0</v>
      </c>
      <c r="Q266" s="179"/>
      <c r="R266" s="180">
        <v>0</v>
      </c>
      <c r="S266" s="178">
        <f t="shared" si="18"/>
        <v>0</v>
      </c>
      <c r="T266" s="195">
        <f t="shared" si="19"/>
        <v>8441</v>
      </c>
      <c r="U266" s="179"/>
      <c r="V266" s="180">
        <v>8405</v>
      </c>
      <c r="W266" s="179"/>
      <c r="X266" s="180">
        <v>36</v>
      </c>
      <c r="Y266" s="179"/>
      <c r="Z266" s="179"/>
      <c r="AA266" s="179"/>
      <c r="AB266" s="180">
        <v>0</v>
      </c>
      <c r="AC266" s="180">
        <v>0</v>
      </c>
      <c r="AD266" s="180">
        <v>0</v>
      </c>
      <c r="AE266" s="179"/>
      <c r="AF266" s="256">
        <v>0</v>
      </c>
    </row>
    <row r="267" spans="1:32" s="223" customFormat="1" ht="15" customHeight="1">
      <c r="A267" s="158" t="s">
        <v>473</v>
      </c>
      <c r="B267" s="159" t="s">
        <v>676</v>
      </c>
      <c r="C267" s="140">
        <v>159717</v>
      </c>
      <c r="D267" s="211">
        <v>4</v>
      </c>
      <c r="E267" s="178">
        <f t="shared" si="16"/>
        <v>0</v>
      </c>
      <c r="F267" s="195">
        <f t="shared" si="17"/>
        <v>219768</v>
      </c>
      <c r="G267" s="179"/>
      <c r="H267" s="180">
        <v>214363</v>
      </c>
      <c r="I267" s="179"/>
      <c r="J267" s="180">
        <v>941</v>
      </c>
      <c r="K267" s="179"/>
      <c r="L267" s="179"/>
      <c r="M267" s="179"/>
      <c r="N267" s="180">
        <v>3903</v>
      </c>
      <c r="O267" s="180">
        <v>0</v>
      </c>
      <c r="P267" s="180">
        <v>561</v>
      </c>
      <c r="Q267" s="179"/>
      <c r="R267" s="180">
        <v>0</v>
      </c>
      <c r="S267" s="178">
        <f t="shared" si="18"/>
        <v>0</v>
      </c>
      <c r="T267" s="195">
        <f t="shared" si="19"/>
        <v>15769</v>
      </c>
      <c r="U267" s="179"/>
      <c r="V267" s="180">
        <v>14983</v>
      </c>
      <c r="W267" s="179"/>
      <c r="X267" s="180">
        <v>6</v>
      </c>
      <c r="Y267" s="179"/>
      <c r="Z267" s="179"/>
      <c r="AA267" s="179"/>
      <c r="AB267" s="180">
        <v>462</v>
      </c>
      <c r="AC267" s="180">
        <v>318</v>
      </c>
      <c r="AD267" s="180">
        <v>0</v>
      </c>
      <c r="AE267" s="179"/>
      <c r="AF267" s="256">
        <v>0</v>
      </c>
    </row>
    <row r="268" spans="1:32" s="223" customFormat="1" ht="15" customHeight="1">
      <c r="A268" s="158" t="s">
        <v>473</v>
      </c>
      <c r="B268" s="159" t="s">
        <v>677</v>
      </c>
      <c r="C268" s="140">
        <v>160038</v>
      </c>
      <c r="D268" s="211">
        <v>4</v>
      </c>
      <c r="E268" s="178">
        <f t="shared" si="16"/>
        <v>0</v>
      </c>
      <c r="F268" s="195">
        <f t="shared" si="17"/>
        <v>259284</v>
      </c>
      <c r="G268" s="179"/>
      <c r="H268" s="180">
        <v>210868</v>
      </c>
      <c r="I268" s="179"/>
      <c r="J268" s="180">
        <v>23805</v>
      </c>
      <c r="K268" s="179"/>
      <c r="L268" s="179"/>
      <c r="M268" s="179"/>
      <c r="N268" s="180">
        <v>18563</v>
      </c>
      <c r="O268" s="180">
        <v>6048</v>
      </c>
      <c r="P268" s="180">
        <v>0</v>
      </c>
      <c r="Q268" s="179"/>
      <c r="R268" s="180">
        <v>0</v>
      </c>
      <c r="S268" s="178">
        <f t="shared" si="18"/>
        <v>0</v>
      </c>
      <c r="T268" s="195">
        <f t="shared" si="19"/>
        <v>18904</v>
      </c>
      <c r="U268" s="179"/>
      <c r="V268" s="180">
        <v>10373</v>
      </c>
      <c r="W268" s="179"/>
      <c r="X268" s="180">
        <v>530</v>
      </c>
      <c r="Y268" s="179"/>
      <c r="Z268" s="179"/>
      <c r="AA268" s="179"/>
      <c r="AB268" s="180">
        <v>7128</v>
      </c>
      <c r="AC268" s="180">
        <v>873</v>
      </c>
      <c r="AD268" s="180">
        <v>0</v>
      </c>
      <c r="AE268" s="179"/>
      <c r="AF268" s="256">
        <v>0</v>
      </c>
    </row>
    <row r="269" spans="1:32" s="223" customFormat="1" ht="15" customHeight="1">
      <c r="A269" s="158" t="s">
        <v>473</v>
      </c>
      <c r="B269" s="159" t="s">
        <v>678</v>
      </c>
      <c r="C269" s="140">
        <v>160612</v>
      </c>
      <c r="D269" s="211">
        <v>4</v>
      </c>
      <c r="E269" s="178">
        <f t="shared" si="16"/>
        <v>0</v>
      </c>
      <c r="F269" s="195">
        <f t="shared" si="17"/>
        <v>372773</v>
      </c>
      <c r="G269" s="179"/>
      <c r="H269" s="180">
        <v>342067</v>
      </c>
      <c r="I269" s="179"/>
      <c r="J269" s="180">
        <v>14364</v>
      </c>
      <c r="K269" s="179"/>
      <c r="L269" s="179"/>
      <c r="M269" s="179"/>
      <c r="N269" s="180">
        <v>14521</v>
      </c>
      <c r="O269" s="180">
        <v>1266</v>
      </c>
      <c r="P269" s="180">
        <v>555</v>
      </c>
      <c r="Q269" s="179"/>
      <c r="R269" s="180">
        <v>0</v>
      </c>
      <c r="S269" s="178">
        <f t="shared" si="18"/>
        <v>0</v>
      </c>
      <c r="T269" s="195">
        <f t="shared" si="19"/>
        <v>27366</v>
      </c>
      <c r="U269" s="179"/>
      <c r="V269" s="180">
        <v>22051</v>
      </c>
      <c r="W269" s="179"/>
      <c r="X269" s="180">
        <v>1640</v>
      </c>
      <c r="Y269" s="179"/>
      <c r="Z269" s="179"/>
      <c r="AA269" s="179"/>
      <c r="AB269" s="180">
        <v>3675</v>
      </c>
      <c r="AC269" s="180">
        <v>0</v>
      </c>
      <c r="AD269" s="180">
        <v>0</v>
      </c>
      <c r="AE269" s="179"/>
      <c r="AF269" s="256">
        <v>0</v>
      </c>
    </row>
    <row r="270" spans="1:32" s="223" customFormat="1" ht="15" customHeight="1">
      <c r="A270" s="158" t="s">
        <v>473</v>
      </c>
      <c r="B270" s="159" t="s">
        <v>679</v>
      </c>
      <c r="C270" s="140">
        <v>159966</v>
      </c>
      <c r="D270" s="211">
        <v>5</v>
      </c>
      <c r="E270" s="178">
        <f t="shared" si="16"/>
        <v>0</v>
      </c>
      <c r="F270" s="195">
        <f t="shared" si="17"/>
        <v>190815</v>
      </c>
      <c r="G270" s="179"/>
      <c r="H270" s="188">
        <f>183184+1630</f>
        <v>184814</v>
      </c>
      <c r="I270" s="179"/>
      <c r="J270" s="180">
        <v>2416</v>
      </c>
      <c r="K270" s="179"/>
      <c r="L270" s="179"/>
      <c r="M270" s="179"/>
      <c r="N270" s="180">
        <v>3321</v>
      </c>
      <c r="O270" s="180">
        <v>117</v>
      </c>
      <c r="P270" s="180">
        <v>147</v>
      </c>
      <c r="Q270" s="179"/>
      <c r="R270" s="180">
        <v>0</v>
      </c>
      <c r="S270" s="178">
        <f t="shared" si="18"/>
        <v>0</v>
      </c>
      <c r="T270" s="195">
        <f t="shared" si="19"/>
        <v>10481</v>
      </c>
      <c r="U270" s="179"/>
      <c r="V270" s="180">
        <v>9546</v>
      </c>
      <c r="W270" s="179"/>
      <c r="X270" s="180">
        <v>449</v>
      </c>
      <c r="Y270" s="179"/>
      <c r="Z270" s="179"/>
      <c r="AA270" s="179"/>
      <c r="AB270" s="180">
        <v>486</v>
      </c>
      <c r="AC270" s="180">
        <v>0</v>
      </c>
      <c r="AD270" s="180">
        <v>0</v>
      </c>
      <c r="AE270" s="179"/>
      <c r="AF270" s="256">
        <v>0</v>
      </c>
    </row>
    <row r="271" spans="1:32" s="223" customFormat="1" ht="15" customHeight="1">
      <c r="A271" s="158" t="s">
        <v>473</v>
      </c>
      <c r="B271" s="159" t="s">
        <v>680</v>
      </c>
      <c r="C271" s="140">
        <v>160630</v>
      </c>
      <c r="D271" s="211">
        <v>5</v>
      </c>
      <c r="E271" s="178">
        <f t="shared" si="16"/>
        <v>0</v>
      </c>
      <c r="F271" s="195">
        <f t="shared" si="17"/>
        <v>78003</v>
      </c>
      <c r="G271" s="179"/>
      <c r="H271" s="180">
        <v>78003</v>
      </c>
      <c r="I271" s="179"/>
      <c r="J271" s="180">
        <v>0</v>
      </c>
      <c r="K271" s="179"/>
      <c r="L271" s="179"/>
      <c r="M271" s="179"/>
      <c r="N271" s="180">
        <v>0</v>
      </c>
      <c r="O271" s="180">
        <v>0</v>
      </c>
      <c r="P271" s="180">
        <v>0</v>
      </c>
      <c r="Q271" s="179"/>
      <c r="R271" s="180">
        <v>0</v>
      </c>
      <c r="S271" s="178">
        <f t="shared" si="18"/>
        <v>0</v>
      </c>
      <c r="T271" s="195">
        <f t="shared" si="19"/>
        <v>11836</v>
      </c>
      <c r="U271" s="179"/>
      <c r="V271" s="180">
        <v>11836</v>
      </c>
      <c r="W271" s="179"/>
      <c r="X271" s="180">
        <v>0</v>
      </c>
      <c r="Y271" s="179"/>
      <c r="Z271" s="179"/>
      <c r="AA271" s="179"/>
      <c r="AB271" s="180">
        <v>0</v>
      </c>
      <c r="AC271" s="180">
        <v>0</v>
      </c>
      <c r="AD271" s="180">
        <v>0</v>
      </c>
      <c r="AE271" s="179"/>
      <c r="AF271" s="256">
        <v>0</v>
      </c>
    </row>
    <row r="272" spans="1:32" s="223" customFormat="1" ht="15" customHeight="1">
      <c r="A272" s="158" t="s">
        <v>473</v>
      </c>
      <c r="B272" s="159" t="s">
        <v>684</v>
      </c>
      <c r="C272" s="140">
        <v>159382</v>
      </c>
      <c r="D272" s="386">
        <v>7</v>
      </c>
      <c r="E272" s="178">
        <f>SUM(G272,I272,K272,L272,M272,Q272)</f>
        <v>0</v>
      </c>
      <c r="F272" s="195">
        <f>SUM(H272,J272,N272,O272,P272,R272)</f>
        <v>65662</v>
      </c>
      <c r="G272" s="179"/>
      <c r="H272" s="180">
        <v>65518</v>
      </c>
      <c r="I272" s="179"/>
      <c r="J272" s="180">
        <v>144</v>
      </c>
      <c r="K272" s="179"/>
      <c r="L272" s="179"/>
      <c r="M272" s="179"/>
      <c r="N272" s="180">
        <v>0</v>
      </c>
      <c r="O272" s="180">
        <v>0</v>
      </c>
      <c r="P272" s="180">
        <v>0</v>
      </c>
      <c r="Q272" s="179"/>
      <c r="R272" s="180">
        <v>0</v>
      </c>
      <c r="S272" s="178">
        <f>SUM(U272,W272,Y272,Z272,AA272,AE272)</f>
        <v>0</v>
      </c>
      <c r="T272" s="195">
        <f>SUM(V272,X272,AB272,AC272,AD272,AF272)</f>
        <v>0</v>
      </c>
      <c r="U272" s="179"/>
      <c r="V272" s="180"/>
      <c r="W272" s="179"/>
      <c r="X272" s="180"/>
      <c r="Y272" s="179"/>
      <c r="Z272" s="179"/>
      <c r="AA272" s="179"/>
      <c r="AB272" s="180"/>
      <c r="AC272" s="180"/>
      <c r="AD272" s="180"/>
      <c r="AE272" s="179"/>
      <c r="AF272" s="256"/>
    </row>
    <row r="273" spans="1:32" s="223" customFormat="1" ht="15" customHeight="1">
      <c r="A273" s="158" t="s">
        <v>473</v>
      </c>
      <c r="B273" s="159" t="s">
        <v>681</v>
      </c>
      <c r="C273" s="140">
        <v>158662</v>
      </c>
      <c r="D273" s="211">
        <v>8</v>
      </c>
      <c r="E273" s="178">
        <f t="shared" si="16"/>
        <v>0</v>
      </c>
      <c r="F273" s="195">
        <f t="shared" si="17"/>
        <v>352156</v>
      </c>
      <c r="G273" s="179"/>
      <c r="H273" s="180">
        <v>306560</v>
      </c>
      <c r="I273" s="179"/>
      <c r="J273" s="180">
        <v>30320</v>
      </c>
      <c r="K273" s="179"/>
      <c r="L273" s="179"/>
      <c r="M273" s="179"/>
      <c r="N273" s="180">
        <v>13740</v>
      </c>
      <c r="O273" s="180">
        <v>621</v>
      </c>
      <c r="P273" s="180">
        <v>915</v>
      </c>
      <c r="Q273" s="179"/>
      <c r="R273" s="180">
        <v>0</v>
      </c>
      <c r="S273" s="178">
        <f t="shared" si="18"/>
        <v>0</v>
      </c>
      <c r="T273" s="195">
        <f t="shared" si="19"/>
        <v>0</v>
      </c>
      <c r="U273" s="179"/>
      <c r="V273" s="180"/>
      <c r="W273" s="179"/>
      <c r="X273" s="180"/>
      <c r="Y273" s="179"/>
      <c r="Z273" s="179"/>
      <c r="AA273" s="179"/>
      <c r="AB273" s="180"/>
      <c r="AC273" s="180"/>
      <c r="AD273" s="180"/>
      <c r="AE273" s="179"/>
      <c r="AF273" s="256"/>
    </row>
    <row r="274" spans="1:32" s="223" customFormat="1" ht="15" customHeight="1">
      <c r="A274" s="158" t="s">
        <v>473</v>
      </c>
      <c r="B274" s="159" t="s">
        <v>682</v>
      </c>
      <c r="C274" s="140">
        <v>437103</v>
      </c>
      <c r="D274" s="211">
        <v>9</v>
      </c>
      <c r="E274" s="178">
        <f t="shared" si="16"/>
        <v>0</v>
      </c>
      <c r="F274" s="195">
        <f t="shared" si="17"/>
        <v>125947</v>
      </c>
      <c r="G274" s="179"/>
      <c r="H274" s="180">
        <v>125947</v>
      </c>
      <c r="I274" s="179"/>
      <c r="J274" s="180">
        <v>0</v>
      </c>
      <c r="K274" s="179"/>
      <c r="L274" s="179"/>
      <c r="M274" s="179"/>
      <c r="N274" s="180">
        <v>0</v>
      </c>
      <c r="O274" s="180">
        <v>0</v>
      </c>
      <c r="P274" s="180">
        <v>0</v>
      </c>
      <c r="Q274" s="179"/>
      <c r="R274" s="180">
        <v>0</v>
      </c>
      <c r="S274" s="178">
        <f t="shared" si="18"/>
        <v>0</v>
      </c>
      <c r="T274" s="195">
        <f t="shared" si="19"/>
        <v>0</v>
      </c>
      <c r="U274" s="179"/>
      <c r="V274" s="180"/>
      <c r="W274" s="179"/>
      <c r="X274" s="180"/>
      <c r="Y274" s="179"/>
      <c r="Z274" s="179"/>
      <c r="AA274" s="179"/>
      <c r="AB274" s="180"/>
      <c r="AC274" s="180"/>
      <c r="AD274" s="180"/>
      <c r="AE274" s="179"/>
      <c r="AF274" s="256"/>
    </row>
    <row r="275" spans="1:32" s="223" customFormat="1" ht="15" customHeight="1">
      <c r="A275" s="158" t="s">
        <v>473</v>
      </c>
      <c r="B275" s="159" t="s">
        <v>683</v>
      </c>
      <c r="C275" s="140">
        <v>158431</v>
      </c>
      <c r="D275" s="211">
        <v>9</v>
      </c>
      <c r="E275" s="178">
        <f t="shared" si="16"/>
        <v>0</v>
      </c>
      <c r="F275" s="195">
        <f t="shared" si="17"/>
        <v>95721</v>
      </c>
      <c r="G275" s="179"/>
      <c r="H275" s="180">
        <v>80388</v>
      </c>
      <c r="I275" s="179"/>
      <c r="J275" s="180">
        <v>3387</v>
      </c>
      <c r="K275" s="179"/>
      <c r="L275" s="179"/>
      <c r="M275" s="179"/>
      <c r="N275" s="180">
        <v>11946</v>
      </c>
      <c r="O275" s="180">
        <v>0</v>
      </c>
      <c r="P275" s="180">
        <v>0</v>
      </c>
      <c r="Q275" s="179"/>
      <c r="R275" s="180">
        <v>0</v>
      </c>
      <c r="S275" s="178">
        <f t="shared" si="18"/>
        <v>0</v>
      </c>
      <c r="T275" s="195">
        <f t="shared" si="19"/>
        <v>0</v>
      </c>
      <c r="U275" s="179"/>
      <c r="V275" s="180"/>
      <c r="W275" s="179"/>
      <c r="X275" s="180"/>
      <c r="Y275" s="179"/>
      <c r="Z275" s="179"/>
      <c r="AA275" s="179"/>
      <c r="AB275" s="180"/>
      <c r="AC275" s="180"/>
      <c r="AD275" s="180"/>
      <c r="AE275" s="179"/>
      <c r="AF275" s="256"/>
    </row>
    <row r="276" spans="1:32" s="223" customFormat="1" ht="15" customHeight="1">
      <c r="A276" s="158" t="s">
        <v>473</v>
      </c>
      <c r="B276" s="159" t="s">
        <v>685</v>
      </c>
      <c r="C276" s="140">
        <v>159407</v>
      </c>
      <c r="D276" s="211">
        <v>9</v>
      </c>
      <c r="E276" s="178">
        <f t="shared" si="16"/>
        <v>0</v>
      </c>
      <c r="F276" s="195">
        <f t="shared" si="17"/>
        <v>69620</v>
      </c>
      <c r="G276" s="179"/>
      <c r="H276" s="180">
        <v>65987</v>
      </c>
      <c r="I276" s="179"/>
      <c r="J276" s="180">
        <v>1836</v>
      </c>
      <c r="K276" s="179"/>
      <c r="L276" s="179"/>
      <c r="M276" s="179"/>
      <c r="N276" s="180">
        <v>1728</v>
      </c>
      <c r="O276" s="180">
        <v>0</v>
      </c>
      <c r="P276" s="180">
        <v>69</v>
      </c>
      <c r="Q276" s="179"/>
      <c r="R276" s="180">
        <v>0</v>
      </c>
      <c r="S276" s="178">
        <f t="shared" si="18"/>
        <v>0</v>
      </c>
      <c r="T276" s="195">
        <f t="shared" si="19"/>
        <v>0</v>
      </c>
      <c r="U276" s="179"/>
      <c r="V276" s="180"/>
      <c r="W276" s="179"/>
      <c r="X276" s="180"/>
      <c r="Y276" s="179"/>
      <c r="Z276" s="179"/>
      <c r="AA276" s="179"/>
      <c r="AB276" s="180"/>
      <c r="AC276" s="180"/>
      <c r="AD276" s="180"/>
      <c r="AE276" s="179"/>
      <c r="AF276" s="256"/>
    </row>
    <row r="277" spans="1:32" s="223" customFormat="1" ht="15" customHeight="1">
      <c r="A277" s="158" t="s">
        <v>473</v>
      </c>
      <c r="B277" s="159" t="s">
        <v>686</v>
      </c>
      <c r="C277" s="140">
        <v>440624</v>
      </c>
      <c r="D277" s="211">
        <v>10</v>
      </c>
      <c r="E277" s="178">
        <f t="shared" si="16"/>
        <v>0</v>
      </c>
      <c r="F277" s="195">
        <f t="shared" si="17"/>
        <v>21393</v>
      </c>
      <c r="G277" s="179"/>
      <c r="H277" s="180">
        <v>20218</v>
      </c>
      <c r="I277" s="179"/>
      <c r="J277" s="180">
        <v>1175</v>
      </c>
      <c r="K277" s="179"/>
      <c r="L277" s="179"/>
      <c r="M277" s="179"/>
      <c r="N277" s="180">
        <v>0</v>
      </c>
      <c r="O277" s="180">
        <v>0</v>
      </c>
      <c r="P277" s="180">
        <v>0</v>
      </c>
      <c r="Q277" s="179"/>
      <c r="R277" s="180">
        <v>0</v>
      </c>
      <c r="S277" s="178">
        <f t="shared" si="18"/>
        <v>0</v>
      </c>
      <c r="T277" s="195">
        <f t="shared" si="19"/>
        <v>0</v>
      </c>
      <c r="U277" s="179"/>
      <c r="V277" s="180"/>
      <c r="W277" s="179"/>
      <c r="X277" s="180"/>
      <c r="Y277" s="179"/>
      <c r="Z277" s="179"/>
      <c r="AA277" s="179"/>
      <c r="AB277" s="180"/>
      <c r="AC277" s="180"/>
      <c r="AD277" s="180"/>
      <c r="AE277" s="179"/>
      <c r="AF277" s="256"/>
    </row>
    <row r="278" spans="1:32" s="223" customFormat="1" ht="15" customHeight="1">
      <c r="A278" s="158" t="s">
        <v>473</v>
      </c>
      <c r="B278" s="159" t="s">
        <v>687</v>
      </c>
      <c r="C278" s="140">
        <v>158884</v>
      </c>
      <c r="D278" s="211">
        <v>10</v>
      </c>
      <c r="E278" s="178">
        <f t="shared" si="16"/>
        <v>0</v>
      </c>
      <c r="F278" s="195">
        <f t="shared" si="17"/>
        <v>49549</v>
      </c>
      <c r="G278" s="179"/>
      <c r="H278" s="180">
        <v>48173</v>
      </c>
      <c r="I278" s="179"/>
      <c r="J278" s="180">
        <v>1376</v>
      </c>
      <c r="K278" s="179"/>
      <c r="L278" s="179"/>
      <c r="M278" s="179"/>
      <c r="N278" s="180">
        <v>0</v>
      </c>
      <c r="O278" s="180">
        <v>0</v>
      </c>
      <c r="P278" s="180">
        <v>0</v>
      </c>
      <c r="Q278" s="179"/>
      <c r="R278" s="180">
        <v>0</v>
      </c>
      <c r="S278" s="178">
        <f t="shared" si="18"/>
        <v>0</v>
      </c>
      <c r="T278" s="195">
        <f t="shared" si="19"/>
        <v>0</v>
      </c>
      <c r="U278" s="179"/>
      <c r="V278" s="180"/>
      <c r="W278" s="179"/>
      <c r="X278" s="180"/>
      <c r="Y278" s="179"/>
      <c r="Z278" s="179"/>
      <c r="AA278" s="179"/>
      <c r="AB278" s="180"/>
      <c r="AC278" s="180"/>
      <c r="AD278" s="180"/>
      <c r="AE278" s="179"/>
      <c r="AF278" s="256"/>
    </row>
    <row r="279" spans="1:32" s="223" customFormat="1" ht="15" customHeight="1">
      <c r="A279" s="158" t="s">
        <v>473</v>
      </c>
      <c r="B279" s="159" t="s">
        <v>688</v>
      </c>
      <c r="C279" s="140">
        <v>436304</v>
      </c>
      <c r="D279" s="211">
        <v>10</v>
      </c>
      <c r="E279" s="178">
        <f t="shared" si="16"/>
        <v>0</v>
      </c>
      <c r="F279" s="195">
        <f t="shared" si="17"/>
        <v>17142</v>
      </c>
      <c r="G279" s="179"/>
      <c r="H279" s="180">
        <v>14386</v>
      </c>
      <c r="I279" s="179"/>
      <c r="J279" s="180">
        <v>2756</v>
      </c>
      <c r="K279" s="179"/>
      <c r="L279" s="179"/>
      <c r="M279" s="179"/>
      <c r="N279" s="180">
        <v>0</v>
      </c>
      <c r="O279" s="180">
        <v>0</v>
      </c>
      <c r="P279" s="180">
        <v>0</v>
      </c>
      <c r="Q279" s="179"/>
      <c r="R279" s="180">
        <v>0</v>
      </c>
      <c r="S279" s="178">
        <f t="shared" si="18"/>
        <v>0</v>
      </c>
      <c r="T279" s="195">
        <f t="shared" si="19"/>
        <v>0</v>
      </c>
      <c r="U279" s="179"/>
      <c r="V279" s="180"/>
      <c r="W279" s="179"/>
      <c r="X279" s="180"/>
      <c r="Y279" s="179"/>
      <c r="Z279" s="179"/>
      <c r="AA279" s="179"/>
      <c r="AB279" s="180"/>
      <c r="AC279" s="180"/>
      <c r="AD279" s="180"/>
      <c r="AE279" s="179"/>
      <c r="AF279" s="256"/>
    </row>
    <row r="280" spans="1:32" s="223" customFormat="1" ht="15" customHeight="1">
      <c r="A280" s="158" t="s">
        <v>473</v>
      </c>
      <c r="B280" s="159" t="s">
        <v>689</v>
      </c>
      <c r="C280" s="140">
        <v>434061</v>
      </c>
      <c r="D280" s="211">
        <v>10</v>
      </c>
      <c r="E280" s="178">
        <f t="shared" si="16"/>
        <v>0</v>
      </c>
      <c r="F280" s="195">
        <f t="shared" si="17"/>
        <v>33201</v>
      </c>
      <c r="G280" s="179"/>
      <c r="H280" s="180">
        <v>26132</v>
      </c>
      <c r="I280" s="179"/>
      <c r="J280" s="180">
        <v>7069</v>
      </c>
      <c r="K280" s="179"/>
      <c r="L280" s="179"/>
      <c r="M280" s="179"/>
      <c r="N280" s="180">
        <v>0</v>
      </c>
      <c r="O280" s="180">
        <v>0</v>
      </c>
      <c r="P280" s="180">
        <v>0</v>
      </c>
      <c r="Q280" s="179"/>
      <c r="R280" s="180">
        <v>0</v>
      </c>
      <c r="S280" s="178">
        <f t="shared" si="18"/>
        <v>0</v>
      </c>
      <c r="T280" s="195">
        <f t="shared" si="19"/>
        <v>0</v>
      </c>
      <c r="U280" s="179"/>
      <c r="V280" s="180"/>
      <c r="W280" s="179"/>
      <c r="X280" s="180"/>
      <c r="Y280" s="179"/>
      <c r="Z280" s="179"/>
      <c r="AA280" s="179"/>
      <c r="AB280" s="180"/>
      <c r="AC280" s="180"/>
      <c r="AD280" s="180"/>
      <c r="AE280" s="179"/>
      <c r="AF280" s="256"/>
    </row>
    <row r="281" spans="1:32" s="223" customFormat="1" ht="15" customHeight="1">
      <c r="A281" s="158" t="s">
        <v>473</v>
      </c>
      <c r="B281" s="159" t="s">
        <v>690</v>
      </c>
      <c r="C281" s="140">
        <v>160649</v>
      </c>
      <c r="D281" s="211">
        <v>10</v>
      </c>
      <c r="E281" s="178">
        <f t="shared" si="16"/>
        <v>0</v>
      </c>
      <c r="F281" s="195">
        <f t="shared" si="17"/>
        <v>64485</v>
      </c>
      <c r="G281" s="179"/>
      <c r="H281" s="180">
        <v>63075</v>
      </c>
      <c r="I281" s="179"/>
      <c r="J281" s="180">
        <v>1410</v>
      </c>
      <c r="K281" s="179"/>
      <c r="L281" s="179"/>
      <c r="M281" s="179"/>
      <c r="N281" s="180">
        <v>0</v>
      </c>
      <c r="O281" s="180">
        <v>0</v>
      </c>
      <c r="P281" s="180">
        <v>0</v>
      </c>
      <c r="Q281" s="179"/>
      <c r="R281" s="180">
        <v>0</v>
      </c>
      <c r="S281" s="178">
        <f t="shared" si="18"/>
        <v>0</v>
      </c>
      <c r="T281" s="195">
        <f t="shared" si="19"/>
        <v>0</v>
      </c>
      <c r="U281" s="179"/>
      <c r="V281" s="180"/>
      <c r="W281" s="179"/>
      <c r="X281" s="180"/>
      <c r="Y281" s="179"/>
      <c r="Z281" s="179"/>
      <c r="AA281" s="179"/>
      <c r="AB281" s="180"/>
      <c r="AC281" s="180"/>
      <c r="AD281" s="180"/>
      <c r="AE281" s="179"/>
      <c r="AF281" s="256"/>
    </row>
    <row r="282" spans="1:32" s="223" customFormat="1" ht="15" customHeight="1">
      <c r="A282" s="158" t="s">
        <v>473</v>
      </c>
      <c r="B282" s="159" t="s">
        <v>691</v>
      </c>
      <c r="C282" s="140">
        <v>160579</v>
      </c>
      <c r="D282" s="211">
        <v>12</v>
      </c>
      <c r="E282" s="178">
        <f t="shared" si="16"/>
        <v>0</v>
      </c>
      <c r="F282" s="195">
        <f t="shared" si="17"/>
        <v>40749</v>
      </c>
      <c r="G282" s="179"/>
      <c r="H282" s="188">
        <f>40115+412</f>
        <v>40527</v>
      </c>
      <c r="I282" s="179"/>
      <c r="J282" s="180">
        <v>222</v>
      </c>
      <c r="K282" s="179"/>
      <c r="L282" s="179"/>
      <c r="M282" s="179"/>
      <c r="N282" s="180">
        <v>0</v>
      </c>
      <c r="O282" s="180">
        <v>0</v>
      </c>
      <c r="P282" s="180">
        <v>0</v>
      </c>
      <c r="Q282" s="179"/>
      <c r="R282" s="180">
        <v>0</v>
      </c>
      <c r="S282" s="178">
        <f t="shared" si="18"/>
        <v>0</v>
      </c>
      <c r="T282" s="195">
        <f t="shared" si="19"/>
        <v>0</v>
      </c>
      <c r="U282" s="179"/>
      <c r="V282" s="180"/>
      <c r="W282" s="179"/>
      <c r="X282" s="180"/>
      <c r="Y282" s="179"/>
      <c r="Z282" s="179"/>
      <c r="AA282" s="179"/>
      <c r="AB282" s="180"/>
      <c r="AC282" s="180"/>
      <c r="AD282" s="180"/>
      <c r="AE282" s="179"/>
      <c r="AF282" s="256"/>
    </row>
    <row r="283" spans="1:32" s="223" customFormat="1" ht="15" customHeight="1">
      <c r="A283" s="158" t="s">
        <v>473</v>
      </c>
      <c r="B283" s="159" t="s">
        <v>692</v>
      </c>
      <c r="C283" s="140">
        <v>160481</v>
      </c>
      <c r="D283" s="211">
        <v>13</v>
      </c>
      <c r="E283" s="178">
        <f t="shared" si="16"/>
        <v>0</v>
      </c>
      <c r="F283" s="195">
        <f t="shared" si="17"/>
        <v>17432</v>
      </c>
      <c r="G283" s="179"/>
      <c r="H283" s="180">
        <v>17432</v>
      </c>
      <c r="I283" s="179"/>
      <c r="J283" s="180">
        <v>0</v>
      </c>
      <c r="K283" s="179"/>
      <c r="L283" s="179"/>
      <c r="M283" s="179"/>
      <c r="N283" s="180">
        <v>0</v>
      </c>
      <c r="O283" s="180">
        <v>0</v>
      </c>
      <c r="P283" s="180">
        <v>0</v>
      </c>
      <c r="Q283" s="179"/>
      <c r="R283" s="180">
        <v>0</v>
      </c>
      <c r="S283" s="178">
        <f t="shared" si="18"/>
        <v>0</v>
      </c>
      <c r="T283" s="195">
        <f t="shared" si="19"/>
        <v>0</v>
      </c>
      <c r="U283" s="179"/>
      <c r="V283" s="180"/>
      <c r="W283" s="179"/>
      <c r="X283" s="180"/>
      <c r="Y283" s="179"/>
      <c r="Z283" s="179"/>
      <c r="AA283" s="179"/>
      <c r="AB283" s="180"/>
      <c r="AC283" s="180"/>
      <c r="AD283" s="180"/>
      <c r="AE283" s="179"/>
      <c r="AF283" s="256"/>
    </row>
    <row r="284" spans="1:32" s="223" customFormat="1" ht="15" customHeight="1">
      <c r="A284" s="158" t="s">
        <v>473</v>
      </c>
      <c r="B284" s="159" t="s">
        <v>694</v>
      </c>
      <c r="C284" s="140">
        <v>160560</v>
      </c>
      <c r="D284" s="211">
        <v>14</v>
      </c>
      <c r="E284" s="178">
        <f t="shared" si="16"/>
        <v>0</v>
      </c>
      <c r="F284" s="195">
        <f t="shared" si="17"/>
        <v>0</v>
      </c>
      <c r="G284" s="179"/>
      <c r="H284" s="180"/>
      <c r="I284" s="179"/>
      <c r="J284" s="180"/>
      <c r="K284" s="179"/>
      <c r="L284" s="179"/>
      <c r="M284" s="179"/>
      <c r="N284" s="180"/>
      <c r="O284" s="180"/>
      <c r="P284" s="180"/>
      <c r="Q284" s="179"/>
      <c r="R284" s="180"/>
      <c r="S284" s="178">
        <f t="shared" si="18"/>
        <v>0</v>
      </c>
      <c r="T284" s="195">
        <f t="shared" si="19"/>
        <v>0</v>
      </c>
      <c r="U284" s="179"/>
      <c r="V284" s="180"/>
      <c r="W284" s="179"/>
      <c r="X284" s="180"/>
      <c r="Y284" s="179"/>
      <c r="Z284" s="179"/>
      <c r="AA284" s="179"/>
      <c r="AB284" s="180"/>
      <c r="AC284" s="180"/>
      <c r="AD284" s="180"/>
      <c r="AE284" s="179"/>
      <c r="AF284" s="256"/>
    </row>
    <row r="285" spans="1:32" s="223" customFormat="1" ht="15" customHeight="1">
      <c r="A285" s="158" t="s">
        <v>473</v>
      </c>
      <c r="B285" s="159" t="s">
        <v>695</v>
      </c>
      <c r="C285" s="140">
        <v>158088</v>
      </c>
      <c r="D285" s="211">
        <v>14</v>
      </c>
      <c r="E285" s="178">
        <f t="shared" si="16"/>
        <v>0</v>
      </c>
      <c r="F285" s="195">
        <f t="shared" si="17"/>
        <v>0</v>
      </c>
      <c r="G285" s="179"/>
      <c r="H285" s="180"/>
      <c r="I285" s="179"/>
      <c r="J285" s="180"/>
      <c r="K285" s="179"/>
      <c r="L285" s="179"/>
      <c r="M285" s="179"/>
      <c r="N285" s="180"/>
      <c r="O285" s="180"/>
      <c r="P285" s="180"/>
      <c r="Q285" s="179"/>
      <c r="R285" s="180"/>
      <c r="S285" s="178">
        <f t="shared" si="18"/>
        <v>0</v>
      </c>
      <c r="T285" s="195">
        <f t="shared" si="19"/>
        <v>0</v>
      </c>
      <c r="U285" s="179"/>
      <c r="V285" s="180"/>
      <c r="W285" s="179"/>
      <c r="X285" s="180"/>
      <c r="Y285" s="179"/>
      <c r="Z285" s="179"/>
      <c r="AA285" s="179"/>
      <c r="AB285" s="180"/>
      <c r="AC285" s="180"/>
      <c r="AD285" s="180"/>
      <c r="AE285" s="179"/>
      <c r="AF285" s="256"/>
    </row>
    <row r="286" spans="1:32" s="223" customFormat="1" ht="15" customHeight="1">
      <c r="A286" s="158" t="s">
        <v>473</v>
      </c>
      <c r="B286" s="159" t="s">
        <v>693</v>
      </c>
      <c r="C286" s="140"/>
      <c r="D286" s="211">
        <v>14</v>
      </c>
      <c r="E286" s="178">
        <f t="shared" si="16"/>
        <v>0</v>
      </c>
      <c r="F286" s="195">
        <f t="shared" si="17"/>
        <v>409951</v>
      </c>
      <c r="G286" s="179"/>
      <c r="H286" s="180">
        <v>405719</v>
      </c>
      <c r="I286" s="179"/>
      <c r="J286" s="180">
        <v>4232</v>
      </c>
      <c r="K286" s="179"/>
      <c r="L286" s="179"/>
      <c r="M286" s="179"/>
      <c r="N286" s="180">
        <v>0</v>
      </c>
      <c r="O286" s="180">
        <v>0</v>
      </c>
      <c r="P286" s="180">
        <v>0</v>
      </c>
      <c r="Q286" s="179"/>
      <c r="R286" s="180">
        <v>0</v>
      </c>
      <c r="S286" s="178">
        <f t="shared" si="18"/>
        <v>0</v>
      </c>
      <c r="T286" s="195">
        <f t="shared" si="19"/>
        <v>0</v>
      </c>
      <c r="U286" s="179"/>
      <c r="V286" s="180"/>
      <c r="W286" s="179"/>
      <c r="X286" s="180"/>
      <c r="Y286" s="179"/>
      <c r="Z286" s="179"/>
      <c r="AA286" s="179"/>
      <c r="AB286" s="180"/>
      <c r="AC286" s="180"/>
      <c r="AD286" s="180"/>
      <c r="AE286" s="179"/>
      <c r="AF286" s="256"/>
    </row>
    <row r="287" spans="1:32" s="223" customFormat="1" ht="15" customHeight="1">
      <c r="A287" s="158" t="s">
        <v>473</v>
      </c>
      <c r="B287" s="159" t="s">
        <v>696</v>
      </c>
      <c r="C287" s="140">
        <v>158219</v>
      </c>
      <c r="D287" s="211">
        <v>14</v>
      </c>
      <c r="E287" s="178">
        <f t="shared" si="16"/>
        <v>0</v>
      </c>
      <c r="F287" s="195">
        <f t="shared" si="17"/>
        <v>0</v>
      </c>
      <c r="G287" s="179"/>
      <c r="H287" s="180"/>
      <c r="I287" s="179"/>
      <c r="J287" s="180"/>
      <c r="K287" s="179"/>
      <c r="L287" s="179"/>
      <c r="M287" s="179"/>
      <c r="N287" s="180"/>
      <c r="O287" s="180"/>
      <c r="P287" s="180"/>
      <c r="Q287" s="179"/>
      <c r="R287" s="180"/>
      <c r="S287" s="178">
        <f t="shared" si="18"/>
        <v>0</v>
      </c>
      <c r="T287" s="195">
        <f t="shared" si="19"/>
        <v>0</v>
      </c>
      <c r="U287" s="179"/>
      <c r="V287" s="180"/>
      <c r="W287" s="179"/>
      <c r="X287" s="180"/>
      <c r="Y287" s="179"/>
      <c r="Z287" s="179"/>
      <c r="AA287" s="179"/>
      <c r="AB287" s="180"/>
      <c r="AC287" s="180"/>
      <c r="AD287" s="180"/>
      <c r="AE287" s="179"/>
      <c r="AF287" s="256"/>
    </row>
    <row r="288" spans="1:32" s="223" customFormat="1" ht="15" customHeight="1">
      <c r="A288" s="158" t="s">
        <v>473</v>
      </c>
      <c r="B288" s="159" t="s">
        <v>697</v>
      </c>
      <c r="C288" s="140">
        <v>158237</v>
      </c>
      <c r="D288" s="211">
        <v>14</v>
      </c>
      <c r="E288" s="178">
        <f t="shared" si="16"/>
        <v>0</v>
      </c>
      <c r="F288" s="195">
        <f t="shared" si="17"/>
        <v>0</v>
      </c>
      <c r="G288" s="179"/>
      <c r="H288" s="180"/>
      <c r="I288" s="179"/>
      <c r="J288" s="180"/>
      <c r="K288" s="179"/>
      <c r="L288" s="179"/>
      <c r="M288" s="179"/>
      <c r="N288" s="180"/>
      <c r="O288" s="180"/>
      <c r="P288" s="180"/>
      <c r="Q288" s="179"/>
      <c r="R288" s="180"/>
      <c r="S288" s="178">
        <f t="shared" si="18"/>
        <v>0</v>
      </c>
      <c r="T288" s="195">
        <f t="shared" si="19"/>
        <v>0</v>
      </c>
      <c r="U288" s="179"/>
      <c r="V288" s="180"/>
      <c r="W288" s="179"/>
      <c r="X288" s="180"/>
      <c r="Y288" s="179"/>
      <c r="Z288" s="179"/>
      <c r="AA288" s="179"/>
      <c r="AB288" s="180"/>
      <c r="AC288" s="180"/>
      <c r="AD288" s="180"/>
      <c r="AE288" s="179"/>
      <c r="AF288" s="256"/>
    </row>
    <row r="289" spans="1:32" s="223" customFormat="1" ht="15" customHeight="1">
      <c r="A289" s="158" t="s">
        <v>473</v>
      </c>
      <c r="B289" s="159" t="s">
        <v>698</v>
      </c>
      <c r="C289" s="140">
        <v>158307</v>
      </c>
      <c r="D289" s="211">
        <v>14</v>
      </c>
      <c r="E289" s="178">
        <f t="shared" si="16"/>
        <v>0</v>
      </c>
      <c r="F289" s="195">
        <f t="shared" si="17"/>
        <v>0</v>
      </c>
      <c r="G289" s="179"/>
      <c r="H289" s="180"/>
      <c r="I289" s="179"/>
      <c r="J289" s="180"/>
      <c r="K289" s="179"/>
      <c r="L289" s="179"/>
      <c r="M289" s="179"/>
      <c r="N289" s="180"/>
      <c r="O289" s="180"/>
      <c r="P289" s="180"/>
      <c r="Q289" s="179"/>
      <c r="R289" s="180"/>
      <c r="S289" s="178">
        <f t="shared" si="18"/>
        <v>0</v>
      </c>
      <c r="T289" s="195">
        <f t="shared" si="19"/>
        <v>0</v>
      </c>
      <c r="U289" s="179"/>
      <c r="V289" s="180"/>
      <c r="W289" s="179"/>
      <c r="X289" s="180"/>
      <c r="Y289" s="179"/>
      <c r="Z289" s="179"/>
      <c r="AA289" s="179"/>
      <c r="AB289" s="180"/>
      <c r="AC289" s="180"/>
      <c r="AD289" s="180"/>
      <c r="AE289" s="179"/>
      <c r="AF289" s="256"/>
    </row>
    <row r="290" spans="1:32" s="223" customFormat="1" ht="15" customHeight="1">
      <c r="A290" s="158" t="s">
        <v>473</v>
      </c>
      <c r="B290" s="159" t="s">
        <v>699</v>
      </c>
      <c r="C290" s="140">
        <v>158352</v>
      </c>
      <c r="D290" s="211">
        <v>14</v>
      </c>
      <c r="E290" s="178">
        <f t="shared" si="16"/>
        <v>0</v>
      </c>
      <c r="F290" s="195">
        <f t="shared" si="17"/>
        <v>0</v>
      </c>
      <c r="G290" s="179"/>
      <c r="H290" s="180"/>
      <c r="I290" s="179"/>
      <c r="J290" s="180"/>
      <c r="K290" s="179"/>
      <c r="L290" s="179"/>
      <c r="M290" s="179"/>
      <c r="N290" s="180"/>
      <c r="O290" s="180"/>
      <c r="P290" s="180"/>
      <c r="Q290" s="179"/>
      <c r="R290" s="180"/>
      <c r="S290" s="178">
        <f t="shared" si="18"/>
        <v>0</v>
      </c>
      <c r="T290" s="195">
        <f t="shared" si="19"/>
        <v>0</v>
      </c>
      <c r="U290" s="179"/>
      <c r="V290" s="180"/>
      <c r="W290" s="179"/>
      <c r="X290" s="180"/>
      <c r="Y290" s="179"/>
      <c r="Z290" s="179"/>
      <c r="AA290" s="179"/>
      <c r="AB290" s="180"/>
      <c r="AC290" s="180"/>
      <c r="AD290" s="180"/>
      <c r="AE290" s="179"/>
      <c r="AF290" s="256"/>
    </row>
    <row r="291" spans="1:32" s="223" customFormat="1" ht="15" customHeight="1">
      <c r="A291" s="158" t="s">
        <v>473</v>
      </c>
      <c r="B291" s="159" t="s">
        <v>700</v>
      </c>
      <c r="C291" s="140">
        <v>160816</v>
      </c>
      <c r="D291" s="211">
        <v>14</v>
      </c>
      <c r="E291" s="178">
        <f t="shared" si="16"/>
        <v>0</v>
      </c>
      <c r="F291" s="195">
        <f t="shared" si="17"/>
        <v>0</v>
      </c>
      <c r="G291" s="179"/>
      <c r="H291" s="180"/>
      <c r="I291" s="179"/>
      <c r="J291" s="180"/>
      <c r="K291" s="179"/>
      <c r="L291" s="179"/>
      <c r="M291" s="179"/>
      <c r="N291" s="180"/>
      <c r="O291" s="180"/>
      <c r="P291" s="180"/>
      <c r="Q291" s="179"/>
      <c r="R291" s="180"/>
      <c r="S291" s="178">
        <f t="shared" si="18"/>
        <v>0</v>
      </c>
      <c r="T291" s="195">
        <f t="shared" si="19"/>
        <v>0</v>
      </c>
      <c r="U291" s="179"/>
      <c r="V291" s="180"/>
      <c r="W291" s="179"/>
      <c r="X291" s="180"/>
      <c r="Y291" s="179"/>
      <c r="Z291" s="179"/>
      <c r="AA291" s="179"/>
      <c r="AB291" s="180"/>
      <c r="AC291" s="180"/>
      <c r="AD291" s="180"/>
      <c r="AE291" s="179"/>
      <c r="AF291" s="256"/>
    </row>
    <row r="292" spans="1:32" s="223" customFormat="1" ht="15" customHeight="1">
      <c r="A292" s="158" t="s">
        <v>473</v>
      </c>
      <c r="B292" s="159" t="s">
        <v>701</v>
      </c>
      <c r="C292" s="140">
        <v>158769</v>
      </c>
      <c r="D292" s="211">
        <v>14</v>
      </c>
      <c r="E292" s="178">
        <f t="shared" si="16"/>
        <v>0</v>
      </c>
      <c r="F292" s="195">
        <f t="shared" si="17"/>
        <v>0</v>
      </c>
      <c r="G292" s="179"/>
      <c r="H292" s="180"/>
      <c r="I292" s="179"/>
      <c r="J292" s="180"/>
      <c r="K292" s="179"/>
      <c r="L292" s="179"/>
      <c r="M292" s="179"/>
      <c r="N292" s="180"/>
      <c r="O292" s="180"/>
      <c r="P292" s="180"/>
      <c r="Q292" s="179"/>
      <c r="R292" s="180"/>
      <c r="S292" s="178">
        <f t="shared" si="18"/>
        <v>0</v>
      </c>
      <c r="T292" s="195">
        <f t="shared" si="19"/>
        <v>0</v>
      </c>
      <c r="U292" s="179"/>
      <c r="V292" s="180"/>
      <c r="W292" s="179"/>
      <c r="X292" s="180"/>
      <c r="Y292" s="179"/>
      <c r="Z292" s="179"/>
      <c r="AA292" s="179"/>
      <c r="AB292" s="180"/>
      <c r="AC292" s="180"/>
      <c r="AD292" s="180"/>
      <c r="AE292" s="179"/>
      <c r="AF292" s="256"/>
    </row>
    <row r="293" spans="1:32" s="223" customFormat="1" ht="15" customHeight="1">
      <c r="A293" s="158" t="s">
        <v>473</v>
      </c>
      <c r="B293" s="159" t="s">
        <v>702</v>
      </c>
      <c r="C293" s="140">
        <v>158893</v>
      </c>
      <c r="D293" s="211">
        <v>14</v>
      </c>
      <c r="E293" s="178">
        <f t="shared" si="16"/>
        <v>0</v>
      </c>
      <c r="F293" s="195">
        <f t="shared" si="17"/>
        <v>0</v>
      </c>
      <c r="G293" s="179"/>
      <c r="H293" s="180"/>
      <c r="I293" s="179"/>
      <c r="J293" s="180"/>
      <c r="K293" s="179"/>
      <c r="L293" s="179"/>
      <c r="M293" s="179"/>
      <c r="N293" s="180"/>
      <c r="O293" s="180"/>
      <c r="P293" s="180"/>
      <c r="Q293" s="179"/>
      <c r="R293" s="180"/>
      <c r="S293" s="178">
        <f t="shared" si="18"/>
        <v>0</v>
      </c>
      <c r="T293" s="195">
        <f t="shared" si="19"/>
        <v>0</v>
      </c>
      <c r="U293" s="179"/>
      <c r="V293" s="180"/>
      <c r="W293" s="179"/>
      <c r="X293" s="180"/>
      <c r="Y293" s="179"/>
      <c r="Z293" s="179"/>
      <c r="AA293" s="179"/>
      <c r="AB293" s="180"/>
      <c r="AC293" s="180"/>
      <c r="AD293" s="180"/>
      <c r="AE293" s="179"/>
      <c r="AF293" s="256"/>
    </row>
    <row r="294" spans="1:32" s="223" customFormat="1" ht="15" customHeight="1">
      <c r="A294" s="158" t="s">
        <v>473</v>
      </c>
      <c r="B294" s="159" t="s">
        <v>703</v>
      </c>
      <c r="C294" s="140">
        <v>158936</v>
      </c>
      <c r="D294" s="211">
        <v>14</v>
      </c>
      <c r="E294" s="178">
        <f t="shared" si="16"/>
        <v>0</v>
      </c>
      <c r="F294" s="195">
        <f t="shared" si="17"/>
        <v>0</v>
      </c>
      <c r="G294" s="179"/>
      <c r="H294" s="180"/>
      <c r="I294" s="179"/>
      <c r="J294" s="180"/>
      <c r="K294" s="179"/>
      <c r="L294" s="179"/>
      <c r="M294" s="179"/>
      <c r="N294" s="180"/>
      <c r="O294" s="180"/>
      <c r="P294" s="180"/>
      <c r="Q294" s="179"/>
      <c r="R294" s="180"/>
      <c r="S294" s="178">
        <f t="shared" si="18"/>
        <v>0</v>
      </c>
      <c r="T294" s="195">
        <f t="shared" si="19"/>
        <v>0</v>
      </c>
      <c r="U294" s="179"/>
      <c r="V294" s="180"/>
      <c r="W294" s="179"/>
      <c r="X294" s="180"/>
      <c r="Y294" s="179"/>
      <c r="Z294" s="179"/>
      <c r="AA294" s="179"/>
      <c r="AB294" s="180"/>
      <c r="AC294" s="180"/>
      <c r="AD294" s="180"/>
      <c r="AE294" s="179"/>
      <c r="AF294" s="256"/>
    </row>
    <row r="295" spans="1:32" s="223" customFormat="1" ht="15" customHeight="1">
      <c r="A295" s="158" t="s">
        <v>473</v>
      </c>
      <c r="B295" s="159" t="s">
        <v>704</v>
      </c>
      <c r="C295" s="140">
        <v>158945</v>
      </c>
      <c r="D295" s="211">
        <v>14</v>
      </c>
      <c r="E295" s="178">
        <f t="shared" si="16"/>
        <v>0</v>
      </c>
      <c r="F295" s="195">
        <f t="shared" si="17"/>
        <v>0</v>
      </c>
      <c r="G295" s="179"/>
      <c r="H295" s="180"/>
      <c r="I295" s="179"/>
      <c r="J295" s="180"/>
      <c r="K295" s="179"/>
      <c r="L295" s="179"/>
      <c r="M295" s="179"/>
      <c r="N295" s="180"/>
      <c r="O295" s="180"/>
      <c r="P295" s="180"/>
      <c r="Q295" s="179"/>
      <c r="R295" s="180"/>
      <c r="S295" s="178">
        <f t="shared" si="18"/>
        <v>0</v>
      </c>
      <c r="T295" s="195">
        <f t="shared" si="19"/>
        <v>0</v>
      </c>
      <c r="U295" s="179"/>
      <c r="V295" s="180"/>
      <c r="W295" s="179"/>
      <c r="X295" s="180"/>
      <c r="Y295" s="179"/>
      <c r="Z295" s="179"/>
      <c r="AA295" s="179"/>
      <c r="AB295" s="180"/>
      <c r="AC295" s="180"/>
      <c r="AD295" s="180"/>
      <c r="AE295" s="179"/>
      <c r="AF295" s="256"/>
    </row>
    <row r="296" spans="1:32" s="223" customFormat="1" ht="15" customHeight="1">
      <c r="A296" s="158" t="s">
        <v>473</v>
      </c>
      <c r="B296" s="159" t="s">
        <v>705</v>
      </c>
      <c r="C296" s="140">
        <v>159018</v>
      </c>
      <c r="D296" s="211">
        <v>14</v>
      </c>
      <c r="E296" s="178">
        <f t="shared" si="16"/>
        <v>0</v>
      </c>
      <c r="F296" s="195">
        <f t="shared" si="17"/>
        <v>0</v>
      </c>
      <c r="G296" s="179"/>
      <c r="H296" s="180"/>
      <c r="I296" s="179"/>
      <c r="J296" s="180"/>
      <c r="K296" s="179"/>
      <c r="L296" s="179"/>
      <c r="M296" s="179"/>
      <c r="N296" s="180"/>
      <c r="O296" s="180"/>
      <c r="P296" s="180"/>
      <c r="Q296" s="179"/>
      <c r="R296" s="180"/>
      <c r="S296" s="178">
        <f t="shared" si="18"/>
        <v>0</v>
      </c>
      <c r="T296" s="195">
        <f t="shared" si="19"/>
        <v>0</v>
      </c>
      <c r="U296" s="179"/>
      <c r="V296" s="180"/>
      <c r="W296" s="179"/>
      <c r="X296" s="180"/>
      <c r="Y296" s="179"/>
      <c r="Z296" s="179"/>
      <c r="AA296" s="179"/>
      <c r="AB296" s="180"/>
      <c r="AC296" s="180"/>
      <c r="AD296" s="180"/>
      <c r="AE296" s="179"/>
      <c r="AF296" s="256"/>
    </row>
    <row r="297" spans="1:32" s="223" customFormat="1" ht="15" customHeight="1">
      <c r="A297" s="158" t="s">
        <v>473</v>
      </c>
      <c r="B297" s="159" t="s">
        <v>706</v>
      </c>
      <c r="C297" s="140">
        <v>159045</v>
      </c>
      <c r="D297" s="211">
        <v>14</v>
      </c>
      <c r="E297" s="178">
        <f t="shared" si="16"/>
        <v>0</v>
      </c>
      <c r="F297" s="195">
        <f t="shared" si="17"/>
        <v>0</v>
      </c>
      <c r="G297" s="179"/>
      <c r="H297" s="180"/>
      <c r="I297" s="179"/>
      <c r="J297" s="180"/>
      <c r="K297" s="179"/>
      <c r="L297" s="179"/>
      <c r="M297" s="179"/>
      <c r="N297" s="180"/>
      <c r="O297" s="180"/>
      <c r="P297" s="180"/>
      <c r="Q297" s="179"/>
      <c r="R297" s="180"/>
      <c r="S297" s="178">
        <f t="shared" si="18"/>
        <v>0</v>
      </c>
      <c r="T297" s="195">
        <f t="shared" si="19"/>
        <v>0</v>
      </c>
      <c r="U297" s="179"/>
      <c r="V297" s="180"/>
      <c r="W297" s="179"/>
      <c r="X297" s="180"/>
      <c r="Y297" s="179"/>
      <c r="Z297" s="179"/>
      <c r="AA297" s="179"/>
      <c r="AB297" s="180"/>
      <c r="AC297" s="180"/>
      <c r="AD297" s="180"/>
      <c r="AE297" s="179"/>
      <c r="AF297" s="256"/>
    </row>
    <row r="298" spans="1:32" s="223" customFormat="1" ht="15" customHeight="1">
      <c r="A298" s="158" t="s">
        <v>473</v>
      </c>
      <c r="B298" s="159" t="s">
        <v>707</v>
      </c>
      <c r="C298" s="140">
        <v>159090</v>
      </c>
      <c r="D298" s="211">
        <v>14</v>
      </c>
      <c r="E298" s="178">
        <f t="shared" si="16"/>
        <v>0</v>
      </c>
      <c r="F298" s="195">
        <f t="shared" si="17"/>
        <v>0</v>
      </c>
      <c r="G298" s="179"/>
      <c r="H298" s="180"/>
      <c r="I298" s="179"/>
      <c r="J298" s="180"/>
      <c r="K298" s="179"/>
      <c r="L298" s="179"/>
      <c r="M298" s="179"/>
      <c r="N298" s="180"/>
      <c r="O298" s="180"/>
      <c r="P298" s="180"/>
      <c r="Q298" s="179"/>
      <c r="R298" s="180"/>
      <c r="S298" s="178">
        <f t="shared" si="18"/>
        <v>0</v>
      </c>
      <c r="T298" s="195">
        <f t="shared" si="19"/>
        <v>0</v>
      </c>
      <c r="U298" s="179"/>
      <c r="V298" s="180"/>
      <c r="W298" s="179"/>
      <c r="X298" s="180"/>
      <c r="Y298" s="179"/>
      <c r="Z298" s="179"/>
      <c r="AA298" s="179"/>
      <c r="AB298" s="180"/>
      <c r="AC298" s="180"/>
      <c r="AD298" s="180"/>
      <c r="AE298" s="179"/>
      <c r="AF298" s="256"/>
    </row>
    <row r="299" spans="1:32" s="223" customFormat="1" ht="15" customHeight="1">
      <c r="A299" s="158" t="s">
        <v>473</v>
      </c>
      <c r="B299" s="159" t="s">
        <v>708</v>
      </c>
      <c r="C299" s="140">
        <v>159258</v>
      </c>
      <c r="D299" s="211">
        <v>14</v>
      </c>
      <c r="E299" s="178">
        <f t="shared" si="16"/>
        <v>0</v>
      </c>
      <c r="F299" s="195">
        <f t="shared" si="17"/>
        <v>0</v>
      </c>
      <c r="G299" s="179"/>
      <c r="H299" s="180"/>
      <c r="I299" s="179"/>
      <c r="J299" s="180"/>
      <c r="K299" s="179"/>
      <c r="L299" s="179"/>
      <c r="M299" s="179"/>
      <c r="N299" s="180"/>
      <c r="O299" s="180"/>
      <c r="P299" s="180"/>
      <c r="Q299" s="179"/>
      <c r="R299" s="180"/>
      <c r="S299" s="178">
        <f t="shared" si="18"/>
        <v>0</v>
      </c>
      <c r="T299" s="195">
        <f t="shared" si="19"/>
        <v>0</v>
      </c>
      <c r="U299" s="179"/>
      <c r="V299" s="180"/>
      <c r="W299" s="179"/>
      <c r="X299" s="180"/>
      <c r="Y299" s="179"/>
      <c r="Z299" s="179"/>
      <c r="AA299" s="179"/>
      <c r="AB299" s="180"/>
      <c r="AC299" s="180"/>
      <c r="AD299" s="180"/>
      <c r="AE299" s="179"/>
      <c r="AF299" s="256"/>
    </row>
    <row r="300" spans="1:32" s="223" customFormat="1" ht="15" customHeight="1">
      <c r="A300" s="158" t="s">
        <v>473</v>
      </c>
      <c r="B300" s="159" t="s">
        <v>709</v>
      </c>
      <c r="C300" s="140">
        <v>160214</v>
      </c>
      <c r="D300" s="211">
        <v>14</v>
      </c>
      <c r="E300" s="178">
        <f t="shared" si="16"/>
        <v>0</v>
      </c>
      <c r="F300" s="195">
        <f t="shared" si="17"/>
        <v>0</v>
      </c>
      <c r="G300" s="179"/>
      <c r="H300" s="180"/>
      <c r="I300" s="179"/>
      <c r="J300" s="180"/>
      <c r="K300" s="179"/>
      <c r="L300" s="179"/>
      <c r="M300" s="179"/>
      <c r="N300" s="180"/>
      <c r="O300" s="180"/>
      <c r="P300" s="180"/>
      <c r="Q300" s="179"/>
      <c r="R300" s="180"/>
      <c r="S300" s="178">
        <f t="shared" si="18"/>
        <v>0</v>
      </c>
      <c r="T300" s="195">
        <f t="shared" si="19"/>
        <v>0</v>
      </c>
      <c r="U300" s="179"/>
      <c r="V300" s="180"/>
      <c r="W300" s="179"/>
      <c r="X300" s="180"/>
      <c r="Y300" s="179"/>
      <c r="Z300" s="179"/>
      <c r="AA300" s="179"/>
      <c r="AB300" s="180"/>
      <c r="AC300" s="180"/>
      <c r="AD300" s="180"/>
      <c r="AE300" s="179"/>
      <c r="AF300" s="256"/>
    </row>
    <row r="301" spans="1:32" s="223" customFormat="1" ht="15" customHeight="1">
      <c r="A301" s="158" t="s">
        <v>473</v>
      </c>
      <c r="B301" s="159" t="s">
        <v>710</v>
      </c>
      <c r="C301" s="140">
        <v>159443</v>
      </c>
      <c r="D301" s="211">
        <v>14</v>
      </c>
      <c r="E301" s="178">
        <f t="shared" si="16"/>
        <v>0</v>
      </c>
      <c r="F301" s="195">
        <f t="shared" si="17"/>
        <v>0</v>
      </c>
      <c r="G301" s="179"/>
      <c r="H301" s="180"/>
      <c r="I301" s="179"/>
      <c r="J301" s="180"/>
      <c r="K301" s="179"/>
      <c r="L301" s="179"/>
      <c r="M301" s="179"/>
      <c r="N301" s="180"/>
      <c r="O301" s="180"/>
      <c r="P301" s="180"/>
      <c r="Q301" s="179"/>
      <c r="R301" s="180"/>
      <c r="S301" s="178">
        <f t="shared" si="18"/>
        <v>0</v>
      </c>
      <c r="T301" s="195">
        <f t="shared" si="19"/>
        <v>0</v>
      </c>
      <c r="U301" s="179"/>
      <c r="V301" s="180"/>
      <c r="W301" s="179"/>
      <c r="X301" s="180"/>
      <c r="Y301" s="179"/>
      <c r="Z301" s="179"/>
      <c r="AA301" s="179"/>
      <c r="AB301" s="180"/>
      <c r="AC301" s="180"/>
      <c r="AD301" s="180"/>
      <c r="AE301" s="179"/>
      <c r="AF301" s="256"/>
    </row>
    <row r="302" spans="1:32" s="223" customFormat="1" ht="15" customHeight="1">
      <c r="A302" s="158" t="s">
        <v>473</v>
      </c>
      <c r="B302" s="159" t="s">
        <v>711</v>
      </c>
      <c r="C302" s="140">
        <v>160719</v>
      </c>
      <c r="D302" s="211">
        <v>14</v>
      </c>
      <c r="E302" s="178">
        <f t="shared" si="16"/>
        <v>0</v>
      </c>
      <c r="F302" s="195">
        <f t="shared" si="17"/>
        <v>0</v>
      </c>
      <c r="G302" s="179"/>
      <c r="H302" s="180"/>
      <c r="I302" s="179"/>
      <c r="J302" s="180"/>
      <c r="K302" s="179"/>
      <c r="L302" s="179"/>
      <c r="M302" s="179"/>
      <c r="N302" s="180"/>
      <c r="O302" s="180"/>
      <c r="P302" s="180"/>
      <c r="Q302" s="179"/>
      <c r="R302" s="180"/>
      <c r="S302" s="178">
        <f t="shared" si="18"/>
        <v>0</v>
      </c>
      <c r="T302" s="195">
        <f t="shared" si="19"/>
        <v>0</v>
      </c>
      <c r="U302" s="179"/>
      <c r="V302" s="180"/>
      <c r="W302" s="179"/>
      <c r="X302" s="180"/>
      <c r="Y302" s="179"/>
      <c r="Z302" s="179"/>
      <c r="AA302" s="179"/>
      <c r="AB302" s="180"/>
      <c r="AC302" s="180"/>
      <c r="AD302" s="180"/>
      <c r="AE302" s="179"/>
      <c r="AF302" s="256"/>
    </row>
    <row r="303" spans="1:32" s="223" customFormat="1" ht="15" customHeight="1">
      <c r="A303" s="158" t="s">
        <v>473</v>
      </c>
      <c r="B303" s="159" t="s">
        <v>712</v>
      </c>
      <c r="C303" s="140">
        <v>160843</v>
      </c>
      <c r="D303" s="211">
        <v>14</v>
      </c>
      <c r="E303" s="178">
        <f t="shared" si="16"/>
        <v>0</v>
      </c>
      <c r="F303" s="195">
        <f t="shared" si="17"/>
        <v>0</v>
      </c>
      <c r="G303" s="179"/>
      <c r="H303" s="180"/>
      <c r="I303" s="179"/>
      <c r="J303" s="180"/>
      <c r="K303" s="179"/>
      <c r="L303" s="179"/>
      <c r="M303" s="179"/>
      <c r="N303" s="180"/>
      <c r="O303" s="180"/>
      <c r="P303" s="180"/>
      <c r="Q303" s="179"/>
      <c r="R303" s="180"/>
      <c r="S303" s="178">
        <f t="shared" si="18"/>
        <v>0</v>
      </c>
      <c r="T303" s="195">
        <f t="shared" si="19"/>
        <v>0</v>
      </c>
      <c r="U303" s="179"/>
      <c r="V303" s="180"/>
      <c r="W303" s="179"/>
      <c r="X303" s="180"/>
      <c r="Y303" s="179"/>
      <c r="Z303" s="179"/>
      <c r="AA303" s="179"/>
      <c r="AB303" s="180"/>
      <c r="AC303" s="180"/>
      <c r="AD303" s="180"/>
      <c r="AE303" s="179"/>
      <c r="AF303" s="256"/>
    </row>
    <row r="304" spans="1:32" s="223" customFormat="1" ht="15" customHeight="1">
      <c r="A304" s="158" t="s">
        <v>473</v>
      </c>
      <c r="B304" s="159" t="s">
        <v>713</v>
      </c>
      <c r="C304" s="140">
        <v>159692</v>
      </c>
      <c r="D304" s="211">
        <v>14</v>
      </c>
      <c r="E304" s="178">
        <f t="shared" si="16"/>
        <v>0</v>
      </c>
      <c r="F304" s="195">
        <f t="shared" si="17"/>
        <v>0</v>
      </c>
      <c r="G304" s="179"/>
      <c r="H304" s="180"/>
      <c r="I304" s="179"/>
      <c r="J304" s="180"/>
      <c r="K304" s="179"/>
      <c r="L304" s="179"/>
      <c r="M304" s="179"/>
      <c r="N304" s="180"/>
      <c r="O304" s="180"/>
      <c r="P304" s="180"/>
      <c r="Q304" s="179"/>
      <c r="R304" s="180"/>
      <c r="S304" s="178">
        <f t="shared" si="18"/>
        <v>0</v>
      </c>
      <c r="T304" s="195">
        <f t="shared" si="19"/>
        <v>0</v>
      </c>
      <c r="U304" s="179"/>
      <c r="V304" s="180"/>
      <c r="W304" s="179"/>
      <c r="X304" s="180"/>
      <c r="Y304" s="179"/>
      <c r="Z304" s="179"/>
      <c r="AA304" s="179"/>
      <c r="AB304" s="180"/>
      <c r="AC304" s="180"/>
      <c r="AD304" s="180"/>
      <c r="AE304" s="179"/>
      <c r="AF304" s="256"/>
    </row>
    <row r="305" spans="1:32" s="223" customFormat="1" ht="15" customHeight="1">
      <c r="A305" s="158" t="s">
        <v>473</v>
      </c>
      <c r="B305" s="159" t="s">
        <v>714</v>
      </c>
      <c r="C305" s="140">
        <v>159249</v>
      </c>
      <c r="D305" s="211">
        <v>14</v>
      </c>
      <c r="E305" s="178">
        <f t="shared" si="16"/>
        <v>0</v>
      </c>
      <c r="F305" s="195">
        <f t="shared" si="17"/>
        <v>0</v>
      </c>
      <c r="G305" s="179"/>
      <c r="H305" s="180"/>
      <c r="I305" s="179"/>
      <c r="J305" s="180"/>
      <c r="K305" s="179"/>
      <c r="L305" s="179"/>
      <c r="M305" s="179"/>
      <c r="N305" s="180"/>
      <c r="O305" s="180"/>
      <c r="P305" s="180"/>
      <c r="Q305" s="179"/>
      <c r="R305" s="180"/>
      <c r="S305" s="178">
        <f t="shared" si="18"/>
        <v>0</v>
      </c>
      <c r="T305" s="195">
        <f t="shared" si="19"/>
        <v>0</v>
      </c>
      <c r="U305" s="179"/>
      <c r="V305" s="180"/>
      <c r="W305" s="179"/>
      <c r="X305" s="180"/>
      <c r="Y305" s="179"/>
      <c r="Z305" s="179"/>
      <c r="AA305" s="179"/>
      <c r="AB305" s="180"/>
      <c r="AC305" s="180"/>
      <c r="AD305" s="180"/>
      <c r="AE305" s="179"/>
      <c r="AF305" s="256"/>
    </row>
    <row r="306" spans="1:32" s="223" customFormat="1" ht="15" customHeight="1">
      <c r="A306" s="158" t="s">
        <v>473</v>
      </c>
      <c r="B306" s="159" t="s">
        <v>715</v>
      </c>
      <c r="C306" s="140">
        <v>159823</v>
      </c>
      <c r="D306" s="211">
        <v>14</v>
      </c>
      <c r="E306" s="178">
        <f t="shared" si="16"/>
        <v>0</v>
      </c>
      <c r="F306" s="195">
        <f t="shared" si="17"/>
        <v>0</v>
      </c>
      <c r="G306" s="179"/>
      <c r="H306" s="180"/>
      <c r="I306" s="179"/>
      <c r="J306" s="180"/>
      <c r="K306" s="179"/>
      <c r="L306" s="179"/>
      <c r="M306" s="179"/>
      <c r="N306" s="180"/>
      <c r="O306" s="180"/>
      <c r="P306" s="180"/>
      <c r="Q306" s="179"/>
      <c r="R306" s="180"/>
      <c r="S306" s="178">
        <f t="shared" si="18"/>
        <v>0</v>
      </c>
      <c r="T306" s="195">
        <f t="shared" si="19"/>
        <v>0</v>
      </c>
      <c r="U306" s="179"/>
      <c r="V306" s="180"/>
      <c r="W306" s="179"/>
      <c r="X306" s="180"/>
      <c r="Y306" s="179"/>
      <c r="Z306" s="179"/>
      <c r="AA306" s="179"/>
      <c r="AB306" s="180"/>
      <c r="AC306" s="180"/>
      <c r="AD306" s="180"/>
      <c r="AE306" s="179"/>
      <c r="AF306" s="256"/>
    </row>
    <row r="307" spans="1:32" s="223" customFormat="1" ht="15" customHeight="1">
      <c r="A307" s="158" t="s">
        <v>473</v>
      </c>
      <c r="B307" s="159" t="s">
        <v>716</v>
      </c>
      <c r="C307" s="140">
        <v>159984</v>
      </c>
      <c r="D307" s="211">
        <v>14</v>
      </c>
      <c r="E307" s="178">
        <f t="shared" si="16"/>
        <v>0</v>
      </c>
      <c r="F307" s="195">
        <f t="shared" si="17"/>
        <v>0</v>
      </c>
      <c r="G307" s="179"/>
      <c r="H307" s="180"/>
      <c r="I307" s="179"/>
      <c r="J307" s="180"/>
      <c r="K307" s="179"/>
      <c r="L307" s="179"/>
      <c r="M307" s="179"/>
      <c r="N307" s="180"/>
      <c r="O307" s="180"/>
      <c r="P307" s="180"/>
      <c r="Q307" s="179"/>
      <c r="R307" s="180"/>
      <c r="S307" s="178">
        <f t="shared" si="18"/>
        <v>0</v>
      </c>
      <c r="T307" s="195">
        <f t="shared" si="19"/>
        <v>0</v>
      </c>
      <c r="U307" s="179"/>
      <c r="V307" s="180"/>
      <c r="W307" s="179"/>
      <c r="X307" s="180"/>
      <c r="Y307" s="179"/>
      <c r="Z307" s="179"/>
      <c r="AA307" s="179"/>
      <c r="AB307" s="180"/>
      <c r="AC307" s="180"/>
      <c r="AD307" s="180"/>
      <c r="AE307" s="179"/>
      <c r="AF307" s="256"/>
    </row>
    <row r="308" spans="1:32" s="223" customFormat="1" ht="15" customHeight="1">
      <c r="A308" s="158" t="s">
        <v>473</v>
      </c>
      <c r="B308" s="159" t="s">
        <v>717</v>
      </c>
      <c r="C308" s="140">
        <v>160001</v>
      </c>
      <c r="D308" s="211">
        <v>14</v>
      </c>
      <c r="E308" s="178">
        <f t="shared" si="16"/>
        <v>0</v>
      </c>
      <c r="F308" s="195">
        <f t="shared" si="17"/>
        <v>0</v>
      </c>
      <c r="G308" s="179"/>
      <c r="H308" s="180"/>
      <c r="I308" s="179"/>
      <c r="J308" s="180"/>
      <c r="K308" s="179"/>
      <c r="L308" s="179"/>
      <c r="M308" s="179"/>
      <c r="N308" s="180"/>
      <c r="O308" s="180"/>
      <c r="P308" s="180"/>
      <c r="Q308" s="179"/>
      <c r="R308" s="180"/>
      <c r="S308" s="178">
        <f t="shared" si="18"/>
        <v>0</v>
      </c>
      <c r="T308" s="195">
        <f t="shared" si="19"/>
        <v>0</v>
      </c>
      <c r="U308" s="179"/>
      <c r="V308" s="180"/>
      <c r="W308" s="179"/>
      <c r="X308" s="180"/>
      <c r="Y308" s="179"/>
      <c r="Z308" s="179"/>
      <c r="AA308" s="179"/>
      <c r="AB308" s="180"/>
      <c r="AC308" s="180"/>
      <c r="AD308" s="180"/>
      <c r="AE308" s="179"/>
      <c r="AF308" s="256"/>
    </row>
    <row r="309" spans="1:32" s="223" customFormat="1" ht="15" customHeight="1">
      <c r="A309" s="158" t="s">
        <v>473</v>
      </c>
      <c r="B309" s="159" t="s">
        <v>718</v>
      </c>
      <c r="C309" s="140">
        <v>160010</v>
      </c>
      <c r="D309" s="211">
        <v>14</v>
      </c>
      <c r="E309" s="178">
        <f t="shared" si="16"/>
        <v>0</v>
      </c>
      <c r="F309" s="195">
        <f t="shared" si="17"/>
        <v>0</v>
      </c>
      <c r="G309" s="179"/>
      <c r="H309" s="180"/>
      <c r="I309" s="179"/>
      <c r="J309" s="180"/>
      <c r="K309" s="179"/>
      <c r="L309" s="179"/>
      <c r="M309" s="179"/>
      <c r="N309" s="180"/>
      <c r="O309" s="180"/>
      <c r="P309" s="180"/>
      <c r="Q309" s="179"/>
      <c r="R309" s="180"/>
      <c r="S309" s="178">
        <f t="shared" si="18"/>
        <v>0</v>
      </c>
      <c r="T309" s="195">
        <f t="shared" si="19"/>
        <v>0</v>
      </c>
      <c r="U309" s="179"/>
      <c r="V309" s="180"/>
      <c r="W309" s="179"/>
      <c r="X309" s="180"/>
      <c r="Y309" s="179"/>
      <c r="Z309" s="179"/>
      <c r="AA309" s="179"/>
      <c r="AB309" s="180"/>
      <c r="AC309" s="180"/>
      <c r="AD309" s="180"/>
      <c r="AE309" s="179"/>
      <c r="AF309" s="256"/>
    </row>
    <row r="310" spans="1:32" s="223" customFormat="1" ht="15" customHeight="1">
      <c r="A310" s="158" t="s">
        <v>473</v>
      </c>
      <c r="B310" s="159" t="s">
        <v>719</v>
      </c>
      <c r="C310" s="140">
        <v>160047</v>
      </c>
      <c r="D310" s="211">
        <v>14</v>
      </c>
      <c r="E310" s="178">
        <f t="shared" si="16"/>
        <v>0</v>
      </c>
      <c r="F310" s="195">
        <f t="shared" si="17"/>
        <v>0</v>
      </c>
      <c r="G310" s="179"/>
      <c r="H310" s="180"/>
      <c r="I310" s="179"/>
      <c r="J310" s="180"/>
      <c r="K310" s="179"/>
      <c r="L310" s="179"/>
      <c r="M310" s="179"/>
      <c r="N310" s="180"/>
      <c r="O310" s="180"/>
      <c r="P310" s="180"/>
      <c r="Q310" s="179"/>
      <c r="R310" s="180"/>
      <c r="S310" s="178">
        <f t="shared" si="18"/>
        <v>0</v>
      </c>
      <c r="T310" s="195">
        <f t="shared" si="19"/>
        <v>0</v>
      </c>
      <c r="U310" s="179"/>
      <c r="V310" s="180"/>
      <c r="W310" s="179"/>
      <c r="X310" s="180"/>
      <c r="Y310" s="179"/>
      <c r="Z310" s="179"/>
      <c r="AA310" s="179"/>
      <c r="AB310" s="180"/>
      <c r="AC310" s="180"/>
      <c r="AD310" s="180"/>
      <c r="AE310" s="179"/>
      <c r="AF310" s="256"/>
    </row>
    <row r="311" spans="1:32" s="223" customFormat="1" ht="15" customHeight="1">
      <c r="A311" s="158" t="s">
        <v>473</v>
      </c>
      <c r="B311" s="159" t="s">
        <v>720</v>
      </c>
      <c r="C311" s="140">
        <v>160311</v>
      </c>
      <c r="D311" s="211">
        <v>14</v>
      </c>
      <c r="E311" s="178">
        <f t="shared" si="16"/>
        <v>0</v>
      </c>
      <c r="F311" s="195">
        <f t="shared" si="17"/>
        <v>0</v>
      </c>
      <c r="G311" s="179"/>
      <c r="H311" s="180"/>
      <c r="I311" s="179"/>
      <c r="J311" s="180"/>
      <c r="K311" s="179"/>
      <c r="L311" s="179"/>
      <c r="M311" s="179"/>
      <c r="N311" s="180"/>
      <c r="O311" s="180"/>
      <c r="P311" s="180"/>
      <c r="Q311" s="179"/>
      <c r="R311" s="180"/>
      <c r="S311" s="178">
        <f t="shared" si="18"/>
        <v>0</v>
      </c>
      <c r="T311" s="195">
        <f t="shared" si="19"/>
        <v>0</v>
      </c>
      <c r="U311" s="179"/>
      <c r="V311" s="180"/>
      <c r="W311" s="179"/>
      <c r="X311" s="180"/>
      <c r="Y311" s="179"/>
      <c r="Z311" s="179"/>
      <c r="AA311" s="179"/>
      <c r="AB311" s="180"/>
      <c r="AC311" s="180"/>
      <c r="AD311" s="180"/>
      <c r="AE311" s="179"/>
      <c r="AF311" s="256"/>
    </row>
    <row r="312" spans="1:32" s="223" customFormat="1" ht="15" customHeight="1">
      <c r="A312" s="158" t="s">
        <v>473</v>
      </c>
      <c r="B312" s="159" t="s">
        <v>721</v>
      </c>
      <c r="C312" s="140">
        <v>160366</v>
      </c>
      <c r="D312" s="211">
        <v>14</v>
      </c>
      <c r="E312" s="178">
        <f t="shared" si="16"/>
        <v>0</v>
      </c>
      <c r="F312" s="195">
        <f t="shared" si="17"/>
        <v>0</v>
      </c>
      <c r="G312" s="179"/>
      <c r="H312" s="180"/>
      <c r="I312" s="179"/>
      <c r="J312" s="180"/>
      <c r="K312" s="179"/>
      <c r="L312" s="179"/>
      <c r="M312" s="179"/>
      <c r="N312" s="180"/>
      <c r="O312" s="180"/>
      <c r="P312" s="180"/>
      <c r="Q312" s="179"/>
      <c r="R312" s="180"/>
      <c r="S312" s="178">
        <f t="shared" si="18"/>
        <v>0</v>
      </c>
      <c r="T312" s="195">
        <f t="shared" si="19"/>
        <v>0</v>
      </c>
      <c r="U312" s="179"/>
      <c r="V312" s="180"/>
      <c r="W312" s="179"/>
      <c r="X312" s="180"/>
      <c r="Y312" s="179"/>
      <c r="Z312" s="179"/>
      <c r="AA312" s="179"/>
      <c r="AB312" s="180"/>
      <c r="AC312" s="180"/>
      <c r="AD312" s="180"/>
      <c r="AE312" s="179"/>
      <c r="AF312" s="256"/>
    </row>
    <row r="313" spans="1:32" s="223" customFormat="1" ht="15" customHeight="1">
      <c r="A313" s="158" t="s">
        <v>473</v>
      </c>
      <c r="B313" s="159" t="s">
        <v>722</v>
      </c>
      <c r="C313" s="140">
        <v>160384</v>
      </c>
      <c r="D313" s="211">
        <v>14</v>
      </c>
      <c r="E313" s="178">
        <f t="shared" si="16"/>
        <v>0</v>
      </c>
      <c r="F313" s="195">
        <f t="shared" si="17"/>
        <v>0</v>
      </c>
      <c r="G313" s="179"/>
      <c r="H313" s="180"/>
      <c r="I313" s="179"/>
      <c r="J313" s="180"/>
      <c r="K313" s="179"/>
      <c r="L313" s="179"/>
      <c r="M313" s="179"/>
      <c r="N313" s="180"/>
      <c r="O313" s="180"/>
      <c r="P313" s="180"/>
      <c r="Q313" s="179"/>
      <c r="R313" s="180"/>
      <c r="S313" s="178">
        <f t="shared" si="18"/>
        <v>0</v>
      </c>
      <c r="T313" s="195">
        <f t="shared" si="19"/>
        <v>0</v>
      </c>
      <c r="U313" s="179"/>
      <c r="V313" s="180"/>
      <c r="W313" s="179"/>
      <c r="X313" s="180"/>
      <c r="Y313" s="179"/>
      <c r="Z313" s="179"/>
      <c r="AA313" s="179"/>
      <c r="AB313" s="180"/>
      <c r="AC313" s="180"/>
      <c r="AD313" s="180"/>
      <c r="AE313" s="179"/>
      <c r="AF313" s="256"/>
    </row>
    <row r="314" spans="1:32" s="223" customFormat="1" ht="15" customHeight="1">
      <c r="A314" s="158" t="s">
        <v>473</v>
      </c>
      <c r="B314" s="159" t="s">
        <v>723</v>
      </c>
      <c r="C314" s="140">
        <v>158583</v>
      </c>
      <c r="D314" s="211">
        <v>14</v>
      </c>
      <c r="E314" s="178">
        <f t="shared" si="16"/>
        <v>0</v>
      </c>
      <c r="F314" s="195">
        <f t="shared" si="17"/>
        <v>0</v>
      </c>
      <c r="G314" s="179"/>
      <c r="H314" s="180"/>
      <c r="I314" s="179"/>
      <c r="J314" s="180"/>
      <c r="K314" s="179"/>
      <c r="L314" s="179"/>
      <c r="M314" s="179"/>
      <c r="N314" s="180"/>
      <c r="O314" s="180"/>
      <c r="P314" s="180"/>
      <c r="Q314" s="179"/>
      <c r="R314" s="180"/>
      <c r="S314" s="178">
        <f t="shared" si="18"/>
        <v>0</v>
      </c>
      <c r="T314" s="195">
        <f t="shared" si="19"/>
        <v>0</v>
      </c>
      <c r="U314" s="179"/>
      <c r="V314" s="180"/>
      <c r="W314" s="179"/>
      <c r="X314" s="180"/>
      <c r="Y314" s="179"/>
      <c r="Z314" s="179"/>
      <c r="AA314" s="179"/>
      <c r="AB314" s="180"/>
      <c r="AC314" s="180"/>
      <c r="AD314" s="180"/>
      <c r="AE314" s="179"/>
      <c r="AF314" s="256"/>
    </row>
    <row r="315" spans="1:32" s="223" customFormat="1" ht="15" customHeight="1">
      <c r="A315" s="158" t="s">
        <v>473</v>
      </c>
      <c r="B315" s="159" t="s">
        <v>724</v>
      </c>
      <c r="C315" s="140">
        <v>160427</v>
      </c>
      <c r="D315" s="211">
        <v>14</v>
      </c>
      <c r="E315" s="178">
        <f t="shared" si="16"/>
        <v>0</v>
      </c>
      <c r="F315" s="195">
        <f t="shared" si="17"/>
        <v>0</v>
      </c>
      <c r="G315" s="179"/>
      <c r="H315" s="180"/>
      <c r="I315" s="179"/>
      <c r="J315" s="180"/>
      <c r="K315" s="179"/>
      <c r="L315" s="179"/>
      <c r="M315" s="179"/>
      <c r="N315" s="180"/>
      <c r="O315" s="180"/>
      <c r="P315" s="180"/>
      <c r="Q315" s="179"/>
      <c r="R315" s="180"/>
      <c r="S315" s="178">
        <f t="shared" si="18"/>
        <v>0</v>
      </c>
      <c r="T315" s="195">
        <f t="shared" si="19"/>
        <v>0</v>
      </c>
      <c r="U315" s="179"/>
      <c r="V315" s="180"/>
      <c r="W315" s="179"/>
      <c r="X315" s="180"/>
      <c r="Y315" s="179"/>
      <c r="Z315" s="179"/>
      <c r="AA315" s="179"/>
      <c r="AB315" s="180"/>
      <c r="AC315" s="180"/>
      <c r="AD315" s="180"/>
      <c r="AE315" s="179"/>
      <c r="AF315" s="256"/>
    </row>
    <row r="316" spans="1:32" s="223" customFormat="1" ht="15" customHeight="1">
      <c r="A316" s="158" t="s">
        <v>473</v>
      </c>
      <c r="B316" s="159" t="s">
        <v>725</v>
      </c>
      <c r="C316" s="140">
        <v>160436</v>
      </c>
      <c r="D316" s="211">
        <v>14</v>
      </c>
      <c r="E316" s="178">
        <f t="shared" si="16"/>
        <v>0</v>
      </c>
      <c r="F316" s="195">
        <f t="shared" si="17"/>
        <v>0</v>
      </c>
      <c r="G316" s="179"/>
      <c r="H316" s="180"/>
      <c r="I316" s="179"/>
      <c r="J316" s="180"/>
      <c r="K316" s="179"/>
      <c r="L316" s="179"/>
      <c r="M316" s="179"/>
      <c r="N316" s="180"/>
      <c r="O316" s="180"/>
      <c r="P316" s="180"/>
      <c r="Q316" s="179"/>
      <c r="R316" s="180"/>
      <c r="S316" s="178">
        <f t="shared" si="18"/>
        <v>0</v>
      </c>
      <c r="T316" s="195">
        <f t="shared" si="19"/>
        <v>0</v>
      </c>
      <c r="U316" s="179"/>
      <c r="V316" s="180"/>
      <c r="W316" s="179"/>
      <c r="X316" s="180"/>
      <c r="Y316" s="179"/>
      <c r="Z316" s="179"/>
      <c r="AA316" s="179"/>
      <c r="AB316" s="180"/>
      <c r="AC316" s="180"/>
      <c r="AD316" s="180"/>
      <c r="AE316" s="179"/>
      <c r="AF316" s="256"/>
    </row>
    <row r="317" spans="1:32" s="223" customFormat="1" ht="15" customHeight="1">
      <c r="A317" s="158" t="s">
        <v>473</v>
      </c>
      <c r="B317" s="159" t="s">
        <v>726</v>
      </c>
      <c r="C317" s="140">
        <v>160454</v>
      </c>
      <c r="D317" s="211">
        <v>14</v>
      </c>
      <c r="E317" s="178">
        <f t="shared" si="16"/>
        <v>0</v>
      </c>
      <c r="F317" s="195">
        <f t="shared" si="17"/>
        <v>0</v>
      </c>
      <c r="G317" s="179"/>
      <c r="H317" s="180"/>
      <c r="I317" s="179"/>
      <c r="J317" s="180"/>
      <c r="K317" s="179"/>
      <c r="L317" s="179"/>
      <c r="M317" s="179"/>
      <c r="N317" s="180"/>
      <c r="O317" s="180"/>
      <c r="P317" s="180"/>
      <c r="Q317" s="179"/>
      <c r="R317" s="180"/>
      <c r="S317" s="178">
        <f t="shared" si="18"/>
        <v>0</v>
      </c>
      <c r="T317" s="195">
        <f t="shared" si="19"/>
        <v>0</v>
      </c>
      <c r="U317" s="179"/>
      <c r="V317" s="180"/>
      <c r="W317" s="179"/>
      <c r="X317" s="180"/>
      <c r="Y317" s="179"/>
      <c r="Z317" s="179"/>
      <c r="AA317" s="179"/>
      <c r="AB317" s="180"/>
      <c r="AC317" s="180"/>
      <c r="AD317" s="180"/>
      <c r="AE317" s="179"/>
      <c r="AF317" s="256"/>
    </row>
    <row r="318" spans="1:32" s="223" customFormat="1" ht="15" customHeight="1">
      <c r="A318" s="158" t="s">
        <v>473</v>
      </c>
      <c r="B318" s="159" t="s">
        <v>727</v>
      </c>
      <c r="C318" s="140">
        <v>160667</v>
      </c>
      <c r="D318" s="211">
        <v>14</v>
      </c>
      <c r="E318" s="178">
        <f t="shared" si="16"/>
        <v>0</v>
      </c>
      <c r="F318" s="195">
        <f t="shared" si="17"/>
        <v>0</v>
      </c>
      <c r="G318" s="179"/>
      <c r="H318" s="180"/>
      <c r="I318" s="179"/>
      <c r="J318" s="180"/>
      <c r="K318" s="179"/>
      <c r="L318" s="179"/>
      <c r="M318" s="179"/>
      <c r="N318" s="180"/>
      <c r="O318" s="180"/>
      <c r="P318" s="180"/>
      <c r="Q318" s="179"/>
      <c r="R318" s="180"/>
      <c r="S318" s="178">
        <f t="shared" si="18"/>
        <v>0</v>
      </c>
      <c r="T318" s="195">
        <f t="shared" si="19"/>
        <v>0</v>
      </c>
      <c r="U318" s="179"/>
      <c r="V318" s="180"/>
      <c r="W318" s="179"/>
      <c r="X318" s="180"/>
      <c r="Y318" s="179"/>
      <c r="Z318" s="179"/>
      <c r="AA318" s="179"/>
      <c r="AB318" s="180"/>
      <c r="AC318" s="180"/>
      <c r="AD318" s="180"/>
      <c r="AE318" s="179"/>
      <c r="AF318" s="256"/>
    </row>
    <row r="319" spans="1:32" s="223" customFormat="1" ht="15" customHeight="1">
      <c r="A319" s="158" t="s">
        <v>473</v>
      </c>
      <c r="B319" s="159" t="s">
        <v>728</v>
      </c>
      <c r="C319" s="140">
        <v>160676</v>
      </c>
      <c r="D319" s="211">
        <v>14</v>
      </c>
      <c r="E319" s="178">
        <f t="shared" si="16"/>
        <v>0</v>
      </c>
      <c r="F319" s="195">
        <f t="shared" si="17"/>
        <v>0</v>
      </c>
      <c r="G319" s="179"/>
      <c r="H319" s="180"/>
      <c r="I319" s="179"/>
      <c r="J319" s="180"/>
      <c r="K319" s="179"/>
      <c r="L319" s="179"/>
      <c r="M319" s="179"/>
      <c r="N319" s="180"/>
      <c r="O319" s="180"/>
      <c r="P319" s="180"/>
      <c r="Q319" s="179"/>
      <c r="R319" s="180"/>
      <c r="S319" s="178">
        <f t="shared" si="18"/>
        <v>0</v>
      </c>
      <c r="T319" s="195">
        <f t="shared" si="19"/>
        <v>0</v>
      </c>
      <c r="U319" s="179"/>
      <c r="V319" s="180"/>
      <c r="W319" s="179"/>
      <c r="X319" s="180"/>
      <c r="Y319" s="179"/>
      <c r="Z319" s="179"/>
      <c r="AA319" s="179"/>
      <c r="AB319" s="180"/>
      <c r="AC319" s="180"/>
      <c r="AD319" s="180"/>
      <c r="AE319" s="179"/>
      <c r="AF319" s="256"/>
    </row>
    <row r="320" spans="1:32" s="223" customFormat="1" ht="15" customHeight="1">
      <c r="A320" s="158" t="s">
        <v>473</v>
      </c>
      <c r="B320" s="159" t="s">
        <v>729</v>
      </c>
      <c r="C320" s="140">
        <v>160685</v>
      </c>
      <c r="D320" s="211">
        <v>14</v>
      </c>
      <c r="E320" s="178">
        <f t="shared" si="16"/>
        <v>0</v>
      </c>
      <c r="F320" s="195">
        <f t="shared" si="17"/>
        <v>0</v>
      </c>
      <c r="G320" s="179"/>
      <c r="H320" s="180"/>
      <c r="I320" s="179"/>
      <c r="J320" s="180"/>
      <c r="K320" s="179"/>
      <c r="L320" s="179"/>
      <c r="M320" s="179"/>
      <c r="N320" s="180"/>
      <c r="O320" s="180"/>
      <c r="P320" s="180"/>
      <c r="Q320" s="179"/>
      <c r="R320" s="180"/>
      <c r="S320" s="178">
        <f t="shared" si="18"/>
        <v>0</v>
      </c>
      <c r="T320" s="195">
        <f t="shared" si="19"/>
        <v>0</v>
      </c>
      <c r="U320" s="179"/>
      <c r="V320" s="180"/>
      <c r="W320" s="179"/>
      <c r="X320" s="180"/>
      <c r="Y320" s="179"/>
      <c r="Z320" s="179"/>
      <c r="AA320" s="179"/>
      <c r="AB320" s="180"/>
      <c r="AC320" s="180"/>
      <c r="AD320" s="180"/>
      <c r="AE320" s="179"/>
      <c r="AF320" s="256"/>
    </row>
    <row r="321" spans="1:32" s="223" customFormat="1" ht="15" customHeight="1">
      <c r="A321" s="158" t="s">
        <v>473</v>
      </c>
      <c r="B321" s="159" t="s">
        <v>730</v>
      </c>
      <c r="C321" s="140">
        <v>160694</v>
      </c>
      <c r="D321" s="211">
        <v>14</v>
      </c>
      <c r="E321" s="178">
        <f t="shared" si="16"/>
        <v>0</v>
      </c>
      <c r="F321" s="195">
        <f t="shared" si="17"/>
        <v>0</v>
      </c>
      <c r="G321" s="179"/>
      <c r="H321" s="180"/>
      <c r="I321" s="179"/>
      <c r="J321" s="180"/>
      <c r="K321" s="179"/>
      <c r="L321" s="179"/>
      <c r="M321" s="179"/>
      <c r="N321" s="180"/>
      <c r="O321" s="180"/>
      <c r="P321" s="180"/>
      <c r="Q321" s="179"/>
      <c r="R321" s="180"/>
      <c r="S321" s="178">
        <f t="shared" si="18"/>
        <v>0</v>
      </c>
      <c r="T321" s="195">
        <f t="shared" si="19"/>
        <v>0</v>
      </c>
      <c r="U321" s="179"/>
      <c r="V321" s="180"/>
      <c r="W321" s="179"/>
      <c r="X321" s="180"/>
      <c r="Y321" s="179"/>
      <c r="Z321" s="179"/>
      <c r="AA321" s="179"/>
      <c r="AB321" s="180"/>
      <c r="AC321" s="180"/>
      <c r="AD321" s="180"/>
      <c r="AE321" s="179"/>
      <c r="AF321" s="256"/>
    </row>
    <row r="322" spans="1:32" s="223" customFormat="1" ht="15" customHeight="1">
      <c r="A322" s="158" t="s">
        <v>473</v>
      </c>
      <c r="B322" s="159" t="s">
        <v>731</v>
      </c>
      <c r="C322" s="140">
        <v>159267</v>
      </c>
      <c r="D322" s="211">
        <v>14</v>
      </c>
      <c r="E322" s="178">
        <f t="shared" si="16"/>
        <v>0</v>
      </c>
      <c r="F322" s="195">
        <f t="shared" si="17"/>
        <v>0</v>
      </c>
      <c r="G322" s="179"/>
      <c r="H322" s="180"/>
      <c r="I322" s="179"/>
      <c r="J322" s="180"/>
      <c r="K322" s="179"/>
      <c r="L322" s="179"/>
      <c r="M322" s="179"/>
      <c r="N322" s="180"/>
      <c r="O322" s="180"/>
      <c r="P322" s="180"/>
      <c r="Q322" s="179"/>
      <c r="R322" s="180"/>
      <c r="S322" s="178">
        <f t="shared" si="18"/>
        <v>0</v>
      </c>
      <c r="T322" s="195">
        <f t="shared" si="19"/>
        <v>0</v>
      </c>
      <c r="U322" s="179"/>
      <c r="V322" s="180"/>
      <c r="W322" s="179"/>
      <c r="X322" s="180"/>
      <c r="Y322" s="179"/>
      <c r="Z322" s="179"/>
      <c r="AA322" s="179"/>
      <c r="AB322" s="180"/>
      <c r="AC322" s="180"/>
      <c r="AD322" s="180"/>
      <c r="AE322" s="179"/>
      <c r="AF322" s="256"/>
    </row>
    <row r="323" spans="1:32" s="223" customFormat="1" ht="15" customHeight="1">
      <c r="A323" s="158" t="s">
        <v>473</v>
      </c>
      <c r="B323" s="159" t="s">
        <v>732</v>
      </c>
      <c r="C323" s="140">
        <v>160870</v>
      </c>
      <c r="D323" s="211">
        <v>14</v>
      </c>
      <c r="E323" s="178">
        <f t="shared" si="16"/>
        <v>0</v>
      </c>
      <c r="F323" s="195">
        <f t="shared" si="17"/>
        <v>0</v>
      </c>
      <c r="G323" s="179"/>
      <c r="H323" s="180"/>
      <c r="I323" s="179"/>
      <c r="J323" s="180"/>
      <c r="K323" s="179"/>
      <c r="L323" s="179"/>
      <c r="M323" s="179"/>
      <c r="N323" s="180"/>
      <c r="O323" s="180"/>
      <c r="P323" s="180"/>
      <c r="Q323" s="179"/>
      <c r="R323" s="180"/>
      <c r="S323" s="178">
        <f t="shared" si="18"/>
        <v>0</v>
      </c>
      <c r="T323" s="195">
        <f t="shared" si="19"/>
        <v>0</v>
      </c>
      <c r="U323" s="179"/>
      <c r="V323" s="180"/>
      <c r="W323" s="179"/>
      <c r="X323" s="180"/>
      <c r="Y323" s="179"/>
      <c r="Z323" s="179"/>
      <c r="AA323" s="179"/>
      <c r="AB323" s="180"/>
      <c r="AC323" s="180"/>
      <c r="AD323" s="180"/>
      <c r="AE323" s="179"/>
      <c r="AF323" s="256"/>
    </row>
    <row r="324" spans="1:32" s="223" customFormat="1" ht="15" customHeight="1">
      <c r="A324" s="158" t="s">
        <v>473</v>
      </c>
      <c r="B324" s="159" t="s">
        <v>733</v>
      </c>
      <c r="C324" s="140">
        <v>160913</v>
      </c>
      <c r="D324" s="211">
        <v>14</v>
      </c>
      <c r="E324" s="178">
        <f t="shared" si="16"/>
        <v>0</v>
      </c>
      <c r="F324" s="195">
        <f t="shared" si="17"/>
        <v>0</v>
      </c>
      <c r="G324" s="179"/>
      <c r="H324" s="180"/>
      <c r="I324" s="179"/>
      <c r="J324" s="180"/>
      <c r="K324" s="179"/>
      <c r="L324" s="179"/>
      <c r="M324" s="179"/>
      <c r="N324" s="180"/>
      <c r="O324" s="180"/>
      <c r="P324" s="180"/>
      <c r="Q324" s="179"/>
      <c r="R324" s="180"/>
      <c r="S324" s="178">
        <f t="shared" si="18"/>
        <v>0</v>
      </c>
      <c r="T324" s="195">
        <f t="shared" si="19"/>
        <v>0</v>
      </c>
      <c r="U324" s="179"/>
      <c r="V324" s="180"/>
      <c r="W324" s="179"/>
      <c r="X324" s="180"/>
      <c r="Y324" s="179"/>
      <c r="Z324" s="179"/>
      <c r="AA324" s="179"/>
      <c r="AB324" s="180"/>
      <c r="AC324" s="180"/>
      <c r="AD324" s="180"/>
      <c r="AE324" s="179"/>
      <c r="AF324" s="256"/>
    </row>
    <row r="325" spans="1:32" s="223" customFormat="1" ht="15" customHeight="1">
      <c r="A325" s="160" t="s">
        <v>474</v>
      </c>
      <c r="B325" s="160" t="s">
        <v>475</v>
      </c>
      <c r="C325" s="27">
        <v>163286</v>
      </c>
      <c r="D325" s="212">
        <v>1</v>
      </c>
      <c r="E325" s="178">
        <f t="shared" si="16"/>
        <v>0</v>
      </c>
      <c r="F325" s="195">
        <f t="shared" si="17"/>
        <v>0</v>
      </c>
      <c r="G325" s="179"/>
      <c r="H325" s="180"/>
      <c r="I325" s="179"/>
      <c r="J325" s="180"/>
      <c r="K325" s="179"/>
      <c r="L325" s="179">
        <v>0</v>
      </c>
      <c r="M325" s="179"/>
      <c r="N325" s="180"/>
      <c r="O325" s="180"/>
      <c r="P325" s="180"/>
      <c r="Q325" s="179"/>
      <c r="R325" s="180"/>
      <c r="S325" s="178">
        <f t="shared" si="18"/>
        <v>0</v>
      </c>
      <c r="T325" s="195">
        <f t="shared" si="19"/>
        <v>0</v>
      </c>
      <c r="U325" s="179"/>
      <c r="V325" s="180"/>
      <c r="W325" s="179"/>
      <c r="X325" s="180"/>
      <c r="Y325" s="179"/>
      <c r="Z325" s="179">
        <v>0</v>
      </c>
      <c r="AA325" s="179"/>
      <c r="AB325" s="180"/>
      <c r="AC325" s="180"/>
      <c r="AD325" s="180"/>
      <c r="AE325" s="179"/>
      <c r="AF325" s="256"/>
    </row>
    <row r="326" spans="1:32" s="223" customFormat="1" ht="15" customHeight="1">
      <c r="A326" s="160" t="s">
        <v>474</v>
      </c>
      <c r="B326" s="160" t="s">
        <v>476</v>
      </c>
      <c r="C326" s="27">
        <v>163268</v>
      </c>
      <c r="D326" s="212">
        <v>2</v>
      </c>
      <c r="E326" s="178">
        <f t="shared" si="16"/>
        <v>265482</v>
      </c>
      <c r="F326" s="195">
        <f t="shared" si="17"/>
        <v>269465</v>
      </c>
      <c r="G326" s="189">
        <v>263254</v>
      </c>
      <c r="H326" s="190">
        <v>266931</v>
      </c>
      <c r="I326" s="189">
        <v>2228</v>
      </c>
      <c r="J326" s="190">
        <v>2534</v>
      </c>
      <c r="K326" s="189"/>
      <c r="L326" s="179">
        <v>0</v>
      </c>
      <c r="M326" s="189"/>
      <c r="N326" s="190"/>
      <c r="O326" s="190"/>
      <c r="P326" s="190"/>
      <c r="Q326" s="189"/>
      <c r="R326" s="190"/>
      <c r="S326" s="178">
        <f t="shared" si="18"/>
        <v>23742</v>
      </c>
      <c r="T326" s="195">
        <f t="shared" si="19"/>
        <v>22204</v>
      </c>
      <c r="U326" s="189">
        <v>20547</v>
      </c>
      <c r="V326" s="190">
        <v>18850</v>
      </c>
      <c r="W326" s="189">
        <v>459</v>
      </c>
      <c r="X326" s="190">
        <v>549</v>
      </c>
      <c r="Y326" s="189">
        <v>2655</v>
      </c>
      <c r="Z326" s="179">
        <v>81</v>
      </c>
      <c r="AA326" s="189"/>
      <c r="AB326" s="190">
        <v>2799</v>
      </c>
      <c r="AC326" s="190">
        <v>6</v>
      </c>
      <c r="AD326" s="190"/>
      <c r="AE326" s="189"/>
      <c r="AF326" s="261"/>
    </row>
    <row r="327" spans="1:32" s="223" customFormat="1" ht="15" customHeight="1">
      <c r="A327" s="160" t="s">
        <v>474</v>
      </c>
      <c r="B327" s="160" t="s">
        <v>477</v>
      </c>
      <c r="C327" s="27">
        <v>164076</v>
      </c>
      <c r="D327" s="212">
        <v>3</v>
      </c>
      <c r="E327" s="178">
        <f aca="true" t="shared" si="20" ref="E327:E390">SUM(G327,I327,K327,L327,M327,Q327)</f>
        <v>394610</v>
      </c>
      <c r="F327" s="195">
        <f aca="true" t="shared" si="21" ref="F327:F390">SUM(H327,J327,N327,O327,P327,R327)</f>
        <v>394522</v>
      </c>
      <c r="G327" s="189">
        <v>389651</v>
      </c>
      <c r="H327" s="181">
        <v>389180</v>
      </c>
      <c r="I327" s="189">
        <v>4671</v>
      </c>
      <c r="J327" s="181">
        <v>4466</v>
      </c>
      <c r="K327" s="189">
        <v>288</v>
      </c>
      <c r="L327" s="179">
        <v>0</v>
      </c>
      <c r="M327" s="189"/>
      <c r="N327" s="181">
        <v>807</v>
      </c>
      <c r="O327" s="181">
        <v>69</v>
      </c>
      <c r="P327" s="181"/>
      <c r="Q327" s="189"/>
      <c r="R327" s="181"/>
      <c r="S327" s="178">
        <f aca="true" t="shared" si="22" ref="S327:S390">SUM(U327,W327,Y327,Z327,AA327,AE327)</f>
        <v>41070</v>
      </c>
      <c r="T327" s="195">
        <f aca="true" t="shared" si="23" ref="T327:T390">SUM(V327,X327,AB327,AC327,AD327,AF327)</f>
        <v>44652</v>
      </c>
      <c r="U327" s="189">
        <v>34231</v>
      </c>
      <c r="V327" s="181">
        <v>33579</v>
      </c>
      <c r="W327" s="189">
        <v>6788</v>
      </c>
      <c r="X327" s="181">
        <v>10800</v>
      </c>
      <c r="Y327" s="189">
        <v>51</v>
      </c>
      <c r="Z327" s="179">
        <v>0</v>
      </c>
      <c r="AA327" s="189"/>
      <c r="AB327" s="181">
        <v>273</v>
      </c>
      <c r="AC327" s="181"/>
      <c r="AD327" s="181"/>
      <c r="AE327" s="189"/>
      <c r="AF327" s="262"/>
    </row>
    <row r="328" spans="1:32" s="223" customFormat="1" ht="15" customHeight="1">
      <c r="A328" s="160" t="s">
        <v>474</v>
      </c>
      <c r="B328" s="160" t="s">
        <v>478</v>
      </c>
      <c r="C328" s="27">
        <v>162007</v>
      </c>
      <c r="D328" s="212">
        <v>4</v>
      </c>
      <c r="E328" s="178">
        <f t="shared" si="20"/>
        <v>101392</v>
      </c>
      <c r="F328" s="195">
        <f t="shared" si="21"/>
        <v>0</v>
      </c>
      <c r="G328" s="189">
        <v>97984</v>
      </c>
      <c r="H328" s="181"/>
      <c r="I328" s="189"/>
      <c r="J328" s="181"/>
      <c r="K328" s="189">
        <v>861</v>
      </c>
      <c r="L328" s="179">
        <v>2547</v>
      </c>
      <c r="M328" s="189"/>
      <c r="N328" s="181"/>
      <c r="O328" s="181"/>
      <c r="P328" s="181"/>
      <c r="Q328" s="189"/>
      <c r="R328" s="181"/>
      <c r="S328" s="178">
        <f t="shared" si="22"/>
        <v>20060</v>
      </c>
      <c r="T328" s="195">
        <f t="shared" si="23"/>
        <v>0</v>
      </c>
      <c r="U328" s="189">
        <v>19559</v>
      </c>
      <c r="V328" s="181"/>
      <c r="W328" s="189"/>
      <c r="X328" s="181"/>
      <c r="Y328" s="189">
        <v>501</v>
      </c>
      <c r="Z328" s="179">
        <v>0</v>
      </c>
      <c r="AA328" s="189"/>
      <c r="AB328" s="181"/>
      <c r="AC328" s="181"/>
      <c r="AD328" s="181"/>
      <c r="AE328" s="189"/>
      <c r="AF328" s="262"/>
    </row>
    <row r="329" spans="1:32" s="223" customFormat="1" ht="15" customHeight="1">
      <c r="A329" s="160" t="s">
        <v>474</v>
      </c>
      <c r="B329" s="160" t="s">
        <v>479</v>
      </c>
      <c r="C329" s="27">
        <v>162584</v>
      </c>
      <c r="D329" s="212">
        <v>4</v>
      </c>
      <c r="E329" s="178">
        <f t="shared" si="20"/>
        <v>126853.5</v>
      </c>
      <c r="F329" s="195">
        <f t="shared" si="21"/>
        <v>128351</v>
      </c>
      <c r="G329" s="189">
        <v>122469.5</v>
      </c>
      <c r="H329" s="190">
        <v>123335</v>
      </c>
      <c r="I329" s="189">
        <v>2339</v>
      </c>
      <c r="J329" s="190">
        <v>1660</v>
      </c>
      <c r="K329" s="189">
        <v>1217</v>
      </c>
      <c r="L329" s="179">
        <v>828</v>
      </c>
      <c r="M329" s="189">
        <v>0</v>
      </c>
      <c r="N329" s="190">
        <v>2801</v>
      </c>
      <c r="O329" s="190">
        <v>555</v>
      </c>
      <c r="P329" s="190"/>
      <c r="Q329" s="189">
        <v>0</v>
      </c>
      <c r="R329" s="190"/>
      <c r="S329" s="178">
        <f t="shared" si="22"/>
        <v>13530</v>
      </c>
      <c r="T329" s="195">
        <f t="shared" si="23"/>
        <v>12894</v>
      </c>
      <c r="U329" s="189">
        <v>7403</v>
      </c>
      <c r="V329" s="190">
        <v>7795</v>
      </c>
      <c r="W329" s="189">
        <v>5104</v>
      </c>
      <c r="X329" s="190">
        <v>3929</v>
      </c>
      <c r="Y329" s="189">
        <v>279</v>
      </c>
      <c r="Z329" s="179">
        <v>744</v>
      </c>
      <c r="AA329" s="189">
        <v>0</v>
      </c>
      <c r="AB329" s="190">
        <v>465</v>
      </c>
      <c r="AC329" s="190">
        <v>705</v>
      </c>
      <c r="AD329" s="190"/>
      <c r="AE329" s="189">
        <v>0</v>
      </c>
      <c r="AF329" s="261"/>
    </row>
    <row r="330" spans="1:32" s="223" customFormat="1" ht="15" customHeight="1">
      <c r="A330" s="160" t="s">
        <v>474</v>
      </c>
      <c r="B330" s="160" t="s">
        <v>480</v>
      </c>
      <c r="C330" s="27">
        <v>163453</v>
      </c>
      <c r="D330" s="212">
        <v>4</v>
      </c>
      <c r="E330" s="178">
        <f t="shared" si="20"/>
        <v>255</v>
      </c>
      <c r="F330" s="195">
        <f t="shared" si="21"/>
        <v>0</v>
      </c>
      <c r="G330" s="179">
        <v>255</v>
      </c>
      <c r="H330" s="180"/>
      <c r="I330" s="179">
        <v>0</v>
      </c>
      <c r="J330" s="180"/>
      <c r="K330" s="179">
        <v>0</v>
      </c>
      <c r="L330" s="179">
        <v>0</v>
      </c>
      <c r="M330" s="179">
        <v>0</v>
      </c>
      <c r="N330" s="180"/>
      <c r="O330" s="180"/>
      <c r="P330" s="180"/>
      <c r="Q330" s="179">
        <v>0</v>
      </c>
      <c r="R330" s="180"/>
      <c r="S330" s="178">
        <f t="shared" si="22"/>
        <v>45</v>
      </c>
      <c r="T330" s="195">
        <f t="shared" si="23"/>
        <v>0</v>
      </c>
      <c r="U330" s="179">
        <v>45</v>
      </c>
      <c r="V330" s="180"/>
      <c r="W330" s="179">
        <v>0</v>
      </c>
      <c r="X330" s="180"/>
      <c r="Y330" s="179">
        <v>0</v>
      </c>
      <c r="Z330" s="179">
        <v>0</v>
      </c>
      <c r="AA330" s="179">
        <v>0</v>
      </c>
      <c r="AB330" s="180"/>
      <c r="AC330" s="180"/>
      <c r="AD330" s="180"/>
      <c r="AE330" s="179">
        <v>0</v>
      </c>
      <c r="AF330" s="256"/>
    </row>
    <row r="331" spans="1:32" s="223" customFormat="1" ht="15" customHeight="1">
      <c r="A331" s="160" t="s">
        <v>474</v>
      </c>
      <c r="B331" s="160" t="s">
        <v>481</v>
      </c>
      <c r="C331" s="27">
        <v>163851</v>
      </c>
      <c r="D331" s="212">
        <v>4</v>
      </c>
      <c r="E331" s="178">
        <f t="shared" si="20"/>
        <v>176043</v>
      </c>
      <c r="F331" s="195">
        <f t="shared" si="21"/>
        <v>176516</v>
      </c>
      <c r="G331" s="189">
        <v>175989</v>
      </c>
      <c r="H331" s="181">
        <v>173159</v>
      </c>
      <c r="I331" s="189"/>
      <c r="J331" s="181"/>
      <c r="K331" s="189">
        <v>54</v>
      </c>
      <c r="L331" s="179">
        <v>0</v>
      </c>
      <c r="M331" s="189"/>
      <c r="N331" s="181">
        <v>3357</v>
      </c>
      <c r="O331" s="181"/>
      <c r="P331" s="181"/>
      <c r="Q331" s="189"/>
      <c r="R331" s="181"/>
      <c r="S331" s="178">
        <f t="shared" si="22"/>
        <v>8926</v>
      </c>
      <c r="T331" s="195">
        <f t="shared" si="23"/>
        <v>8799</v>
      </c>
      <c r="U331" s="189">
        <v>8728</v>
      </c>
      <c r="V331" s="181">
        <v>8196</v>
      </c>
      <c r="W331" s="189">
        <v>111</v>
      </c>
      <c r="X331" s="181">
        <v>249</v>
      </c>
      <c r="Y331" s="189">
        <v>87</v>
      </c>
      <c r="Z331" s="179">
        <v>0</v>
      </c>
      <c r="AA331" s="189"/>
      <c r="AB331" s="181">
        <v>354</v>
      </c>
      <c r="AC331" s="181"/>
      <c r="AD331" s="181"/>
      <c r="AE331" s="189"/>
      <c r="AF331" s="262"/>
    </row>
    <row r="332" spans="1:32" s="223" customFormat="1" ht="15" customHeight="1">
      <c r="A332" s="160" t="s">
        <v>474</v>
      </c>
      <c r="B332" s="160" t="s">
        <v>482</v>
      </c>
      <c r="C332" s="27">
        <v>161873</v>
      </c>
      <c r="D332" s="212">
        <v>4</v>
      </c>
      <c r="E332" s="178">
        <f t="shared" si="20"/>
        <v>42314</v>
      </c>
      <c r="F332" s="195">
        <f t="shared" si="21"/>
        <v>41757</v>
      </c>
      <c r="G332" s="189">
        <v>39632</v>
      </c>
      <c r="H332" s="190">
        <v>38439</v>
      </c>
      <c r="I332" s="189">
        <v>669</v>
      </c>
      <c r="J332" s="190">
        <v>352</v>
      </c>
      <c r="K332" s="189">
        <v>2013</v>
      </c>
      <c r="L332" s="179">
        <v>0</v>
      </c>
      <c r="M332" s="189">
        <v>0</v>
      </c>
      <c r="N332" s="190">
        <v>2966</v>
      </c>
      <c r="O332" s="190"/>
      <c r="P332" s="190"/>
      <c r="Q332" s="189">
        <v>0</v>
      </c>
      <c r="R332" s="190"/>
      <c r="S332" s="178">
        <f t="shared" si="22"/>
        <v>51905</v>
      </c>
      <c r="T332" s="195">
        <f t="shared" si="23"/>
        <v>51798</v>
      </c>
      <c r="U332" s="189">
        <v>47174</v>
      </c>
      <c r="V332" s="190">
        <v>46560</v>
      </c>
      <c r="W332" s="189">
        <v>669</v>
      </c>
      <c r="X332" s="190">
        <v>1650</v>
      </c>
      <c r="Y332" s="189">
        <v>4062</v>
      </c>
      <c r="Z332" s="179">
        <v>0</v>
      </c>
      <c r="AA332" s="189"/>
      <c r="AB332" s="190">
        <v>3588</v>
      </c>
      <c r="AC332" s="190"/>
      <c r="AD332" s="190"/>
      <c r="AE332" s="189"/>
      <c r="AF332" s="261"/>
    </row>
    <row r="333" spans="1:32" s="223" customFormat="1" ht="15" customHeight="1">
      <c r="A333" s="160" t="s">
        <v>474</v>
      </c>
      <c r="B333" s="160" t="s">
        <v>483</v>
      </c>
      <c r="C333" s="27">
        <v>163338</v>
      </c>
      <c r="D333" s="212">
        <v>4</v>
      </c>
      <c r="E333" s="178">
        <f t="shared" si="20"/>
        <v>96484</v>
      </c>
      <c r="F333" s="195">
        <f t="shared" si="21"/>
        <v>0</v>
      </c>
      <c r="G333" s="189">
        <v>95114</v>
      </c>
      <c r="H333" s="181"/>
      <c r="I333" s="189">
        <v>890</v>
      </c>
      <c r="J333" s="181"/>
      <c r="K333" s="189">
        <v>480</v>
      </c>
      <c r="L333" s="179">
        <v>0</v>
      </c>
      <c r="M333" s="189">
        <v>0</v>
      </c>
      <c r="N333" s="181"/>
      <c r="O333" s="181"/>
      <c r="P333" s="181"/>
      <c r="Q333" s="189">
        <v>0</v>
      </c>
      <c r="R333" s="181"/>
      <c r="S333" s="178">
        <f t="shared" si="22"/>
        <v>7462</v>
      </c>
      <c r="T333" s="195">
        <f t="shared" si="23"/>
        <v>0</v>
      </c>
      <c r="U333" s="189">
        <v>7216</v>
      </c>
      <c r="V333" s="181"/>
      <c r="W333" s="189">
        <v>246</v>
      </c>
      <c r="X333" s="181"/>
      <c r="Y333" s="189">
        <v>0</v>
      </c>
      <c r="Z333" s="179">
        <v>0</v>
      </c>
      <c r="AA333" s="189">
        <v>0</v>
      </c>
      <c r="AB333" s="181"/>
      <c r="AC333" s="181"/>
      <c r="AD333" s="181"/>
      <c r="AE333" s="189">
        <v>0</v>
      </c>
      <c r="AF333" s="262"/>
    </row>
    <row r="334" spans="1:32" s="223" customFormat="1" ht="15" customHeight="1">
      <c r="A334" s="160" t="s">
        <v>474</v>
      </c>
      <c r="B334" s="160" t="s">
        <v>561</v>
      </c>
      <c r="C334" s="27">
        <v>162283</v>
      </c>
      <c r="D334" s="212">
        <v>5</v>
      </c>
      <c r="E334" s="178">
        <f t="shared" si="20"/>
        <v>0</v>
      </c>
      <c r="F334" s="195">
        <f t="shared" si="21"/>
        <v>0</v>
      </c>
      <c r="G334" s="189"/>
      <c r="H334" s="181"/>
      <c r="I334" s="189"/>
      <c r="J334" s="181"/>
      <c r="K334" s="189"/>
      <c r="L334" s="179">
        <v>0</v>
      </c>
      <c r="M334" s="189"/>
      <c r="N334" s="181"/>
      <c r="O334" s="181"/>
      <c r="P334" s="181"/>
      <c r="Q334" s="189"/>
      <c r="R334" s="181"/>
      <c r="S334" s="178">
        <f t="shared" si="22"/>
        <v>0</v>
      </c>
      <c r="T334" s="195">
        <f t="shared" si="23"/>
        <v>0</v>
      </c>
      <c r="U334" s="189"/>
      <c r="V334" s="181"/>
      <c r="W334" s="189"/>
      <c r="X334" s="181"/>
      <c r="Y334" s="189"/>
      <c r="Z334" s="179">
        <v>0</v>
      </c>
      <c r="AA334" s="189"/>
      <c r="AB334" s="181"/>
      <c r="AC334" s="181"/>
      <c r="AD334" s="181"/>
      <c r="AE334" s="189"/>
      <c r="AF334" s="262"/>
    </row>
    <row r="335" spans="1:32" s="223" customFormat="1" ht="15" customHeight="1">
      <c r="A335" s="160" t="s">
        <v>474</v>
      </c>
      <c r="B335" s="160" t="s">
        <v>484</v>
      </c>
      <c r="C335" s="27">
        <v>163912</v>
      </c>
      <c r="D335" s="212">
        <v>6</v>
      </c>
      <c r="E335" s="178">
        <f t="shared" si="20"/>
        <v>0</v>
      </c>
      <c r="F335" s="195">
        <f t="shared" si="21"/>
        <v>0</v>
      </c>
      <c r="G335" s="179"/>
      <c r="H335" s="180"/>
      <c r="I335" s="179"/>
      <c r="J335" s="180"/>
      <c r="K335" s="179"/>
      <c r="L335" s="179">
        <v>0</v>
      </c>
      <c r="M335" s="179"/>
      <c r="N335" s="180"/>
      <c r="O335" s="180"/>
      <c r="P335" s="180"/>
      <c r="Q335" s="179"/>
      <c r="R335" s="180"/>
      <c r="S335" s="178">
        <f t="shared" si="22"/>
        <v>0</v>
      </c>
      <c r="T335" s="195">
        <f t="shared" si="23"/>
        <v>0</v>
      </c>
      <c r="U335" s="179"/>
      <c r="V335" s="180"/>
      <c r="W335" s="179"/>
      <c r="X335" s="180"/>
      <c r="Y335" s="179"/>
      <c r="Z335" s="179">
        <v>0</v>
      </c>
      <c r="AA335" s="179"/>
      <c r="AB335" s="180"/>
      <c r="AC335" s="180"/>
      <c r="AD335" s="180"/>
      <c r="AE335" s="179"/>
      <c r="AF335" s="256"/>
    </row>
    <row r="336" spans="1:32" s="223" customFormat="1" ht="15" customHeight="1">
      <c r="A336" s="160" t="s">
        <v>474</v>
      </c>
      <c r="B336" s="160" t="s">
        <v>485</v>
      </c>
      <c r="C336" s="27">
        <v>161767</v>
      </c>
      <c r="D336" s="212">
        <v>8</v>
      </c>
      <c r="E336" s="178">
        <f t="shared" si="20"/>
        <v>244324</v>
      </c>
      <c r="F336" s="195">
        <f t="shared" si="21"/>
        <v>0</v>
      </c>
      <c r="G336" s="179">
        <v>197350</v>
      </c>
      <c r="H336" s="180"/>
      <c r="I336" s="179">
        <v>22002</v>
      </c>
      <c r="J336" s="180"/>
      <c r="K336" s="179">
        <v>17906</v>
      </c>
      <c r="L336" s="179">
        <v>7066</v>
      </c>
      <c r="M336" s="179">
        <v>0</v>
      </c>
      <c r="N336" s="180"/>
      <c r="O336" s="180"/>
      <c r="P336" s="180"/>
      <c r="Q336" s="179">
        <v>0</v>
      </c>
      <c r="R336" s="180"/>
      <c r="S336" s="178">
        <f t="shared" si="22"/>
        <v>0</v>
      </c>
      <c r="T336" s="195">
        <f t="shared" si="23"/>
        <v>0</v>
      </c>
      <c r="U336" s="179"/>
      <c r="V336" s="180"/>
      <c r="W336" s="179"/>
      <c r="X336" s="180"/>
      <c r="Y336" s="179"/>
      <c r="Z336" s="179">
        <v>0</v>
      </c>
      <c r="AA336" s="179"/>
      <c r="AB336" s="180"/>
      <c r="AC336" s="180"/>
      <c r="AD336" s="180"/>
      <c r="AE336" s="179"/>
      <c r="AF336" s="256"/>
    </row>
    <row r="337" spans="1:32" s="223" customFormat="1" ht="15" customHeight="1">
      <c r="A337" s="160" t="s">
        <v>474</v>
      </c>
      <c r="B337" s="160" t="s">
        <v>486</v>
      </c>
      <c r="C337" s="29"/>
      <c r="D337" s="212">
        <v>8</v>
      </c>
      <c r="E337" s="178">
        <f t="shared" si="20"/>
        <v>346665</v>
      </c>
      <c r="F337" s="195">
        <f t="shared" si="21"/>
        <v>358985</v>
      </c>
      <c r="G337" s="179">
        <v>329723</v>
      </c>
      <c r="H337" s="180">
        <v>334223</v>
      </c>
      <c r="I337" s="179">
        <v>1101</v>
      </c>
      <c r="J337" s="180">
        <v>3388</v>
      </c>
      <c r="K337" s="179">
        <v>15841</v>
      </c>
      <c r="L337" s="179">
        <v>0</v>
      </c>
      <c r="M337" s="182" t="s">
        <v>487</v>
      </c>
      <c r="N337" s="232">
        <v>21374</v>
      </c>
      <c r="O337" s="191">
        <v>0</v>
      </c>
      <c r="P337" s="191" t="s">
        <v>487</v>
      </c>
      <c r="Q337" s="182" t="s">
        <v>487</v>
      </c>
      <c r="R337" s="191"/>
      <c r="S337" s="178">
        <f t="shared" si="22"/>
        <v>0</v>
      </c>
      <c r="T337" s="195">
        <f t="shared" si="23"/>
        <v>0</v>
      </c>
      <c r="U337" s="179" t="s">
        <v>487</v>
      </c>
      <c r="V337" s="180"/>
      <c r="W337" s="179" t="s">
        <v>487</v>
      </c>
      <c r="X337" s="180"/>
      <c r="Y337" s="179" t="s">
        <v>487</v>
      </c>
      <c r="Z337" s="179">
        <v>0</v>
      </c>
      <c r="AA337" s="182" t="s">
        <v>487</v>
      </c>
      <c r="AB337" s="191"/>
      <c r="AC337" s="191"/>
      <c r="AD337" s="191"/>
      <c r="AE337" s="192" t="s">
        <v>487</v>
      </c>
      <c r="AF337" s="263"/>
    </row>
    <row r="338" spans="1:32" s="223" customFormat="1" ht="15" customHeight="1">
      <c r="A338" s="160" t="s">
        <v>474</v>
      </c>
      <c r="B338" s="160" t="s">
        <v>488</v>
      </c>
      <c r="C338" s="27">
        <v>163426</v>
      </c>
      <c r="D338" s="212">
        <v>8</v>
      </c>
      <c r="E338" s="178">
        <f t="shared" si="20"/>
        <v>394245</v>
      </c>
      <c r="F338" s="195">
        <f t="shared" si="21"/>
        <v>423327</v>
      </c>
      <c r="G338" s="179">
        <v>377836</v>
      </c>
      <c r="H338" s="180">
        <v>402422</v>
      </c>
      <c r="I338" s="179">
        <v>2353</v>
      </c>
      <c r="J338" s="180">
        <v>3143</v>
      </c>
      <c r="K338" s="179">
        <v>14056</v>
      </c>
      <c r="L338" s="179">
        <v>0</v>
      </c>
      <c r="M338" s="179">
        <v>0</v>
      </c>
      <c r="N338" s="181">
        <v>17762</v>
      </c>
      <c r="O338" s="180"/>
      <c r="P338" s="180"/>
      <c r="Q338" s="179">
        <v>0</v>
      </c>
      <c r="R338" s="180"/>
      <c r="S338" s="178">
        <f t="shared" si="22"/>
        <v>0</v>
      </c>
      <c r="T338" s="195">
        <f t="shared" si="23"/>
        <v>0</v>
      </c>
      <c r="U338" s="179"/>
      <c r="V338" s="180"/>
      <c r="W338" s="179"/>
      <c r="X338" s="180"/>
      <c r="Y338" s="179"/>
      <c r="Z338" s="179">
        <v>0</v>
      </c>
      <c r="AA338" s="179"/>
      <c r="AB338" s="180"/>
      <c r="AC338" s="180"/>
      <c r="AD338" s="180"/>
      <c r="AE338" s="179"/>
      <c r="AF338" s="256"/>
    </row>
    <row r="339" spans="1:32" s="223" customFormat="1" ht="15" customHeight="1">
      <c r="A339" s="160" t="s">
        <v>474</v>
      </c>
      <c r="B339" s="160" t="s">
        <v>489</v>
      </c>
      <c r="C339" s="27">
        <v>163657</v>
      </c>
      <c r="D339" s="212">
        <v>8</v>
      </c>
      <c r="E339" s="178">
        <f t="shared" si="20"/>
        <v>221472</v>
      </c>
      <c r="F339" s="195">
        <f t="shared" si="21"/>
        <v>0</v>
      </c>
      <c r="G339" s="179">
        <v>202560</v>
      </c>
      <c r="H339" s="180"/>
      <c r="I339" s="179"/>
      <c r="J339" s="180"/>
      <c r="K339" s="179">
        <v>16896</v>
      </c>
      <c r="L339" s="179">
        <v>2016</v>
      </c>
      <c r="M339" s="179"/>
      <c r="N339" s="180"/>
      <c r="O339" s="180"/>
      <c r="P339" s="180"/>
      <c r="Q339" s="179"/>
      <c r="R339" s="180"/>
      <c r="S339" s="178">
        <f t="shared" si="22"/>
        <v>0</v>
      </c>
      <c r="T339" s="195">
        <f t="shared" si="23"/>
        <v>0</v>
      </c>
      <c r="U339" s="179"/>
      <c r="V339" s="180"/>
      <c r="W339" s="179"/>
      <c r="X339" s="180"/>
      <c r="Y339" s="179"/>
      <c r="Z339" s="179">
        <v>0</v>
      </c>
      <c r="AA339" s="179"/>
      <c r="AB339" s="180"/>
      <c r="AC339" s="180"/>
      <c r="AD339" s="180"/>
      <c r="AE339" s="179"/>
      <c r="AF339" s="256"/>
    </row>
    <row r="340" spans="1:32" s="223" customFormat="1" ht="15" customHeight="1">
      <c r="A340" s="160" t="s">
        <v>474</v>
      </c>
      <c r="B340" s="160" t="s">
        <v>490</v>
      </c>
      <c r="C340" s="27">
        <v>161864</v>
      </c>
      <c r="D340" s="212">
        <v>9</v>
      </c>
      <c r="E340" s="178">
        <f t="shared" si="20"/>
        <v>135499</v>
      </c>
      <c r="F340" s="195">
        <f t="shared" si="21"/>
        <v>127315</v>
      </c>
      <c r="G340" s="179">
        <v>127354</v>
      </c>
      <c r="H340" s="180">
        <v>110826</v>
      </c>
      <c r="I340" s="179"/>
      <c r="J340" s="180">
        <v>8512</v>
      </c>
      <c r="K340" s="179">
        <v>8145</v>
      </c>
      <c r="L340" s="179">
        <v>0</v>
      </c>
      <c r="M340" s="179"/>
      <c r="N340" s="180">
        <v>7977</v>
      </c>
      <c r="O340" s="180"/>
      <c r="P340" s="180"/>
      <c r="Q340" s="179"/>
      <c r="R340" s="180"/>
      <c r="S340" s="178">
        <f t="shared" si="22"/>
        <v>0</v>
      </c>
      <c r="T340" s="195">
        <f t="shared" si="23"/>
        <v>0</v>
      </c>
      <c r="U340" s="179"/>
      <c r="V340" s="180"/>
      <c r="W340" s="179"/>
      <c r="X340" s="180"/>
      <c r="Y340" s="179"/>
      <c r="Z340" s="179">
        <v>0</v>
      </c>
      <c r="AA340" s="179"/>
      <c r="AB340" s="180"/>
      <c r="AC340" s="180"/>
      <c r="AD340" s="180"/>
      <c r="AE340" s="179"/>
      <c r="AF340" s="256"/>
    </row>
    <row r="341" spans="1:32" s="223" customFormat="1" ht="15" customHeight="1">
      <c r="A341" s="160" t="s">
        <v>474</v>
      </c>
      <c r="B341" s="160" t="s">
        <v>491</v>
      </c>
      <c r="C341" s="27">
        <v>162122</v>
      </c>
      <c r="D341" s="212">
        <v>9</v>
      </c>
      <c r="E341" s="178">
        <f t="shared" si="20"/>
        <v>114722</v>
      </c>
      <c r="F341" s="195">
        <f t="shared" si="21"/>
        <v>140758</v>
      </c>
      <c r="G341" s="179">
        <v>96077</v>
      </c>
      <c r="H341" s="180">
        <v>117366</v>
      </c>
      <c r="I341" s="179">
        <v>6722</v>
      </c>
      <c r="J341" s="180">
        <v>9030</v>
      </c>
      <c r="K341" s="179">
        <v>7554</v>
      </c>
      <c r="L341" s="179">
        <v>929</v>
      </c>
      <c r="M341" s="179">
        <v>3440</v>
      </c>
      <c r="N341" s="180">
        <v>9299</v>
      </c>
      <c r="O341" s="180">
        <v>1621</v>
      </c>
      <c r="P341" s="180">
        <v>3442</v>
      </c>
      <c r="Q341" s="179"/>
      <c r="R341" s="180"/>
      <c r="S341" s="178">
        <f t="shared" si="22"/>
        <v>0</v>
      </c>
      <c r="T341" s="195">
        <f t="shared" si="23"/>
        <v>0</v>
      </c>
      <c r="U341" s="179"/>
      <c r="V341" s="180"/>
      <c r="W341" s="179"/>
      <c r="X341" s="180"/>
      <c r="Y341" s="179"/>
      <c r="Z341" s="179">
        <v>0</v>
      </c>
      <c r="AA341" s="179"/>
      <c r="AB341" s="180"/>
      <c r="AC341" s="180"/>
      <c r="AD341" s="180"/>
      <c r="AE341" s="179"/>
      <c r="AF341" s="256"/>
    </row>
    <row r="342" spans="1:32" s="223" customFormat="1" ht="15" customHeight="1">
      <c r="A342" s="160" t="s">
        <v>474</v>
      </c>
      <c r="B342" s="160" t="s">
        <v>492</v>
      </c>
      <c r="C342" s="27">
        <v>162557</v>
      </c>
      <c r="D342" s="212">
        <v>9</v>
      </c>
      <c r="E342" s="178">
        <f t="shared" si="20"/>
        <v>82654</v>
      </c>
      <c r="F342" s="195">
        <f t="shared" si="21"/>
        <v>84857</v>
      </c>
      <c r="G342" s="179">
        <v>72056</v>
      </c>
      <c r="H342" s="180">
        <v>74397</v>
      </c>
      <c r="I342" s="179"/>
      <c r="J342" s="180">
        <v>4825</v>
      </c>
      <c r="K342" s="179"/>
      <c r="L342" s="179">
        <v>10598</v>
      </c>
      <c r="M342" s="179"/>
      <c r="N342" s="180">
        <v>4504</v>
      </c>
      <c r="O342" s="180">
        <v>105</v>
      </c>
      <c r="P342" s="180">
        <v>1026</v>
      </c>
      <c r="Q342" s="179"/>
      <c r="R342" s="180"/>
      <c r="S342" s="178">
        <f t="shared" si="22"/>
        <v>0</v>
      </c>
      <c r="T342" s="195">
        <f t="shared" si="23"/>
        <v>0</v>
      </c>
      <c r="U342" s="179"/>
      <c r="V342" s="180"/>
      <c r="W342" s="179"/>
      <c r="X342" s="180"/>
      <c r="Y342" s="179"/>
      <c r="Z342" s="179">
        <v>0</v>
      </c>
      <c r="AA342" s="179"/>
      <c r="AB342" s="180"/>
      <c r="AC342" s="180"/>
      <c r="AD342" s="180"/>
      <c r="AE342" s="179"/>
      <c r="AF342" s="256"/>
    </row>
    <row r="343" spans="1:32" s="223" customFormat="1" ht="15" customHeight="1">
      <c r="A343" s="160" t="s">
        <v>474</v>
      </c>
      <c r="B343" s="160" t="s">
        <v>493</v>
      </c>
      <c r="C343" s="27">
        <v>162706</v>
      </c>
      <c r="D343" s="212">
        <v>9</v>
      </c>
      <c r="E343" s="178">
        <f t="shared" si="20"/>
        <v>95171</v>
      </c>
      <c r="F343" s="195">
        <f t="shared" si="21"/>
        <v>96467</v>
      </c>
      <c r="G343" s="179">
        <v>85914</v>
      </c>
      <c r="H343" s="180">
        <v>85522</v>
      </c>
      <c r="I343" s="179">
        <v>3030</v>
      </c>
      <c r="J343" s="180">
        <v>2545</v>
      </c>
      <c r="K343" s="179">
        <v>5908</v>
      </c>
      <c r="L343" s="179">
        <v>0</v>
      </c>
      <c r="M343" s="179">
        <v>319</v>
      </c>
      <c r="N343" s="180">
        <v>7905</v>
      </c>
      <c r="O343" s="180">
        <v>0</v>
      </c>
      <c r="P343" s="180">
        <v>495</v>
      </c>
      <c r="Q343" s="179">
        <v>0</v>
      </c>
      <c r="R343" s="180"/>
      <c r="S343" s="178">
        <f t="shared" si="22"/>
        <v>0</v>
      </c>
      <c r="T343" s="195">
        <f t="shared" si="23"/>
        <v>0</v>
      </c>
      <c r="U343" s="179"/>
      <c r="V343" s="180"/>
      <c r="W343" s="179"/>
      <c r="X343" s="180"/>
      <c r="Y343" s="179"/>
      <c r="Z343" s="179">
        <v>0</v>
      </c>
      <c r="AA343" s="179"/>
      <c r="AB343" s="180"/>
      <c r="AC343" s="180"/>
      <c r="AD343" s="180"/>
      <c r="AE343" s="179"/>
      <c r="AF343" s="256"/>
    </row>
    <row r="344" spans="1:32" s="223" customFormat="1" ht="15" customHeight="1">
      <c r="A344" s="160" t="s">
        <v>474</v>
      </c>
      <c r="B344" s="160" t="s">
        <v>494</v>
      </c>
      <c r="C344" s="27">
        <v>162779</v>
      </c>
      <c r="D344" s="212">
        <v>9</v>
      </c>
      <c r="E344" s="178">
        <f t="shared" si="20"/>
        <v>109480</v>
      </c>
      <c r="F344" s="195">
        <f t="shared" si="21"/>
        <v>113312</v>
      </c>
      <c r="G344" s="179">
        <v>99342</v>
      </c>
      <c r="H344" s="180">
        <v>103111</v>
      </c>
      <c r="I344" s="179">
        <v>2312</v>
      </c>
      <c r="J344" s="180">
        <v>2423</v>
      </c>
      <c r="K344" s="179">
        <v>6638</v>
      </c>
      <c r="L344" s="179">
        <v>189</v>
      </c>
      <c r="M344" s="179">
        <v>999</v>
      </c>
      <c r="N344" s="180">
        <v>6665</v>
      </c>
      <c r="O344" s="180">
        <v>186</v>
      </c>
      <c r="P344" s="180">
        <v>927</v>
      </c>
      <c r="Q344" s="179">
        <v>0</v>
      </c>
      <c r="R344" s="180"/>
      <c r="S344" s="178">
        <f t="shared" si="22"/>
        <v>0</v>
      </c>
      <c r="T344" s="195">
        <f t="shared" si="23"/>
        <v>0</v>
      </c>
      <c r="U344" s="179"/>
      <c r="V344" s="180"/>
      <c r="W344" s="179"/>
      <c r="X344" s="180"/>
      <c r="Y344" s="179"/>
      <c r="Z344" s="179">
        <v>0</v>
      </c>
      <c r="AA344" s="179"/>
      <c r="AB344" s="180"/>
      <c r="AC344" s="180"/>
      <c r="AD344" s="180"/>
      <c r="AE344" s="179"/>
      <c r="AF344" s="256"/>
    </row>
    <row r="345" spans="1:32" s="223" customFormat="1" ht="15" customHeight="1">
      <c r="A345" s="160" t="s">
        <v>474</v>
      </c>
      <c r="B345" s="160" t="s">
        <v>495</v>
      </c>
      <c r="C345" s="27">
        <v>161688</v>
      </c>
      <c r="D345" s="212">
        <v>10</v>
      </c>
      <c r="E345" s="178">
        <f t="shared" si="20"/>
        <v>70477</v>
      </c>
      <c r="F345" s="195">
        <f t="shared" si="21"/>
        <v>74082</v>
      </c>
      <c r="G345" s="179">
        <v>50518</v>
      </c>
      <c r="H345" s="180">
        <v>50904</v>
      </c>
      <c r="I345" s="179">
        <v>16280</v>
      </c>
      <c r="J345" s="180">
        <v>18952</v>
      </c>
      <c r="K345" s="179">
        <v>931</v>
      </c>
      <c r="L345" s="179">
        <v>1659</v>
      </c>
      <c r="M345" s="179">
        <v>1089</v>
      </c>
      <c r="N345" s="180">
        <v>1650</v>
      </c>
      <c r="O345" s="180">
        <v>1619</v>
      </c>
      <c r="P345" s="180">
        <v>957</v>
      </c>
      <c r="Q345" s="179">
        <v>0</v>
      </c>
      <c r="R345" s="180"/>
      <c r="S345" s="178">
        <f t="shared" si="22"/>
        <v>0</v>
      </c>
      <c r="T345" s="195">
        <f t="shared" si="23"/>
        <v>0</v>
      </c>
      <c r="U345" s="179"/>
      <c r="V345" s="180"/>
      <c r="W345" s="179"/>
      <c r="X345" s="180"/>
      <c r="Y345" s="179"/>
      <c r="Z345" s="179">
        <v>0</v>
      </c>
      <c r="AA345" s="179"/>
      <c r="AB345" s="180"/>
      <c r="AC345" s="180"/>
      <c r="AD345" s="180"/>
      <c r="AE345" s="179"/>
      <c r="AF345" s="256"/>
    </row>
    <row r="346" spans="1:32" s="223" customFormat="1" ht="15" customHeight="1">
      <c r="A346" s="160" t="s">
        <v>474</v>
      </c>
      <c r="B346" s="160" t="s">
        <v>496</v>
      </c>
      <c r="C346" s="27">
        <v>405872</v>
      </c>
      <c r="D346" s="212">
        <v>10</v>
      </c>
      <c r="E346" s="178">
        <f t="shared" si="20"/>
        <v>54125</v>
      </c>
      <c r="F346" s="195">
        <f t="shared" si="21"/>
        <v>87585</v>
      </c>
      <c r="G346" s="179">
        <v>50563</v>
      </c>
      <c r="H346" s="180">
        <v>83235</v>
      </c>
      <c r="I346" s="179">
        <v>126</v>
      </c>
      <c r="J346" s="180">
        <v>461</v>
      </c>
      <c r="K346" s="179">
        <v>3124</v>
      </c>
      <c r="L346" s="179">
        <v>21</v>
      </c>
      <c r="M346" s="179">
        <v>291</v>
      </c>
      <c r="N346" s="180">
        <v>3433</v>
      </c>
      <c r="O346" s="180">
        <v>186</v>
      </c>
      <c r="P346" s="180">
        <v>270</v>
      </c>
      <c r="Q346" s="179">
        <v>0</v>
      </c>
      <c r="R346" s="180"/>
      <c r="S346" s="178">
        <f t="shared" si="22"/>
        <v>0</v>
      </c>
      <c r="T346" s="195">
        <f t="shared" si="23"/>
        <v>0</v>
      </c>
      <c r="U346" s="179"/>
      <c r="V346" s="180"/>
      <c r="W346" s="179"/>
      <c r="X346" s="180"/>
      <c r="Y346" s="179"/>
      <c r="Z346" s="179">
        <v>0</v>
      </c>
      <c r="AA346" s="179"/>
      <c r="AB346" s="180"/>
      <c r="AC346" s="180"/>
      <c r="AD346" s="180"/>
      <c r="AE346" s="179"/>
      <c r="AF346" s="256"/>
    </row>
    <row r="347" spans="1:32" s="223" customFormat="1" ht="15" customHeight="1">
      <c r="A347" s="160" t="s">
        <v>474</v>
      </c>
      <c r="B347" s="160" t="s">
        <v>497</v>
      </c>
      <c r="C347" s="27">
        <v>162104</v>
      </c>
      <c r="D347" s="212">
        <v>10</v>
      </c>
      <c r="E347" s="178">
        <f t="shared" si="20"/>
        <v>29718</v>
      </c>
      <c r="F347" s="195">
        <f t="shared" si="21"/>
        <v>32121</v>
      </c>
      <c r="G347" s="179">
        <v>27980</v>
      </c>
      <c r="H347" s="180">
        <v>29620</v>
      </c>
      <c r="I347" s="179">
        <v>835</v>
      </c>
      <c r="J347" s="180">
        <v>827</v>
      </c>
      <c r="K347" s="179">
        <v>777</v>
      </c>
      <c r="L347" s="179">
        <v>0</v>
      </c>
      <c r="M347" s="179">
        <v>0</v>
      </c>
      <c r="N347" s="180">
        <v>1150</v>
      </c>
      <c r="O347" s="180">
        <v>0</v>
      </c>
      <c r="P347" s="180">
        <v>180</v>
      </c>
      <c r="Q347" s="179">
        <v>126</v>
      </c>
      <c r="R347" s="180">
        <v>344</v>
      </c>
      <c r="S347" s="178">
        <f t="shared" si="22"/>
        <v>0</v>
      </c>
      <c r="T347" s="195">
        <f t="shared" si="23"/>
        <v>0</v>
      </c>
      <c r="U347" s="179"/>
      <c r="V347" s="180"/>
      <c r="W347" s="179"/>
      <c r="X347" s="180"/>
      <c r="Y347" s="179"/>
      <c r="Z347" s="179">
        <v>0</v>
      </c>
      <c r="AA347" s="179"/>
      <c r="AB347" s="180"/>
      <c r="AC347" s="180"/>
      <c r="AD347" s="180"/>
      <c r="AE347" s="179"/>
      <c r="AF347" s="256"/>
    </row>
    <row r="348" spans="1:32" s="223" customFormat="1" ht="15" customHeight="1">
      <c r="A348" s="160" t="s">
        <v>474</v>
      </c>
      <c r="B348" s="160" t="s">
        <v>498</v>
      </c>
      <c r="C348" s="27">
        <v>162168</v>
      </c>
      <c r="D348" s="212">
        <v>10</v>
      </c>
      <c r="E348" s="178">
        <f t="shared" si="20"/>
        <v>41125</v>
      </c>
      <c r="F348" s="195">
        <f t="shared" si="21"/>
        <v>42504</v>
      </c>
      <c r="G348" s="189">
        <v>28151</v>
      </c>
      <c r="H348" s="190">
        <v>30217</v>
      </c>
      <c r="I348" s="189">
        <v>7392</v>
      </c>
      <c r="J348" s="190">
        <v>8149</v>
      </c>
      <c r="K348" s="189">
        <v>1939</v>
      </c>
      <c r="L348" s="179">
        <v>3011</v>
      </c>
      <c r="M348" s="189">
        <v>632</v>
      </c>
      <c r="N348" s="190">
        <v>2443</v>
      </c>
      <c r="O348" s="190"/>
      <c r="P348" s="190">
        <v>1266</v>
      </c>
      <c r="Q348" s="189">
        <v>0</v>
      </c>
      <c r="R348" s="190">
        <v>429</v>
      </c>
      <c r="S348" s="178">
        <f t="shared" si="22"/>
        <v>0</v>
      </c>
      <c r="T348" s="195">
        <f t="shared" si="23"/>
        <v>0</v>
      </c>
      <c r="U348" s="189"/>
      <c r="V348" s="190"/>
      <c r="W348" s="189"/>
      <c r="X348" s="190"/>
      <c r="Y348" s="189"/>
      <c r="Z348" s="179">
        <v>0</v>
      </c>
      <c r="AA348" s="189"/>
      <c r="AB348" s="190"/>
      <c r="AC348" s="190"/>
      <c r="AD348" s="190"/>
      <c r="AE348" s="189"/>
      <c r="AF348" s="261"/>
    </row>
    <row r="349" spans="1:32" s="223" customFormat="1" ht="15" customHeight="1">
      <c r="A349" s="160" t="s">
        <v>474</v>
      </c>
      <c r="B349" s="160" t="s">
        <v>499</v>
      </c>
      <c r="C349" s="27">
        <v>162609</v>
      </c>
      <c r="D349" s="212">
        <v>10</v>
      </c>
      <c r="E349" s="178">
        <f t="shared" si="20"/>
        <v>13403</v>
      </c>
      <c r="F349" s="195">
        <f t="shared" si="21"/>
        <v>13359</v>
      </c>
      <c r="G349" s="179">
        <v>11614</v>
      </c>
      <c r="H349" s="180">
        <v>11224</v>
      </c>
      <c r="I349" s="179">
        <v>803</v>
      </c>
      <c r="J349" s="180">
        <v>918</v>
      </c>
      <c r="K349" s="179">
        <v>550</v>
      </c>
      <c r="L349" s="179">
        <v>436</v>
      </c>
      <c r="M349" s="179">
        <v>0</v>
      </c>
      <c r="N349" s="180">
        <v>831</v>
      </c>
      <c r="O349" s="180">
        <v>386</v>
      </c>
      <c r="P349" s="180">
        <v>0</v>
      </c>
      <c r="Q349" s="179">
        <v>0</v>
      </c>
      <c r="R349" s="180"/>
      <c r="S349" s="178">
        <f t="shared" si="22"/>
        <v>0</v>
      </c>
      <c r="T349" s="195">
        <f t="shared" si="23"/>
        <v>0</v>
      </c>
      <c r="U349" s="179"/>
      <c r="V349" s="180"/>
      <c r="W349" s="179"/>
      <c r="X349" s="180"/>
      <c r="Y349" s="179"/>
      <c r="Z349" s="179">
        <v>0</v>
      </c>
      <c r="AA349" s="179"/>
      <c r="AB349" s="180"/>
      <c r="AC349" s="180"/>
      <c r="AD349" s="180"/>
      <c r="AE349" s="179"/>
      <c r="AF349" s="256"/>
    </row>
    <row r="350" spans="1:32" s="223" customFormat="1" ht="15" customHeight="1">
      <c r="A350" s="160" t="s">
        <v>474</v>
      </c>
      <c r="B350" s="160" t="s">
        <v>500</v>
      </c>
      <c r="C350" s="27">
        <v>162690</v>
      </c>
      <c r="D350" s="212">
        <v>10</v>
      </c>
      <c r="E350" s="178">
        <f t="shared" si="20"/>
        <v>46160</v>
      </c>
      <c r="F350" s="195">
        <f t="shared" si="21"/>
        <v>61764</v>
      </c>
      <c r="G350" s="179">
        <v>42967</v>
      </c>
      <c r="H350" s="180">
        <v>57379</v>
      </c>
      <c r="I350" s="179">
        <v>999</v>
      </c>
      <c r="J350" s="180">
        <v>1927</v>
      </c>
      <c r="K350" s="179">
        <v>1587</v>
      </c>
      <c r="L350" s="179">
        <v>0</v>
      </c>
      <c r="M350" s="179">
        <v>473</v>
      </c>
      <c r="N350" s="180">
        <v>1867</v>
      </c>
      <c r="O350" s="180">
        <v>94</v>
      </c>
      <c r="P350" s="180">
        <v>344</v>
      </c>
      <c r="Q350" s="179">
        <v>134</v>
      </c>
      <c r="R350" s="180">
        <v>153</v>
      </c>
      <c r="S350" s="178">
        <f t="shared" si="22"/>
        <v>0</v>
      </c>
      <c r="T350" s="195">
        <f t="shared" si="23"/>
        <v>0</v>
      </c>
      <c r="U350" s="179"/>
      <c r="V350" s="180"/>
      <c r="W350" s="179"/>
      <c r="X350" s="180"/>
      <c r="Y350" s="179"/>
      <c r="Z350" s="179">
        <v>0</v>
      </c>
      <c r="AA350" s="179"/>
      <c r="AB350" s="180"/>
      <c r="AC350" s="180"/>
      <c r="AD350" s="180"/>
      <c r="AE350" s="179"/>
      <c r="AF350" s="256"/>
    </row>
    <row r="351" spans="1:32" s="223" customFormat="1" ht="15" customHeight="1">
      <c r="A351" s="160" t="s">
        <v>474</v>
      </c>
      <c r="B351" s="160" t="s">
        <v>501</v>
      </c>
      <c r="C351" s="27">
        <v>164313</v>
      </c>
      <c r="D351" s="212">
        <v>10</v>
      </c>
      <c r="E351" s="178">
        <f t="shared" si="20"/>
        <v>55685</v>
      </c>
      <c r="F351" s="195">
        <f t="shared" si="21"/>
        <v>55318</v>
      </c>
      <c r="G351" s="179">
        <v>52120</v>
      </c>
      <c r="H351" s="180">
        <v>51337</v>
      </c>
      <c r="I351" s="179">
        <v>635</v>
      </c>
      <c r="J351" s="180">
        <v>707</v>
      </c>
      <c r="K351" s="179">
        <v>1997</v>
      </c>
      <c r="L351" s="179">
        <v>90</v>
      </c>
      <c r="M351" s="179">
        <v>843</v>
      </c>
      <c r="N351" s="180">
        <v>2585</v>
      </c>
      <c r="O351" s="180">
        <v>168</v>
      </c>
      <c r="P351" s="180">
        <v>521</v>
      </c>
      <c r="Q351" s="179">
        <v>0</v>
      </c>
      <c r="R351" s="180"/>
      <c r="S351" s="178">
        <f t="shared" si="22"/>
        <v>0</v>
      </c>
      <c r="T351" s="195">
        <f t="shared" si="23"/>
        <v>0</v>
      </c>
      <c r="U351" s="179"/>
      <c r="V351" s="180"/>
      <c r="W351" s="179"/>
      <c r="X351" s="180"/>
      <c r="Y351" s="179"/>
      <c r="Z351" s="179">
        <v>0</v>
      </c>
      <c r="AA351" s="179"/>
      <c r="AB351" s="180"/>
      <c r="AC351" s="180"/>
      <c r="AD351" s="180"/>
      <c r="AE351" s="179"/>
      <c r="AF351" s="256"/>
    </row>
    <row r="352" spans="1:32" s="223" customFormat="1" ht="15" customHeight="1">
      <c r="A352" s="160" t="s">
        <v>474</v>
      </c>
      <c r="B352" s="160" t="s">
        <v>562</v>
      </c>
      <c r="C352" s="27">
        <v>163204</v>
      </c>
      <c r="D352" s="212">
        <v>15</v>
      </c>
      <c r="E352" s="178">
        <f t="shared" si="20"/>
        <v>285397</v>
      </c>
      <c r="F352" s="195">
        <f t="shared" si="21"/>
        <v>307832</v>
      </c>
      <c r="G352" s="193"/>
      <c r="H352" s="194"/>
      <c r="I352" s="193">
        <v>85481</v>
      </c>
      <c r="J352" s="194">
        <v>80107</v>
      </c>
      <c r="K352" s="193">
        <v>199916</v>
      </c>
      <c r="L352" s="179">
        <v>0</v>
      </c>
      <c r="M352" s="193"/>
      <c r="N352" s="194">
        <v>227725</v>
      </c>
      <c r="O352" s="194"/>
      <c r="P352" s="194"/>
      <c r="Q352" s="193"/>
      <c r="R352" s="194"/>
      <c r="S352" s="178">
        <f t="shared" si="22"/>
        <v>81625</v>
      </c>
      <c r="T352" s="195">
        <f t="shared" si="23"/>
        <v>92615</v>
      </c>
      <c r="U352" s="193"/>
      <c r="V352" s="194"/>
      <c r="W352" s="193">
        <v>16334</v>
      </c>
      <c r="X352" s="194">
        <v>16267</v>
      </c>
      <c r="Y352" s="193">
        <v>65291</v>
      </c>
      <c r="Z352" s="179">
        <v>0</v>
      </c>
      <c r="AA352" s="193"/>
      <c r="AB352" s="194">
        <v>76348</v>
      </c>
      <c r="AC352" s="194"/>
      <c r="AD352" s="194"/>
      <c r="AE352" s="193"/>
      <c r="AF352" s="264"/>
    </row>
    <row r="353" spans="1:32" s="224" customFormat="1" ht="15" customHeight="1">
      <c r="A353" s="161" t="s">
        <v>83</v>
      </c>
      <c r="B353" s="161" t="s">
        <v>86</v>
      </c>
      <c r="C353" s="141">
        <v>176372</v>
      </c>
      <c r="D353" s="213">
        <v>1</v>
      </c>
      <c r="E353" s="178">
        <f t="shared" si="20"/>
        <v>339484</v>
      </c>
      <c r="F353" s="195">
        <f t="shared" si="21"/>
        <v>345447.5</v>
      </c>
      <c r="G353" s="196">
        <v>280513</v>
      </c>
      <c r="H353" s="197">
        <v>279899</v>
      </c>
      <c r="I353" s="182">
        <v>36745</v>
      </c>
      <c r="J353" s="197">
        <v>39630.5</v>
      </c>
      <c r="K353" s="182">
        <v>18509</v>
      </c>
      <c r="L353" s="179">
        <v>2402</v>
      </c>
      <c r="M353" s="182">
        <v>150</v>
      </c>
      <c r="N353" s="198">
        <v>21648</v>
      </c>
      <c r="O353" s="198">
        <v>3168</v>
      </c>
      <c r="P353" s="198">
        <v>21</v>
      </c>
      <c r="Q353" s="196">
        <v>1165</v>
      </c>
      <c r="R353" s="198">
        <v>1081</v>
      </c>
      <c r="S353" s="178">
        <f t="shared" si="22"/>
        <v>58052</v>
      </c>
      <c r="T353" s="195">
        <f t="shared" si="23"/>
        <v>61360.5</v>
      </c>
      <c r="U353" s="196">
        <v>43170</v>
      </c>
      <c r="V353" s="197">
        <v>45417.5</v>
      </c>
      <c r="W353" s="196">
        <v>8775</v>
      </c>
      <c r="X353" s="198">
        <v>9297</v>
      </c>
      <c r="Y353" s="196">
        <v>4762</v>
      </c>
      <c r="Z353" s="179">
        <v>1233</v>
      </c>
      <c r="AA353" s="196">
        <v>108</v>
      </c>
      <c r="AB353" s="198">
        <v>4972</v>
      </c>
      <c r="AC353" s="198">
        <v>1639</v>
      </c>
      <c r="AD353" s="199"/>
      <c r="AE353" s="196">
        <v>4</v>
      </c>
      <c r="AF353" s="265">
        <v>35</v>
      </c>
    </row>
    <row r="354" spans="1:32" s="223" customFormat="1" ht="15" customHeight="1">
      <c r="A354" s="161" t="s">
        <v>83</v>
      </c>
      <c r="B354" s="161" t="s">
        <v>84</v>
      </c>
      <c r="C354" s="141">
        <v>176080</v>
      </c>
      <c r="D354" s="213">
        <v>2</v>
      </c>
      <c r="E354" s="178">
        <f t="shared" si="20"/>
        <v>358263</v>
      </c>
      <c r="F354" s="195">
        <f t="shared" si="21"/>
        <v>348372</v>
      </c>
      <c r="G354" s="182">
        <v>333267</v>
      </c>
      <c r="H354" s="197">
        <v>324121</v>
      </c>
      <c r="I354" s="182">
        <v>13224</v>
      </c>
      <c r="J354" s="197">
        <v>12488</v>
      </c>
      <c r="K354" s="182">
        <v>5480</v>
      </c>
      <c r="L354" s="179">
        <v>2964</v>
      </c>
      <c r="M354" s="182">
        <v>30</v>
      </c>
      <c r="N354" s="198">
        <v>7952</v>
      </c>
      <c r="O354" s="198">
        <v>609</v>
      </c>
      <c r="P354" s="198">
        <v>3202</v>
      </c>
      <c r="Q354" s="182">
        <v>3298</v>
      </c>
      <c r="R354" s="227">
        <v>0</v>
      </c>
      <c r="S354" s="178">
        <f t="shared" si="22"/>
        <v>53639</v>
      </c>
      <c r="T354" s="195">
        <f t="shared" si="23"/>
        <v>57939</v>
      </c>
      <c r="U354" s="182">
        <v>45419</v>
      </c>
      <c r="V354" s="197">
        <v>45632</v>
      </c>
      <c r="W354" s="182">
        <v>3013</v>
      </c>
      <c r="X354" s="198">
        <v>4780</v>
      </c>
      <c r="Y354" s="182">
        <v>3115</v>
      </c>
      <c r="Z354" s="179">
        <v>1339</v>
      </c>
      <c r="AA354" s="182">
        <v>753</v>
      </c>
      <c r="AB354" s="198">
        <v>5116</v>
      </c>
      <c r="AC354" s="198">
        <v>316</v>
      </c>
      <c r="AD354" s="198">
        <v>2095</v>
      </c>
      <c r="AE354" s="182"/>
      <c r="AF354" s="266"/>
    </row>
    <row r="355" spans="1:32" s="224" customFormat="1" ht="15" customHeight="1">
      <c r="A355" s="161" t="s">
        <v>83</v>
      </c>
      <c r="B355" s="161" t="s">
        <v>85</v>
      </c>
      <c r="C355" s="141">
        <v>176017</v>
      </c>
      <c r="D355" s="213">
        <v>2</v>
      </c>
      <c r="E355" s="178">
        <f t="shared" si="20"/>
        <v>335170</v>
      </c>
      <c r="F355" s="195">
        <f t="shared" si="21"/>
        <v>338187</v>
      </c>
      <c r="G355" s="196">
        <v>314426</v>
      </c>
      <c r="H355" s="197">
        <v>309690</v>
      </c>
      <c r="I355" s="182">
        <v>9267</v>
      </c>
      <c r="J355" s="197">
        <v>11474</v>
      </c>
      <c r="K355" s="182">
        <v>5973</v>
      </c>
      <c r="L355" s="179">
        <v>3505</v>
      </c>
      <c r="M355" s="182"/>
      <c r="N355" s="198">
        <v>9018</v>
      </c>
      <c r="O355" s="198">
        <v>5788</v>
      </c>
      <c r="P355" s="199"/>
      <c r="Q355" s="196">
        <v>1999</v>
      </c>
      <c r="R355" s="227">
        <v>2217</v>
      </c>
      <c r="S355" s="178">
        <f t="shared" si="22"/>
        <v>57033</v>
      </c>
      <c r="T355" s="195">
        <f t="shared" si="23"/>
        <v>60134</v>
      </c>
      <c r="U355" s="196">
        <v>52281</v>
      </c>
      <c r="V355" s="197">
        <v>54432</v>
      </c>
      <c r="W355" s="196">
        <v>3919</v>
      </c>
      <c r="X355" s="198">
        <v>4547</v>
      </c>
      <c r="Y355" s="196">
        <v>597</v>
      </c>
      <c r="Z355" s="179">
        <v>236</v>
      </c>
      <c r="AA355" s="196"/>
      <c r="AB355" s="198">
        <v>828</v>
      </c>
      <c r="AC355" s="198">
        <v>327</v>
      </c>
      <c r="AD355" s="199"/>
      <c r="AE355" s="196"/>
      <c r="AF355" s="266"/>
    </row>
    <row r="356" spans="1:32" s="223" customFormat="1" ht="15" customHeight="1">
      <c r="A356" s="161" t="s">
        <v>83</v>
      </c>
      <c r="B356" s="161" t="s">
        <v>87</v>
      </c>
      <c r="C356" s="141">
        <v>175856</v>
      </c>
      <c r="D356" s="213">
        <v>3</v>
      </c>
      <c r="E356" s="178">
        <f t="shared" si="20"/>
        <v>164401</v>
      </c>
      <c r="F356" s="195">
        <f t="shared" si="21"/>
        <v>165524</v>
      </c>
      <c r="G356" s="182">
        <v>156780</v>
      </c>
      <c r="H356" s="427">
        <v>157243</v>
      </c>
      <c r="I356" s="182">
        <v>6604</v>
      </c>
      <c r="J356" s="427">
        <v>5097</v>
      </c>
      <c r="K356" s="182">
        <v>1017</v>
      </c>
      <c r="L356" s="179">
        <v>0</v>
      </c>
      <c r="M356" s="182"/>
      <c r="N356" s="428">
        <v>690</v>
      </c>
      <c r="O356" s="428">
        <v>2420</v>
      </c>
      <c r="P356" s="428">
        <v>74</v>
      </c>
      <c r="Q356" s="182"/>
      <c r="R356" s="199"/>
      <c r="S356" s="178">
        <f t="shared" si="22"/>
        <v>22195</v>
      </c>
      <c r="T356" s="195">
        <f t="shared" si="23"/>
        <v>25650</v>
      </c>
      <c r="U356" s="182">
        <v>16756</v>
      </c>
      <c r="V356" s="427">
        <v>20750</v>
      </c>
      <c r="W356" s="182">
        <v>5373</v>
      </c>
      <c r="X356" s="428">
        <v>4178</v>
      </c>
      <c r="Y356" s="182">
        <v>66</v>
      </c>
      <c r="Z356" s="179">
        <v>0</v>
      </c>
      <c r="AA356" s="182"/>
      <c r="AB356" s="428">
        <v>135</v>
      </c>
      <c r="AC356" s="428">
        <v>585</v>
      </c>
      <c r="AD356" s="428">
        <v>2</v>
      </c>
      <c r="AE356" s="182"/>
      <c r="AF356" s="266"/>
    </row>
    <row r="357" spans="1:32" s="223" customFormat="1" ht="15" customHeight="1">
      <c r="A357" s="161" t="s">
        <v>83</v>
      </c>
      <c r="B357" s="161" t="s">
        <v>88</v>
      </c>
      <c r="C357" s="141">
        <v>175342</v>
      </c>
      <c r="D357" s="213">
        <v>4</v>
      </c>
      <c r="E357" s="178">
        <f t="shared" si="20"/>
        <v>80867</v>
      </c>
      <c r="F357" s="195">
        <f t="shared" si="21"/>
        <v>80854</v>
      </c>
      <c r="G357" s="182">
        <v>80277</v>
      </c>
      <c r="H357" s="200">
        <v>80118</v>
      </c>
      <c r="I357" s="182"/>
      <c r="J357" s="200"/>
      <c r="K357" s="182"/>
      <c r="L357" s="179">
        <v>542</v>
      </c>
      <c r="M357" s="182">
        <v>48</v>
      </c>
      <c r="N357" s="199">
        <v>180</v>
      </c>
      <c r="O357" s="199"/>
      <c r="P357" s="199">
        <v>556</v>
      </c>
      <c r="Q357" s="182"/>
      <c r="R357" s="199"/>
      <c r="S357" s="178">
        <f t="shared" si="22"/>
        <v>9653</v>
      </c>
      <c r="T357" s="195">
        <f t="shared" si="23"/>
        <v>10652</v>
      </c>
      <c r="U357" s="182">
        <v>8755</v>
      </c>
      <c r="V357" s="200">
        <v>10198</v>
      </c>
      <c r="W357" s="182"/>
      <c r="X357" s="199"/>
      <c r="Y357" s="182">
        <v>898</v>
      </c>
      <c r="Z357" s="179">
        <v>0</v>
      </c>
      <c r="AA357" s="182"/>
      <c r="AB357" s="199">
        <v>399</v>
      </c>
      <c r="AC357" s="199"/>
      <c r="AD357" s="199">
        <v>55</v>
      </c>
      <c r="AE357" s="182"/>
      <c r="AF357" s="266"/>
    </row>
    <row r="358" spans="1:32" s="223" customFormat="1" ht="15" customHeight="1">
      <c r="A358" s="161" t="s">
        <v>83</v>
      </c>
      <c r="B358" s="161" t="s">
        <v>89</v>
      </c>
      <c r="C358" s="141">
        <v>175616</v>
      </c>
      <c r="D358" s="213">
        <v>4</v>
      </c>
      <c r="E358" s="178">
        <f t="shared" si="20"/>
        <v>85693</v>
      </c>
      <c r="F358" s="195">
        <f t="shared" si="21"/>
        <v>84780</v>
      </c>
      <c r="G358" s="182">
        <v>82388</v>
      </c>
      <c r="H358" s="200">
        <v>80386</v>
      </c>
      <c r="I358" s="182">
        <v>2231</v>
      </c>
      <c r="J358" s="200">
        <v>1436</v>
      </c>
      <c r="K358" s="182">
        <v>702</v>
      </c>
      <c r="L358" s="179">
        <v>0</v>
      </c>
      <c r="M358" s="182"/>
      <c r="N358" s="199">
        <v>2217</v>
      </c>
      <c r="O358" s="199">
        <v>21</v>
      </c>
      <c r="P358" s="199">
        <v>720</v>
      </c>
      <c r="Q358" s="182">
        <v>372</v>
      </c>
      <c r="R358" s="227">
        <v>0</v>
      </c>
      <c r="S358" s="178">
        <f t="shared" si="22"/>
        <v>11164</v>
      </c>
      <c r="T358" s="195">
        <f t="shared" si="23"/>
        <v>13199</v>
      </c>
      <c r="U358" s="182">
        <v>9682</v>
      </c>
      <c r="V358" s="200">
        <v>10549</v>
      </c>
      <c r="W358" s="182">
        <v>693</v>
      </c>
      <c r="X358" s="199">
        <v>1185</v>
      </c>
      <c r="Y358" s="182">
        <v>771</v>
      </c>
      <c r="Z358" s="179">
        <v>0</v>
      </c>
      <c r="AA358" s="182"/>
      <c r="AB358" s="199">
        <v>1321</v>
      </c>
      <c r="AC358" s="199">
        <v>48</v>
      </c>
      <c r="AD358" s="199">
        <v>96</v>
      </c>
      <c r="AE358" s="182">
        <v>18</v>
      </c>
      <c r="AF358" s="266"/>
    </row>
    <row r="359" spans="1:32" s="223" customFormat="1" ht="15" customHeight="1">
      <c r="A359" s="162" t="s">
        <v>83</v>
      </c>
      <c r="B359" s="162" t="s">
        <v>90</v>
      </c>
      <c r="C359" s="32">
        <v>176035</v>
      </c>
      <c r="D359" s="207">
        <v>5</v>
      </c>
      <c r="E359" s="178">
        <f t="shared" si="20"/>
        <v>53525</v>
      </c>
      <c r="F359" s="195">
        <f t="shared" si="21"/>
        <v>55539</v>
      </c>
      <c r="G359" s="182">
        <v>51959</v>
      </c>
      <c r="H359" s="197">
        <v>53008</v>
      </c>
      <c r="I359" s="182"/>
      <c r="J359" s="197">
        <v>674</v>
      </c>
      <c r="K359" s="182">
        <v>1566</v>
      </c>
      <c r="L359" s="179">
        <v>0</v>
      </c>
      <c r="M359" s="182"/>
      <c r="N359" s="198">
        <v>1857</v>
      </c>
      <c r="O359" s="199"/>
      <c r="P359" s="199"/>
      <c r="Q359" s="182"/>
      <c r="R359" s="199"/>
      <c r="S359" s="178">
        <f t="shared" si="22"/>
        <v>2765</v>
      </c>
      <c r="T359" s="195">
        <f t="shared" si="23"/>
        <v>3179</v>
      </c>
      <c r="U359" s="182">
        <v>2636</v>
      </c>
      <c r="V359" s="197">
        <v>2993</v>
      </c>
      <c r="W359" s="182"/>
      <c r="X359" s="199"/>
      <c r="Y359" s="182">
        <v>129</v>
      </c>
      <c r="Z359" s="179">
        <v>0</v>
      </c>
      <c r="AA359" s="182"/>
      <c r="AB359" s="198">
        <v>186</v>
      </c>
      <c r="AC359" s="199"/>
      <c r="AD359" s="199"/>
      <c r="AE359" s="182"/>
      <c r="AF359" s="266"/>
    </row>
    <row r="360" spans="1:32" s="223" customFormat="1" ht="15" customHeight="1">
      <c r="A360" s="162" t="s">
        <v>83</v>
      </c>
      <c r="B360" s="162" t="s">
        <v>91</v>
      </c>
      <c r="C360" s="32">
        <v>176044</v>
      </c>
      <c r="D360" s="207">
        <v>5</v>
      </c>
      <c r="E360" s="178">
        <f t="shared" si="20"/>
        <v>94648</v>
      </c>
      <c r="F360" s="195">
        <f t="shared" si="21"/>
        <v>91357</v>
      </c>
      <c r="G360" s="182">
        <v>90107</v>
      </c>
      <c r="H360" s="197">
        <v>85626</v>
      </c>
      <c r="I360" s="182">
        <v>2931</v>
      </c>
      <c r="J360" s="197">
        <v>3920</v>
      </c>
      <c r="K360" s="182"/>
      <c r="L360" s="179">
        <v>0</v>
      </c>
      <c r="M360" s="182"/>
      <c r="N360" s="199"/>
      <c r="O360" s="199"/>
      <c r="P360" s="198">
        <v>563</v>
      </c>
      <c r="Q360" s="182">
        <v>1610</v>
      </c>
      <c r="R360" s="198">
        <v>1248</v>
      </c>
      <c r="S360" s="178">
        <f t="shared" si="22"/>
        <v>8606</v>
      </c>
      <c r="T360" s="195">
        <f t="shared" si="23"/>
        <v>9179</v>
      </c>
      <c r="U360" s="182">
        <v>4390</v>
      </c>
      <c r="V360" s="197">
        <v>4361</v>
      </c>
      <c r="W360" s="182">
        <v>4216</v>
      </c>
      <c r="X360" s="198">
        <v>4548</v>
      </c>
      <c r="Y360" s="182"/>
      <c r="Z360" s="179">
        <v>0</v>
      </c>
      <c r="AA360" s="182"/>
      <c r="AB360" s="199"/>
      <c r="AC360" s="199"/>
      <c r="AD360" s="198">
        <v>270</v>
      </c>
      <c r="AE360" s="182"/>
      <c r="AF360" s="266"/>
    </row>
    <row r="361" spans="1:32" s="223" customFormat="1" ht="15" customHeight="1">
      <c r="A361" s="163" t="s">
        <v>83</v>
      </c>
      <c r="B361" s="163" t="s">
        <v>502</v>
      </c>
      <c r="C361" s="30">
        <v>175786</v>
      </c>
      <c r="D361" s="208">
        <v>8</v>
      </c>
      <c r="E361" s="178">
        <f t="shared" si="20"/>
        <v>248034</v>
      </c>
      <c r="F361" s="195">
        <f t="shared" si="21"/>
        <v>246188</v>
      </c>
      <c r="G361" s="179">
        <v>234503</v>
      </c>
      <c r="H361" s="180">
        <v>227771</v>
      </c>
      <c r="I361" s="179"/>
      <c r="J361" s="180"/>
      <c r="K361" s="179">
        <v>13531</v>
      </c>
      <c r="L361" s="179">
        <v>0</v>
      </c>
      <c r="M361" s="179"/>
      <c r="N361" s="180">
        <v>18417</v>
      </c>
      <c r="O361" s="180"/>
      <c r="P361" s="180"/>
      <c r="Q361" s="179"/>
      <c r="R361" s="180"/>
      <c r="S361" s="178">
        <f t="shared" si="22"/>
        <v>0</v>
      </c>
      <c r="T361" s="195">
        <f t="shared" si="23"/>
        <v>0</v>
      </c>
      <c r="U361" s="179"/>
      <c r="V361" s="180"/>
      <c r="W361" s="179"/>
      <c r="X361" s="180"/>
      <c r="Y361" s="179"/>
      <c r="Z361" s="179">
        <v>0</v>
      </c>
      <c r="AA361" s="179"/>
      <c r="AB361" s="180"/>
      <c r="AC361" s="180"/>
      <c r="AD361" s="180"/>
      <c r="AE361" s="179"/>
      <c r="AF361" s="256"/>
    </row>
    <row r="362" spans="1:32" s="223" customFormat="1" ht="15" customHeight="1">
      <c r="A362" s="163" t="s">
        <v>83</v>
      </c>
      <c r="B362" s="163" t="s">
        <v>503</v>
      </c>
      <c r="C362" s="30">
        <v>176071</v>
      </c>
      <c r="D362" s="208">
        <v>8</v>
      </c>
      <c r="E362" s="178">
        <f t="shared" si="20"/>
        <v>238239</v>
      </c>
      <c r="F362" s="195">
        <f t="shared" si="21"/>
        <v>246821</v>
      </c>
      <c r="G362" s="179">
        <v>220900</v>
      </c>
      <c r="H362" s="180">
        <v>224401</v>
      </c>
      <c r="I362" s="179"/>
      <c r="J362" s="180"/>
      <c r="K362" s="179">
        <v>17339</v>
      </c>
      <c r="L362" s="179">
        <v>0</v>
      </c>
      <c r="M362" s="179"/>
      <c r="N362" s="180">
        <v>22420</v>
      </c>
      <c r="O362" s="180"/>
      <c r="P362" s="180"/>
      <c r="Q362" s="179"/>
      <c r="R362" s="180"/>
      <c r="S362" s="178">
        <f t="shared" si="22"/>
        <v>0</v>
      </c>
      <c r="T362" s="195">
        <f t="shared" si="23"/>
        <v>0</v>
      </c>
      <c r="U362" s="179"/>
      <c r="V362" s="180"/>
      <c r="W362" s="179"/>
      <c r="X362" s="180"/>
      <c r="Y362" s="179"/>
      <c r="Z362" s="179">
        <v>0</v>
      </c>
      <c r="AA362" s="179"/>
      <c r="AB362" s="180"/>
      <c r="AC362" s="180"/>
      <c r="AD362" s="180"/>
      <c r="AE362" s="179"/>
      <c r="AF362" s="256"/>
    </row>
    <row r="363" spans="1:32" s="223" customFormat="1" ht="15" customHeight="1">
      <c r="A363" s="163" t="s">
        <v>83</v>
      </c>
      <c r="B363" s="163" t="s">
        <v>504</v>
      </c>
      <c r="C363" s="30">
        <v>175573</v>
      </c>
      <c r="D363" s="208">
        <v>9</v>
      </c>
      <c r="E363" s="178">
        <f t="shared" si="20"/>
        <v>81948</v>
      </c>
      <c r="F363" s="195">
        <f t="shared" si="21"/>
        <v>80178</v>
      </c>
      <c r="G363" s="179">
        <v>77477</v>
      </c>
      <c r="H363" s="180">
        <v>72550</v>
      </c>
      <c r="I363" s="179"/>
      <c r="J363" s="180"/>
      <c r="K363" s="179">
        <v>4471</v>
      </c>
      <c r="L363" s="179">
        <v>0</v>
      </c>
      <c r="M363" s="179"/>
      <c r="N363" s="180">
        <v>7628</v>
      </c>
      <c r="O363" s="180"/>
      <c r="P363" s="180"/>
      <c r="Q363" s="179"/>
      <c r="R363" s="180"/>
      <c r="S363" s="178">
        <f t="shared" si="22"/>
        <v>0</v>
      </c>
      <c r="T363" s="195">
        <f t="shared" si="23"/>
        <v>0</v>
      </c>
      <c r="U363" s="179"/>
      <c r="V363" s="180"/>
      <c r="W363" s="179"/>
      <c r="X363" s="180"/>
      <c r="Y363" s="179"/>
      <c r="Z363" s="179">
        <v>0</v>
      </c>
      <c r="AA363" s="179"/>
      <c r="AB363" s="180"/>
      <c r="AC363" s="180"/>
      <c r="AD363" s="180"/>
      <c r="AE363" s="179"/>
      <c r="AF363" s="256"/>
    </row>
    <row r="364" spans="1:32" s="223" customFormat="1" ht="15" customHeight="1">
      <c r="A364" s="163" t="s">
        <v>83</v>
      </c>
      <c r="B364" s="163" t="s">
        <v>515</v>
      </c>
      <c r="C364" s="30">
        <v>175643</v>
      </c>
      <c r="D364" s="208">
        <v>9</v>
      </c>
      <c r="E364" s="178">
        <f t="shared" si="20"/>
        <v>65702</v>
      </c>
      <c r="F364" s="195">
        <f t="shared" si="21"/>
        <v>66985</v>
      </c>
      <c r="G364" s="179">
        <v>61625</v>
      </c>
      <c r="H364" s="180">
        <v>62715</v>
      </c>
      <c r="I364" s="179"/>
      <c r="J364" s="180"/>
      <c r="K364" s="179">
        <v>4077</v>
      </c>
      <c r="L364" s="179">
        <v>0</v>
      </c>
      <c r="M364" s="179"/>
      <c r="N364" s="180">
        <v>4270</v>
      </c>
      <c r="O364" s="180"/>
      <c r="P364" s="180"/>
      <c r="Q364" s="179"/>
      <c r="R364" s="180"/>
      <c r="S364" s="178">
        <f t="shared" si="22"/>
        <v>0</v>
      </c>
      <c r="T364" s="195">
        <f t="shared" si="23"/>
        <v>0</v>
      </c>
      <c r="U364" s="179"/>
      <c r="V364" s="180"/>
      <c r="W364" s="179"/>
      <c r="X364" s="180"/>
      <c r="Y364" s="179"/>
      <c r="Z364" s="179">
        <v>0</v>
      </c>
      <c r="AA364" s="179"/>
      <c r="AB364" s="180"/>
      <c r="AC364" s="180"/>
      <c r="AD364" s="180"/>
      <c r="AE364" s="179"/>
      <c r="AF364" s="256"/>
    </row>
    <row r="365" spans="1:32" s="223" customFormat="1" ht="15" customHeight="1">
      <c r="A365" s="163" t="s">
        <v>83</v>
      </c>
      <c r="B365" s="163" t="s">
        <v>505</v>
      </c>
      <c r="C365" s="30">
        <v>175652</v>
      </c>
      <c r="D365" s="208">
        <v>9</v>
      </c>
      <c r="E365" s="178">
        <f t="shared" si="20"/>
        <v>98405</v>
      </c>
      <c r="F365" s="195">
        <f t="shared" si="21"/>
        <v>107548</v>
      </c>
      <c r="G365" s="179">
        <v>86582</v>
      </c>
      <c r="H365" s="180">
        <v>92554</v>
      </c>
      <c r="I365" s="179"/>
      <c r="J365" s="180"/>
      <c r="K365" s="179">
        <v>11823</v>
      </c>
      <c r="L365" s="179">
        <v>0</v>
      </c>
      <c r="M365" s="179"/>
      <c r="N365" s="180">
        <v>14994</v>
      </c>
      <c r="O365" s="180"/>
      <c r="P365" s="180"/>
      <c r="Q365" s="179"/>
      <c r="R365" s="180"/>
      <c r="S365" s="178">
        <f t="shared" si="22"/>
        <v>0</v>
      </c>
      <c r="T365" s="195">
        <f t="shared" si="23"/>
        <v>0</v>
      </c>
      <c r="U365" s="179"/>
      <c r="V365" s="180"/>
      <c r="W365" s="179"/>
      <c r="X365" s="180"/>
      <c r="Y365" s="179"/>
      <c r="Z365" s="179">
        <v>0</v>
      </c>
      <c r="AA365" s="179"/>
      <c r="AB365" s="180"/>
      <c r="AC365" s="180"/>
      <c r="AD365" s="180"/>
      <c r="AE365" s="179"/>
      <c r="AF365" s="256"/>
    </row>
    <row r="366" spans="1:32" s="223" customFormat="1" ht="15" customHeight="1">
      <c r="A366" s="163" t="s">
        <v>83</v>
      </c>
      <c r="B366" s="163" t="s">
        <v>506</v>
      </c>
      <c r="C366" s="30">
        <v>175810</v>
      </c>
      <c r="D366" s="208">
        <v>9</v>
      </c>
      <c r="E366" s="178">
        <f t="shared" si="20"/>
        <v>98338</v>
      </c>
      <c r="F366" s="195">
        <f t="shared" si="21"/>
        <v>110485</v>
      </c>
      <c r="G366" s="179">
        <v>94765</v>
      </c>
      <c r="H366" s="180">
        <v>99592</v>
      </c>
      <c r="I366" s="179"/>
      <c r="J366" s="180"/>
      <c r="K366" s="179">
        <v>3573</v>
      </c>
      <c r="L366" s="179">
        <v>0</v>
      </c>
      <c r="M366" s="179"/>
      <c r="N366" s="180">
        <v>10893</v>
      </c>
      <c r="O366" s="180"/>
      <c r="P366" s="180"/>
      <c r="Q366" s="179"/>
      <c r="R366" s="180"/>
      <c r="S366" s="178">
        <f t="shared" si="22"/>
        <v>0</v>
      </c>
      <c r="T366" s="195">
        <f t="shared" si="23"/>
        <v>0</v>
      </c>
      <c r="U366" s="179"/>
      <c r="V366" s="180"/>
      <c r="W366" s="179"/>
      <c r="X366" s="180"/>
      <c r="Y366" s="179"/>
      <c r="Z366" s="179">
        <v>0</v>
      </c>
      <c r="AA366" s="179"/>
      <c r="AB366" s="180"/>
      <c r="AC366" s="180"/>
      <c r="AD366" s="180"/>
      <c r="AE366" s="179"/>
      <c r="AF366" s="256"/>
    </row>
    <row r="367" spans="1:32" s="223" customFormat="1" ht="15" customHeight="1">
      <c r="A367" s="163" t="s">
        <v>83</v>
      </c>
      <c r="B367" s="163" t="s">
        <v>507</v>
      </c>
      <c r="C367" s="30">
        <v>175829</v>
      </c>
      <c r="D367" s="208">
        <v>9</v>
      </c>
      <c r="E367" s="178">
        <f t="shared" si="20"/>
        <v>112070</v>
      </c>
      <c r="F367" s="195">
        <f t="shared" si="21"/>
        <v>117477</v>
      </c>
      <c r="G367" s="179">
        <v>98461</v>
      </c>
      <c r="H367" s="180">
        <v>100297</v>
      </c>
      <c r="I367" s="179"/>
      <c r="J367" s="180"/>
      <c r="K367" s="179">
        <v>13609</v>
      </c>
      <c r="L367" s="179">
        <v>0</v>
      </c>
      <c r="M367" s="179"/>
      <c r="N367" s="180">
        <v>17180</v>
      </c>
      <c r="O367" s="180"/>
      <c r="P367" s="180"/>
      <c r="Q367" s="179"/>
      <c r="R367" s="180"/>
      <c r="S367" s="178">
        <f t="shared" si="22"/>
        <v>0</v>
      </c>
      <c r="T367" s="195">
        <f t="shared" si="23"/>
        <v>0</v>
      </c>
      <c r="U367" s="179"/>
      <c r="V367" s="180"/>
      <c r="W367" s="179"/>
      <c r="X367" s="180"/>
      <c r="Y367" s="179"/>
      <c r="Z367" s="179">
        <v>0</v>
      </c>
      <c r="AA367" s="179"/>
      <c r="AB367" s="180"/>
      <c r="AC367" s="180"/>
      <c r="AD367" s="180"/>
      <c r="AE367" s="179"/>
      <c r="AF367" s="256"/>
    </row>
    <row r="368" spans="1:32" s="223" customFormat="1" ht="15" customHeight="1">
      <c r="A368" s="163" t="s">
        <v>83</v>
      </c>
      <c r="B368" s="163" t="s">
        <v>508</v>
      </c>
      <c r="C368" s="30">
        <v>175883</v>
      </c>
      <c r="D368" s="208">
        <v>9</v>
      </c>
      <c r="E368" s="178">
        <f t="shared" si="20"/>
        <v>139934</v>
      </c>
      <c r="F368" s="195">
        <f t="shared" si="21"/>
        <v>137582</v>
      </c>
      <c r="G368" s="179">
        <v>139934</v>
      </c>
      <c r="H368" s="180">
        <v>137582</v>
      </c>
      <c r="I368" s="179"/>
      <c r="J368" s="180"/>
      <c r="K368" s="179">
        <v>0</v>
      </c>
      <c r="L368" s="179">
        <v>0</v>
      </c>
      <c r="M368" s="179"/>
      <c r="N368" s="180">
        <v>0</v>
      </c>
      <c r="O368" s="180"/>
      <c r="P368" s="180"/>
      <c r="Q368" s="179"/>
      <c r="R368" s="180"/>
      <c r="S368" s="178">
        <f t="shared" si="22"/>
        <v>0</v>
      </c>
      <c r="T368" s="195">
        <f t="shared" si="23"/>
        <v>0</v>
      </c>
      <c r="U368" s="179"/>
      <c r="V368" s="180"/>
      <c r="W368" s="179"/>
      <c r="X368" s="180"/>
      <c r="Y368" s="179"/>
      <c r="Z368" s="179">
        <v>0</v>
      </c>
      <c r="AA368" s="179"/>
      <c r="AB368" s="180"/>
      <c r="AC368" s="180"/>
      <c r="AD368" s="180"/>
      <c r="AE368" s="179"/>
      <c r="AF368" s="256"/>
    </row>
    <row r="369" spans="1:32" s="223" customFormat="1" ht="15" customHeight="1">
      <c r="A369" s="163" t="s">
        <v>83</v>
      </c>
      <c r="B369" s="163" t="s">
        <v>509</v>
      </c>
      <c r="C369" s="30">
        <v>175935</v>
      </c>
      <c r="D369" s="208">
        <v>9</v>
      </c>
      <c r="E369" s="178">
        <f t="shared" si="20"/>
        <v>87949</v>
      </c>
      <c r="F369" s="195">
        <f t="shared" si="21"/>
        <v>89528</v>
      </c>
      <c r="G369" s="179">
        <v>83716</v>
      </c>
      <c r="H369" s="180">
        <v>84812</v>
      </c>
      <c r="I369" s="179"/>
      <c r="J369" s="180"/>
      <c r="K369" s="179">
        <v>4233</v>
      </c>
      <c r="L369" s="179">
        <v>0</v>
      </c>
      <c r="M369" s="179"/>
      <c r="N369" s="180">
        <v>4716</v>
      </c>
      <c r="O369" s="180"/>
      <c r="P369" s="180"/>
      <c r="Q369" s="179"/>
      <c r="R369" s="180"/>
      <c r="S369" s="178">
        <f t="shared" si="22"/>
        <v>0</v>
      </c>
      <c r="T369" s="195">
        <f t="shared" si="23"/>
        <v>0</v>
      </c>
      <c r="U369" s="179"/>
      <c r="V369" s="180"/>
      <c r="W369" s="179"/>
      <c r="X369" s="180"/>
      <c r="Y369" s="179"/>
      <c r="Z369" s="179">
        <v>0</v>
      </c>
      <c r="AA369" s="179"/>
      <c r="AB369" s="180"/>
      <c r="AC369" s="180"/>
      <c r="AD369" s="180"/>
      <c r="AE369" s="179"/>
      <c r="AF369" s="256"/>
    </row>
    <row r="370" spans="1:32" s="223" customFormat="1" ht="15" customHeight="1">
      <c r="A370" s="163" t="s">
        <v>83</v>
      </c>
      <c r="B370" s="163" t="s">
        <v>510</v>
      </c>
      <c r="C370" s="30">
        <v>176008</v>
      </c>
      <c r="D370" s="208">
        <v>9</v>
      </c>
      <c r="E370" s="178">
        <f t="shared" si="20"/>
        <v>87521</v>
      </c>
      <c r="F370" s="195">
        <f t="shared" si="21"/>
        <v>82829</v>
      </c>
      <c r="G370" s="179">
        <v>80355</v>
      </c>
      <c r="H370" s="180">
        <v>75865</v>
      </c>
      <c r="I370" s="179"/>
      <c r="J370" s="180"/>
      <c r="K370" s="179">
        <v>7166</v>
      </c>
      <c r="L370" s="179">
        <v>0</v>
      </c>
      <c r="M370" s="179"/>
      <c r="N370" s="180">
        <v>6964</v>
      </c>
      <c r="O370" s="180"/>
      <c r="P370" s="180"/>
      <c r="Q370" s="179"/>
      <c r="R370" s="180"/>
      <c r="S370" s="178">
        <f t="shared" si="22"/>
        <v>0</v>
      </c>
      <c r="T370" s="195">
        <f t="shared" si="23"/>
        <v>0</v>
      </c>
      <c r="U370" s="179"/>
      <c r="V370" s="180"/>
      <c r="W370" s="179"/>
      <c r="X370" s="180"/>
      <c r="Y370" s="179"/>
      <c r="Z370" s="179">
        <v>0</v>
      </c>
      <c r="AA370" s="179"/>
      <c r="AB370" s="180"/>
      <c r="AC370" s="180"/>
      <c r="AD370" s="180"/>
      <c r="AE370" s="179"/>
      <c r="AF370" s="256"/>
    </row>
    <row r="371" spans="1:32" s="223" customFormat="1" ht="15" customHeight="1">
      <c r="A371" s="163" t="s">
        <v>83</v>
      </c>
      <c r="B371" s="163" t="s">
        <v>511</v>
      </c>
      <c r="C371" s="30">
        <v>176169</v>
      </c>
      <c r="D371" s="208">
        <v>9</v>
      </c>
      <c r="E371" s="178">
        <f t="shared" si="20"/>
        <v>89977</v>
      </c>
      <c r="F371" s="195">
        <f t="shared" si="21"/>
        <v>88810</v>
      </c>
      <c r="G371" s="179">
        <v>87161</v>
      </c>
      <c r="H371" s="180">
        <v>85414</v>
      </c>
      <c r="I371" s="179"/>
      <c r="J371" s="180"/>
      <c r="K371" s="179">
        <v>2816</v>
      </c>
      <c r="L371" s="179">
        <v>0</v>
      </c>
      <c r="M371" s="179"/>
      <c r="N371" s="180">
        <v>3396</v>
      </c>
      <c r="O371" s="180"/>
      <c r="P371" s="180"/>
      <c r="Q371" s="179"/>
      <c r="R371" s="180"/>
      <c r="S371" s="178">
        <f t="shared" si="22"/>
        <v>0</v>
      </c>
      <c r="T371" s="195">
        <f t="shared" si="23"/>
        <v>0</v>
      </c>
      <c r="U371" s="179"/>
      <c r="V371" s="180"/>
      <c r="W371" s="179"/>
      <c r="X371" s="180"/>
      <c r="Y371" s="179"/>
      <c r="Z371" s="179">
        <v>0</v>
      </c>
      <c r="AA371" s="179"/>
      <c r="AB371" s="180"/>
      <c r="AC371" s="180"/>
      <c r="AD371" s="180"/>
      <c r="AE371" s="179"/>
      <c r="AF371" s="256"/>
    </row>
    <row r="372" spans="1:32" s="223" customFormat="1" ht="15" customHeight="1">
      <c r="A372" s="163" t="s">
        <v>83</v>
      </c>
      <c r="B372" s="163" t="s">
        <v>512</v>
      </c>
      <c r="C372" s="30">
        <v>176178</v>
      </c>
      <c r="D372" s="208">
        <v>9</v>
      </c>
      <c r="E372" s="178">
        <f t="shared" si="20"/>
        <v>151869</v>
      </c>
      <c r="F372" s="195">
        <f t="shared" si="21"/>
        <v>156866</v>
      </c>
      <c r="G372" s="179">
        <v>148207</v>
      </c>
      <c r="H372" s="180">
        <v>153067</v>
      </c>
      <c r="I372" s="179"/>
      <c r="J372" s="180"/>
      <c r="K372" s="179">
        <v>3662</v>
      </c>
      <c r="L372" s="179">
        <v>0</v>
      </c>
      <c r="M372" s="179"/>
      <c r="N372" s="180">
        <v>3799</v>
      </c>
      <c r="O372" s="180"/>
      <c r="P372" s="180"/>
      <c r="Q372" s="179"/>
      <c r="R372" s="180"/>
      <c r="S372" s="178">
        <f t="shared" si="22"/>
        <v>0</v>
      </c>
      <c r="T372" s="195">
        <f t="shared" si="23"/>
        <v>0</v>
      </c>
      <c r="U372" s="179"/>
      <c r="V372" s="180"/>
      <c r="W372" s="179"/>
      <c r="X372" s="180"/>
      <c r="Y372" s="179"/>
      <c r="Z372" s="179">
        <v>0</v>
      </c>
      <c r="AA372" s="179"/>
      <c r="AB372" s="180"/>
      <c r="AC372" s="180"/>
      <c r="AD372" s="180"/>
      <c r="AE372" s="179"/>
      <c r="AF372" s="256"/>
    </row>
    <row r="373" spans="1:32" s="223" customFormat="1" ht="15" customHeight="1">
      <c r="A373" s="163" t="s">
        <v>83</v>
      </c>
      <c r="B373" s="163" t="s">
        <v>513</v>
      </c>
      <c r="C373" s="30">
        <v>176239</v>
      </c>
      <c r="D373" s="208">
        <v>9</v>
      </c>
      <c r="E373" s="178">
        <f t="shared" si="20"/>
        <v>90060</v>
      </c>
      <c r="F373" s="195">
        <f t="shared" si="21"/>
        <v>95222</v>
      </c>
      <c r="G373" s="179">
        <v>85107</v>
      </c>
      <c r="H373" s="180">
        <v>89513</v>
      </c>
      <c r="I373" s="179"/>
      <c r="J373" s="180"/>
      <c r="K373" s="179">
        <v>4953</v>
      </c>
      <c r="L373" s="179">
        <v>0</v>
      </c>
      <c r="M373" s="179"/>
      <c r="N373" s="180">
        <v>5709</v>
      </c>
      <c r="O373" s="180"/>
      <c r="P373" s="180"/>
      <c r="Q373" s="179"/>
      <c r="R373" s="180"/>
      <c r="S373" s="178">
        <f t="shared" si="22"/>
        <v>0</v>
      </c>
      <c r="T373" s="195">
        <f t="shared" si="23"/>
        <v>0</v>
      </c>
      <c r="U373" s="179"/>
      <c r="V373" s="180"/>
      <c r="W373" s="179"/>
      <c r="X373" s="180"/>
      <c r="Y373" s="179"/>
      <c r="Z373" s="179">
        <v>0</v>
      </c>
      <c r="AA373" s="179"/>
      <c r="AB373" s="180"/>
      <c r="AC373" s="180"/>
      <c r="AD373" s="180"/>
      <c r="AE373" s="179"/>
      <c r="AF373" s="256"/>
    </row>
    <row r="374" spans="1:32" s="223" customFormat="1" ht="15" customHeight="1">
      <c r="A374" s="163" t="s">
        <v>83</v>
      </c>
      <c r="B374" s="163" t="s">
        <v>514</v>
      </c>
      <c r="C374" s="30">
        <v>175519</v>
      </c>
      <c r="D374" s="208">
        <v>10</v>
      </c>
      <c r="E374" s="178">
        <f t="shared" si="20"/>
        <v>46961</v>
      </c>
      <c r="F374" s="195">
        <f t="shared" si="21"/>
        <v>52268</v>
      </c>
      <c r="G374" s="179">
        <v>44131</v>
      </c>
      <c r="H374" s="180">
        <v>47604</v>
      </c>
      <c r="I374" s="179"/>
      <c r="J374" s="180"/>
      <c r="K374" s="179">
        <v>2830</v>
      </c>
      <c r="L374" s="179">
        <v>0</v>
      </c>
      <c r="M374" s="179"/>
      <c r="N374" s="180">
        <v>4664</v>
      </c>
      <c r="O374" s="180"/>
      <c r="P374" s="180"/>
      <c r="Q374" s="179"/>
      <c r="R374" s="180"/>
      <c r="S374" s="178">
        <f t="shared" si="22"/>
        <v>0</v>
      </c>
      <c r="T374" s="195">
        <f t="shared" si="23"/>
        <v>0</v>
      </c>
      <c r="U374" s="179"/>
      <c r="V374" s="180"/>
      <c r="W374" s="179"/>
      <c r="X374" s="180"/>
      <c r="Y374" s="179"/>
      <c r="Z374" s="179">
        <v>0</v>
      </c>
      <c r="AA374" s="179"/>
      <c r="AB374" s="180"/>
      <c r="AC374" s="180"/>
      <c r="AD374" s="180"/>
      <c r="AE374" s="179"/>
      <c r="AF374" s="256"/>
    </row>
    <row r="375" spans="1:32" s="223" customFormat="1" ht="15" customHeight="1">
      <c r="A375" s="163" t="s">
        <v>83</v>
      </c>
      <c r="B375" s="163" t="s">
        <v>516</v>
      </c>
      <c r="C375" s="30">
        <v>176354</v>
      </c>
      <c r="D375" s="208">
        <v>10</v>
      </c>
      <c r="E375" s="178">
        <f t="shared" si="20"/>
        <v>51268</v>
      </c>
      <c r="F375" s="195">
        <f t="shared" si="21"/>
        <v>53551</v>
      </c>
      <c r="G375" s="179">
        <v>48020</v>
      </c>
      <c r="H375" s="180">
        <v>47604</v>
      </c>
      <c r="I375" s="179"/>
      <c r="J375" s="180"/>
      <c r="K375" s="179">
        <v>3248</v>
      </c>
      <c r="L375" s="179">
        <v>0</v>
      </c>
      <c r="M375" s="179"/>
      <c r="N375" s="180">
        <v>5947</v>
      </c>
      <c r="O375" s="180"/>
      <c r="P375" s="180"/>
      <c r="Q375" s="179"/>
      <c r="R375" s="180"/>
      <c r="S375" s="178">
        <f t="shared" si="22"/>
        <v>0</v>
      </c>
      <c r="T375" s="195">
        <f t="shared" si="23"/>
        <v>0</v>
      </c>
      <c r="U375" s="179"/>
      <c r="V375" s="180"/>
      <c r="W375" s="179"/>
      <c r="X375" s="180"/>
      <c r="Y375" s="179"/>
      <c r="Z375" s="179">
        <v>0</v>
      </c>
      <c r="AA375" s="179"/>
      <c r="AB375" s="180"/>
      <c r="AC375" s="180"/>
      <c r="AD375" s="180"/>
      <c r="AE375" s="179"/>
      <c r="AF375" s="256"/>
    </row>
    <row r="376" spans="1:32" s="223" customFormat="1" ht="15" customHeight="1">
      <c r="A376" s="165" t="s">
        <v>93</v>
      </c>
      <c r="B376" s="165" t="s">
        <v>517</v>
      </c>
      <c r="C376" s="142">
        <v>199193</v>
      </c>
      <c r="D376" s="214">
        <v>1</v>
      </c>
      <c r="E376" s="178">
        <f t="shared" si="20"/>
        <v>640586</v>
      </c>
      <c r="F376" s="195">
        <f t="shared" si="21"/>
        <v>640559</v>
      </c>
      <c r="G376" s="179">
        <v>623204</v>
      </c>
      <c r="H376" s="180">
        <v>619747</v>
      </c>
      <c r="I376" s="179">
        <v>17382</v>
      </c>
      <c r="J376" s="180">
        <v>20812</v>
      </c>
      <c r="K376" s="179">
        <v>0</v>
      </c>
      <c r="L376" s="179">
        <v>0</v>
      </c>
      <c r="M376" s="179"/>
      <c r="N376" s="180"/>
      <c r="O376" s="180"/>
      <c r="P376" s="180"/>
      <c r="Q376" s="179"/>
      <c r="R376" s="180"/>
      <c r="S376" s="178">
        <f t="shared" si="22"/>
        <v>97576</v>
      </c>
      <c r="T376" s="195">
        <f t="shared" si="23"/>
        <v>101333</v>
      </c>
      <c r="U376" s="179">
        <v>89555</v>
      </c>
      <c r="V376" s="180">
        <v>92163</v>
      </c>
      <c r="W376" s="179">
        <v>6874</v>
      </c>
      <c r="X376" s="180">
        <v>8243</v>
      </c>
      <c r="Y376" s="179">
        <v>946</v>
      </c>
      <c r="Z376" s="179">
        <v>0</v>
      </c>
      <c r="AA376" s="179">
        <v>201</v>
      </c>
      <c r="AB376" s="180">
        <v>822</v>
      </c>
      <c r="AC376" s="180"/>
      <c r="AD376" s="180">
        <v>105</v>
      </c>
      <c r="AE376" s="179"/>
      <c r="AF376" s="256"/>
    </row>
    <row r="377" spans="1:32" s="223" customFormat="1" ht="15" customHeight="1">
      <c r="A377" s="165" t="s">
        <v>93</v>
      </c>
      <c r="B377" s="165" t="s">
        <v>518</v>
      </c>
      <c r="C377" s="142">
        <v>199120</v>
      </c>
      <c r="D377" s="214">
        <v>1</v>
      </c>
      <c r="E377" s="178">
        <f t="shared" si="20"/>
        <v>459154</v>
      </c>
      <c r="F377" s="195">
        <f t="shared" si="21"/>
        <v>467282</v>
      </c>
      <c r="G377" s="179">
        <v>450894</v>
      </c>
      <c r="H377" s="180">
        <v>456067</v>
      </c>
      <c r="I377" s="179">
        <v>1869</v>
      </c>
      <c r="J377" s="180">
        <v>4563</v>
      </c>
      <c r="K377" s="179">
        <v>6391</v>
      </c>
      <c r="L377" s="179">
        <v>0</v>
      </c>
      <c r="M377" s="179"/>
      <c r="N377" s="180">
        <v>6652</v>
      </c>
      <c r="O377" s="180"/>
      <c r="P377" s="180"/>
      <c r="Q377" s="179"/>
      <c r="R377" s="180"/>
      <c r="S377" s="178">
        <f t="shared" si="22"/>
        <v>117626</v>
      </c>
      <c r="T377" s="195">
        <f t="shared" si="23"/>
        <v>120441</v>
      </c>
      <c r="U377" s="179">
        <v>108814</v>
      </c>
      <c r="V377" s="180">
        <v>108705</v>
      </c>
      <c r="W377" s="179">
        <v>6981</v>
      </c>
      <c r="X377" s="180">
        <v>10002</v>
      </c>
      <c r="Y377" s="179">
        <v>1831</v>
      </c>
      <c r="Z377" s="179">
        <v>0</v>
      </c>
      <c r="AA377" s="179"/>
      <c r="AB377" s="180">
        <v>1734</v>
      </c>
      <c r="AC377" s="180"/>
      <c r="AD377" s="180"/>
      <c r="AE377" s="179"/>
      <c r="AF377" s="256"/>
    </row>
    <row r="378" spans="1:32" s="223" customFormat="1" ht="15" customHeight="1">
      <c r="A378" s="165" t="s">
        <v>93</v>
      </c>
      <c r="B378" s="165" t="s">
        <v>519</v>
      </c>
      <c r="C378" s="142">
        <v>199148</v>
      </c>
      <c r="D378" s="214">
        <v>2</v>
      </c>
      <c r="E378" s="178">
        <f t="shared" si="20"/>
        <v>307916</v>
      </c>
      <c r="F378" s="195">
        <f t="shared" si="21"/>
        <v>319532</v>
      </c>
      <c r="G378" s="179">
        <v>293658</v>
      </c>
      <c r="H378" s="180">
        <v>305404</v>
      </c>
      <c r="I378" s="179">
        <v>9717</v>
      </c>
      <c r="J378" s="180">
        <v>7716</v>
      </c>
      <c r="K378" s="179">
        <v>4376</v>
      </c>
      <c r="L378" s="179">
        <v>165</v>
      </c>
      <c r="M378" s="179"/>
      <c r="N378" s="180">
        <v>6311</v>
      </c>
      <c r="O378" s="180">
        <v>101</v>
      </c>
      <c r="P378" s="180"/>
      <c r="Q378" s="179"/>
      <c r="R378" s="180"/>
      <c r="S378" s="178">
        <f t="shared" si="22"/>
        <v>62070</v>
      </c>
      <c r="T378" s="195">
        <f t="shared" si="23"/>
        <v>64630</v>
      </c>
      <c r="U378" s="179">
        <v>52512</v>
      </c>
      <c r="V378" s="180">
        <v>53377</v>
      </c>
      <c r="W378" s="179">
        <v>4637</v>
      </c>
      <c r="X378" s="180">
        <v>5783</v>
      </c>
      <c r="Y378" s="179">
        <v>4231</v>
      </c>
      <c r="Z378" s="179">
        <v>690</v>
      </c>
      <c r="AA378" s="179"/>
      <c r="AB378" s="180">
        <v>4807</v>
      </c>
      <c r="AC378" s="180">
        <v>624</v>
      </c>
      <c r="AD378" s="180">
        <v>39</v>
      </c>
      <c r="AE378" s="179"/>
      <c r="AF378" s="256"/>
    </row>
    <row r="379" spans="1:32" s="223" customFormat="1" ht="15" customHeight="1">
      <c r="A379" s="165" t="s">
        <v>93</v>
      </c>
      <c r="B379" s="165" t="s">
        <v>520</v>
      </c>
      <c r="C379" s="142">
        <v>197869</v>
      </c>
      <c r="D379" s="214">
        <v>3</v>
      </c>
      <c r="E379" s="178">
        <f t="shared" si="20"/>
        <v>379608</v>
      </c>
      <c r="F379" s="195">
        <f t="shared" si="21"/>
        <v>383933</v>
      </c>
      <c r="G379" s="179">
        <v>372643</v>
      </c>
      <c r="H379" s="180">
        <v>376544</v>
      </c>
      <c r="I379" s="179">
        <v>6833</v>
      </c>
      <c r="J379" s="180">
        <v>7152</v>
      </c>
      <c r="K379" s="179">
        <v>132</v>
      </c>
      <c r="L379" s="179">
        <v>0</v>
      </c>
      <c r="M379" s="179"/>
      <c r="N379" s="180">
        <v>216</v>
      </c>
      <c r="O379" s="180"/>
      <c r="P379" s="180">
        <v>21</v>
      </c>
      <c r="Q379" s="179"/>
      <c r="R379" s="180"/>
      <c r="S379" s="178">
        <f t="shared" si="22"/>
        <v>28763</v>
      </c>
      <c r="T379" s="195">
        <f t="shared" si="23"/>
        <v>28817</v>
      </c>
      <c r="U379" s="179">
        <v>20900</v>
      </c>
      <c r="V379" s="180">
        <v>19908</v>
      </c>
      <c r="W379" s="179">
        <v>7405</v>
      </c>
      <c r="X379" s="180">
        <v>8279</v>
      </c>
      <c r="Y379" s="179">
        <v>453</v>
      </c>
      <c r="Z379" s="179">
        <v>0</v>
      </c>
      <c r="AA379" s="179">
        <v>5</v>
      </c>
      <c r="AB379" s="180">
        <v>600</v>
      </c>
      <c r="AC379" s="180">
        <v>30</v>
      </c>
      <c r="AD379" s="180"/>
      <c r="AE379" s="179"/>
      <c r="AF379" s="256"/>
    </row>
    <row r="380" spans="1:32" s="223" customFormat="1" ht="15" customHeight="1">
      <c r="A380" s="165" t="s">
        <v>93</v>
      </c>
      <c r="B380" s="165" t="s">
        <v>521</v>
      </c>
      <c r="C380" s="142">
        <v>198464</v>
      </c>
      <c r="D380" s="214">
        <v>3</v>
      </c>
      <c r="E380" s="178">
        <f t="shared" si="20"/>
        <v>499394</v>
      </c>
      <c r="F380" s="195">
        <f t="shared" si="21"/>
        <v>522278</v>
      </c>
      <c r="G380" s="179">
        <v>476898</v>
      </c>
      <c r="H380" s="180">
        <v>479272</v>
      </c>
      <c r="I380" s="179">
        <v>420</v>
      </c>
      <c r="J380" s="180">
        <v>16920</v>
      </c>
      <c r="K380" s="179">
        <v>22076</v>
      </c>
      <c r="L380" s="179">
        <v>0</v>
      </c>
      <c r="M380" s="179"/>
      <c r="N380" s="180">
        <v>25937</v>
      </c>
      <c r="O380" s="180">
        <v>143</v>
      </c>
      <c r="P380" s="180">
        <v>6</v>
      </c>
      <c r="Q380" s="179"/>
      <c r="R380" s="180"/>
      <c r="S380" s="178">
        <f t="shared" si="22"/>
        <v>74767</v>
      </c>
      <c r="T380" s="195">
        <f t="shared" si="23"/>
        <v>93907</v>
      </c>
      <c r="U380" s="179">
        <v>49585</v>
      </c>
      <c r="V380" s="180">
        <v>51281</v>
      </c>
      <c r="W380" s="179">
        <v>3173</v>
      </c>
      <c r="X380" s="180">
        <v>21082</v>
      </c>
      <c r="Y380" s="179">
        <v>21625</v>
      </c>
      <c r="Z380" s="179">
        <v>0</v>
      </c>
      <c r="AA380" s="179">
        <v>384</v>
      </c>
      <c r="AB380" s="180">
        <v>21400</v>
      </c>
      <c r="AC380" s="180">
        <v>12</v>
      </c>
      <c r="AD380" s="180">
        <v>132</v>
      </c>
      <c r="AE380" s="179"/>
      <c r="AF380" s="256"/>
    </row>
    <row r="381" spans="1:32" s="223" customFormat="1" ht="15" customHeight="1">
      <c r="A381" s="165" t="s">
        <v>93</v>
      </c>
      <c r="B381" s="165" t="s">
        <v>522</v>
      </c>
      <c r="C381" s="142">
        <v>199102</v>
      </c>
      <c r="D381" s="214">
        <v>3</v>
      </c>
      <c r="E381" s="178">
        <f t="shared" si="20"/>
        <v>257228</v>
      </c>
      <c r="F381" s="195">
        <f t="shared" si="21"/>
        <v>279391</v>
      </c>
      <c r="G381" s="179">
        <v>253441</v>
      </c>
      <c r="H381" s="180">
        <v>268577</v>
      </c>
      <c r="I381" s="179">
        <v>104</v>
      </c>
      <c r="J381" s="180">
        <v>7767</v>
      </c>
      <c r="K381" s="179">
        <v>3683</v>
      </c>
      <c r="L381" s="179">
        <v>0</v>
      </c>
      <c r="M381" s="179"/>
      <c r="N381" s="180">
        <v>3047</v>
      </c>
      <c r="O381" s="180"/>
      <c r="P381" s="180"/>
      <c r="Q381" s="179"/>
      <c r="R381" s="180"/>
      <c r="S381" s="178">
        <f t="shared" si="22"/>
        <v>26576</v>
      </c>
      <c r="T381" s="195">
        <f t="shared" si="23"/>
        <v>27723</v>
      </c>
      <c r="U381" s="179">
        <v>22306</v>
      </c>
      <c r="V381" s="180">
        <v>23153</v>
      </c>
      <c r="W381" s="179">
        <v>1734</v>
      </c>
      <c r="X381" s="180">
        <v>2963</v>
      </c>
      <c r="Y381" s="179">
        <v>2536</v>
      </c>
      <c r="Z381" s="179">
        <v>0</v>
      </c>
      <c r="AA381" s="179"/>
      <c r="AB381" s="180">
        <v>1607</v>
      </c>
      <c r="AC381" s="180"/>
      <c r="AD381" s="180"/>
      <c r="AE381" s="179"/>
      <c r="AF381" s="256"/>
    </row>
    <row r="382" spans="1:32" s="223" customFormat="1" ht="15" customHeight="1">
      <c r="A382" s="165" t="s">
        <v>93</v>
      </c>
      <c r="B382" s="165" t="s">
        <v>523</v>
      </c>
      <c r="C382" s="142">
        <v>199157</v>
      </c>
      <c r="D382" s="214">
        <v>3</v>
      </c>
      <c r="E382" s="178">
        <f t="shared" si="20"/>
        <v>146215</v>
      </c>
      <c r="F382" s="195">
        <f t="shared" si="21"/>
        <v>163113</v>
      </c>
      <c r="G382" s="179">
        <v>141726</v>
      </c>
      <c r="H382" s="180">
        <v>154888</v>
      </c>
      <c r="I382" s="179">
        <v>1668</v>
      </c>
      <c r="J382" s="180">
        <v>6848</v>
      </c>
      <c r="K382" s="179">
        <v>2797</v>
      </c>
      <c r="L382" s="179">
        <v>24</v>
      </c>
      <c r="M382" s="179"/>
      <c r="N382" s="180">
        <v>1371</v>
      </c>
      <c r="O382" s="180">
        <v>6</v>
      </c>
      <c r="P382" s="180"/>
      <c r="Q382" s="179"/>
      <c r="R382" s="180"/>
      <c r="S382" s="178">
        <f t="shared" si="22"/>
        <v>27924</v>
      </c>
      <c r="T382" s="195">
        <f t="shared" si="23"/>
        <v>28564</v>
      </c>
      <c r="U382" s="179">
        <v>26907</v>
      </c>
      <c r="V382" s="180">
        <v>25948</v>
      </c>
      <c r="W382" s="179">
        <v>408</v>
      </c>
      <c r="X382" s="180">
        <v>2091</v>
      </c>
      <c r="Y382" s="179">
        <v>561</v>
      </c>
      <c r="Z382" s="179">
        <v>48</v>
      </c>
      <c r="AA382" s="179"/>
      <c r="AB382" s="180">
        <v>522</v>
      </c>
      <c r="AC382" s="180">
        <v>3</v>
      </c>
      <c r="AD382" s="180"/>
      <c r="AE382" s="179"/>
      <c r="AF382" s="256"/>
    </row>
    <row r="383" spans="1:32" s="223" customFormat="1" ht="15" customHeight="1">
      <c r="A383" s="165" t="s">
        <v>93</v>
      </c>
      <c r="B383" s="165" t="s">
        <v>524</v>
      </c>
      <c r="C383" s="142">
        <v>199139</v>
      </c>
      <c r="D383" s="214">
        <v>3</v>
      </c>
      <c r="E383" s="178">
        <f t="shared" si="20"/>
        <v>415444</v>
      </c>
      <c r="F383" s="195">
        <f t="shared" si="21"/>
        <v>423206</v>
      </c>
      <c r="G383" s="179">
        <v>413041</v>
      </c>
      <c r="H383" s="180">
        <v>420677</v>
      </c>
      <c r="I383" s="179">
        <v>105</v>
      </c>
      <c r="J383" s="180">
        <v>548</v>
      </c>
      <c r="K383" s="179">
        <v>2298</v>
      </c>
      <c r="L383" s="179">
        <v>0</v>
      </c>
      <c r="M383" s="179"/>
      <c r="N383" s="180">
        <v>1963</v>
      </c>
      <c r="O383" s="180">
        <v>18</v>
      </c>
      <c r="P383" s="180"/>
      <c r="Q383" s="179"/>
      <c r="R383" s="180"/>
      <c r="S383" s="178">
        <f t="shared" si="22"/>
        <v>51391</v>
      </c>
      <c r="T383" s="195">
        <f t="shared" si="23"/>
        <v>53697</v>
      </c>
      <c r="U383" s="179">
        <v>48290</v>
      </c>
      <c r="V383" s="180">
        <v>48328</v>
      </c>
      <c r="W383" s="179">
        <v>1131</v>
      </c>
      <c r="X383" s="180">
        <v>3225</v>
      </c>
      <c r="Y383" s="179">
        <v>1226</v>
      </c>
      <c r="Z383" s="179">
        <v>744</v>
      </c>
      <c r="AA383" s="179"/>
      <c r="AB383" s="180">
        <v>1803</v>
      </c>
      <c r="AC383" s="180">
        <v>341</v>
      </c>
      <c r="AD383" s="180"/>
      <c r="AE383" s="179"/>
      <c r="AF383" s="256"/>
    </row>
    <row r="384" spans="1:32" s="223" customFormat="1" ht="15" customHeight="1">
      <c r="A384" s="165" t="s">
        <v>93</v>
      </c>
      <c r="B384" s="165" t="s">
        <v>525</v>
      </c>
      <c r="C384" s="142">
        <v>199218</v>
      </c>
      <c r="D384" s="214">
        <v>3</v>
      </c>
      <c r="E384" s="178">
        <f t="shared" si="20"/>
        <v>289075</v>
      </c>
      <c r="F384" s="195">
        <f t="shared" si="21"/>
        <v>298797</v>
      </c>
      <c r="G384" s="179">
        <v>279805</v>
      </c>
      <c r="H384" s="180">
        <v>284716</v>
      </c>
      <c r="I384" s="179">
        <v>3428</v>
      </c>
      <c r="J384" s="180">
        <v>3586</v>
      </c>
      <c r="K384" s="179">
        <v>5605</v>
      </c>
      <c r="L384" s="179">
        <v>6</v>
      </c>
      <c r="M384" s="179">
        <v>231</v>
      </c>
      <c r="N384" s="180">
        <v>6166</v>
      </c>
      <c r="O384" s="180">
        <v>30</v>
      </c>
      <c r="P384" s="180">
        <v>4299</v>
      </c>
      <c r="Q384" s="179"/>
      <c r="R384" s="180"/>
      <c r="S384" s="178">
        <f t="shared" si="22"/>
        <v>13775</v>
      </c>
      <c r="T384" s="195">
        <f t="shared" si="23"/>
        <v>15406</v>
      </c>
      <c r="U384" s="179">
        <v>13293</v>
      </c>
      <c r="V384" s="180">
        <v>14123</v>
      </c>
      <c r="W384" s="179">
        <v>156</v>
      </c>
      <c r="X384" s="180">
        <v>534</v>
      </c>
      <c r="Y384" s="179">
        <v>273</v>
      </c>
      <c r="Z384" s="179">
        <v>0</v>
      </c>
      <c r="AA384" s="179">
        <v>53</v>
      </c>
      <c r="AB384" s="180">
        <v>541</v>
      </c>
      <c r="AC384" s="180">
        <v>21</v>
      </c>
      <c r="AD384" s="180">
        <v>187</v>
      </c>
      <c r="AE384" s="179"/>
      <c r="AF384" s="256"/>
    </row>
    <row r="385" spans="1:32" s="223" customFormat="1" ht="15" customHeight="1">
      <c r="A385" s="165" t="s">
        <v>93</v>
      </c>
      <c r="B385" s="165" t="s">
        <v>526</v>
      </c>
      <c r="C385" s="142">
        <v>200004</v>
      </c>
      <c r="D385" s="214">
        <v>3</v>
      </c>
      <c r="E385" s="178">
        <f t="shared" si="20"/>
        <v>168064</v>
      </c>
      <c r="F385" s="195">
        <f t="shared" si="21"/>
        <v>184440</v>
      </c>
      <c r="G385" s="179">
        <v>160917</v>
      </c>
      <c r="H385" s="180">
        <v>174817</v>
      </c>
      <c r="I385" s="179">
        <v>5379</v>
      </c>
      <c r="J385" s="180">
        <v>8847</v>
      </c>
      <c r="K385" s="179">
        <v>328</v>
      </c>
      <c r="L385" s="179">
        <v>1380</v>
      </c>
      <c r="M385" s="179">
        <v>60</v>
      </c>
      <c r="N385" s="180">
        <v>2</v>
      </c>
      <c r="O385" s="180">
        <v>774</v>
      </c>
      <c r="P385" s="180"/>
      <c r="Q385" s="179"/>
      <c r="R385" s="180"/>
      <c r="S385" s="178">
        <f t="shared" si="22"/>
        <v>22244</v>
      </c>
      <c r="T385" s="195">
        <f t="shared" si="23"/>
        <v>25136</v>
      </c>
      <c r="U385" s="179">
        <v>10423</v>
      </c>
      <c r="V385" s="180">
        <v>10883</v>
      </c>
      <c r="W385" s="179">
        <v>9616</v>
      </c>
      <c r="X385" s="180">
        <v>14086</v>
      </c>
      <c r="Y385" s="179">
        <v>1869</v>
      </c>
      <c r="Z385" s="179">
        <v>267</v>
      </c>
      <c r="AA385" s="179">
        <v>69</v>
      </c>
      <c r="AB385" s="180">
        <v>88</v>
      </c>
      <c r="AC385" s="180">
        <v>79</v>
      </c>
      <c r="AD385" s="180"/>
      <c r="AE385" s="179"/>
      <c r="AF385" s="256"/>
    </row>
    <row r="386" spans="1:32" s="223" customFormat="1" ht="15" customHeight="1">
      <c r="A386" s="165" t="s">
        <v>93</v>
      </c>
      <c r="B386" s="165" t="s">
        <v>527</v>
      </c>
      <c r="C386" s="142">
        <v>198543</v>
      </c>
      <c r="D386" s="214">
        <v>4</v>
      </c>
      <c r="E386" s="178">
        <f t="shared" si="20"/>
        <v>135188</v>
      </c>
      <c r="F386" s="195">
        <f t="shared" si="21"/>
        <v>136246</v>
      </c>
      <c r="G386" s="179">
        <v>129718</v>
      </c>
      <c r="H386" s="180">
        <v>129588</v>
      </c>
      <c r="I386" s="179">
        <v>5470</v>
      </c>
      <c r="J386" s="180">
        <v>3612</v>
      </c>
      <c r="K386" s="179">
        <v>0</v>
      </c>
      <c r="L386" s="179">
        <v>0</v>
      </c>
      <c r="M386" s="179"/>
      <c r="N386" s="180">
        <v>3046</v>
      </c>
      <c r="O386" s="180"/>
      <c r="P386" s="180"/>
      <c r="Q386" s="179"/>
      <c r="R386" s="180"/>
      <c r="S386" s="178">
        <f t="shared" si="22"/>
        <v>7342</v>
      </c>
      <c r="T386" s="195">
        <f t="shared" si="23"/>
        <v>8580</v>
      </c>
      <c r="U386" s="179">
        <v>5761</v>
      </c>
      <c r="V386" s="180">
        <v>6466</v>
      </c>
      <c r="W386" s="179">
        <v>1581</v>
      </c>
      <c r="X386" s="180">
        <v>594</v>
      </c>
      <c r="Y386" s="179">
        <v>0</v>
      </c>
      <c r="Z386" s="179">
        <v>0</v>
      </c>
      <c r="AA386" s="179"/>
      <c r="AB386" s="180">
        <v>1520</v>
      </c>
      <c r="AC386" s="180"/>
      <c r="AD386" s="180"/>
      <c r="AE386" s="179"/>
      <c r="AF386" s="256"/>
    </row>
    <row r="387" spans="1:32" s="223" customFormat="1" ht="15" customHeight="1">
      <c r="A387" s="165" t="s">
        <v>93</v>
      </c>
      <c r="B387" s="165" t="s">
        <v>528</v>
      </c>
      <c r="C387" s="142">
        <v>199281</v>
      </c>
      <c r="D387" s="214">
        <v>5</v>
      </c>
      <c r="E387" s="178">
        <f t="shared" si="20"/>
        <v>112373</v>
      </c>
      <c r="F387" s="195">
        <f t="shared" si="21"/>
        <v>118767</v>
      </c>
      <c r="G387" s="179">
        <v>102856</v>
      </c>
      <c r="H387" s="180">
        <v>103523</v>
      </c>
      <c r="I387" s="179">
        <v>9517</v>
      </c>
      <c r="J387" s="180">
        <v>7247</v>
      </c>
      <c r="K387" s="179"/>
      <c r="L387" s="179">
        <v>0</v>
      </c>
      <c r="M387" s="179"/>
      <c r="N387" s="180">
        <v>7997</v>
      </c>
      <c r="O387" s="180"/>
      <c r="P387" s="180"/>
      <c r="Q387" s="179"/>
      <c r="R387" s="180"/>
      <c r="S387" s="178">
        <f t="shared" si="22"/>
        <v>6064</v>
      </c>
      <c r="T387" s="195">
        <f t="shared" si="23"/>
        <v>7168</v>
      </c>
      <c r="U387" s="179">
        <v>4490</v>
      </c>
      <c r="V387" s="180">
        <v>5258</v>
      </c>
      <c r="W387" s="179">
        <v>1310</v>
      </c>
      <c r="X387" s="180">
        <v>1334</v>
      </c>
      <c r="Y387" s="179">
        <v>219</v>
      </c>
      <c r="Z387" s="179">
        <v>45</v>
      </c>
      <c r="AA387" s="179"/>
      <c r="AB387" s="180">
        <v>576</v>
      </c>
      <c r="AC387" s="180"/>
      <c r="AD387" s="180"/>
      <c r="AE387" s="179"/>
      <c r="AF387" s="256"/>
    </row>
    <row r="388" spans="1:32" s="223" customFormat="1" ht="15" customHeight="1">
      <c r="A388" s="165" t="s">
        <v>93</v>
      </c>
      <c r="B388" s="165" t="s">
        <v>529</v>
      </c>
      <c r="C388" s="142">
        <v>198507</v>
      </c>
      <c r="D388" s="214">
        <v>6</v>
      </c>
      <c r="E388" s="178">
        <f t="shared" si="20"/>
        <v>66540</v>
      </c>
      <c r="F388" s="195">
        <f t="shared" si="21"/>
        <v>69680</v>
      </c>
      <c r="G388" s="179">
        <v>62986</v>
      </c>
      <c r="H388" s="180">
        <v>66977</v>
      </c>
      <c r="I388" s="179">
        <v>433</v>
      </c>
      <c r="J388" s="180">
        <v>554</v>
      </c>
      <c r="K388" s="179">
        <v>3121</v>
      </c>
      <c r="L388" s="179">
        <v>0</v>
      </c>
      <c r="M388" s="179"/>
      <c r="N388" s="180">
        <v>2099</v>
      </c>
      <c r="O388" s="180">
        <v>50</v>
      </c>
      <c r="P388" s="180"/>
      <c r="Q388" s="179"/>
      <c r="R388" s="180"/>
      <c r="S388" s="178">
        <f t="shared" si="22"/>
        <v>276</v>
      </c>
      <c r="T388" s="195">
        <f t="shared" si="23"/>
        <v>413</v>
      </c>
      <c r="U388" s="179">
        <v>276</v>
      </c>
      <c r="V388" s="180">
        <v>410</v>
      </c>
      <c r="W388" s="179">
        <v>0</v>
      </c>
      <c r="X388" s="180">
        <v>3</v>
      </c>
      <c r="Y388" s="179">
        <v>0</v>
      </c>
      <c r="Z388" s="179">
        <v>0</v>
      </c>
      <c r="AA388" s="179"/>
      <c r="AB388" s="180"/>
      <c r="AC388" s="180"/>
      <c r="AD388" s="180"/>
      <c r="AE388" s="179"/>
      <c r="AF388" s="256"/>
    </row>
    <row r="389" spans="1:32" s="223" customFormat="1" ht="15" customHeight="1">
      <c r="A389" s="165" t="s">
        <v>93</v>
      </c>
      <c r="B389" s="165" t="s">
        <v>530</v>
      </c>
      <c r="C389" s="142">
        <v>199111</v>
      </c>
      <c r="D389" s="214">
        <v>6</v>
      </c>
      <c r="E389" s="178">
        <f t="shared" si="20"/>
        <v>89016</v>
      </c>
      <c r="F389" s="195">
        <f t="shared" si="21"/>
        <v>92992</v>
      </c>
      <c r="G389" s="179">
        <v>87532</v>
      </c>
      <c r="H389" s="180">
        <v>91962</v>
      </c>
      <c r="I389" s="179">
        <v>734</v>
      </c>
      <c r="J389" s="180">
        <v>729</v>
      </c>
      <c r="K389" s="179">
        <v>72</v>
      </c>
      <c r="L389" s="179">
        <v>678</v>
      </c>
      <c r="M389" s="179"/>
      <c r="N389" s="180"/>
      <c r="O389" s="180">
        <v>301</v>
      </c>
      <c r="P389" s="180"/>
      <c r="Q389" s="179"/>
      <c r="R389" s="180"/>
      <c r="S389" s="178">
        <f t="shared" si="22"/>
        <v>320</v>
      </c>
      <c r="T389" s="195">
        <f t="shared" si="23"/>
        <v>363</v>
      </c>
      <c r="U389" s="179">
        <v>314</v>
      </c>
      <c r="V389" s="180">
        <v>363</v>
      </c>
      <c r="W389" s="179">
        <v>0</v>
      </c>
      <c r="X389" s="180"/>
      <c r="Y389" s="179"/>
      <c r="Z389" s="179">
        <v>6</v>
      </c>
      <c r="AA389" s="179"/>
      <c r="AB389" s="180"/>
      <c r="AC389" s="180"/>
      <c r="AD389" s="180"/>
      <c r="AE389" s="179"/>
      <c r="AF389" s="256"/>
    </row>
    <row r="390" spans="1:32" s="223" customFormat="1" ht="15" customHeight="1">
      <c r="A390" s="165" t="s">
        <v>93</v>
      </c>
      <c r="B390" s="165" t="s">
        <v>531</v>
      </c>
      <c r="C390" s="142">
        <v>199999</v>
      </c>
      <c r="D390" s="214">
        <v>6</v>
      </c>
      <c r="E390" s="178">
        <f t="shared" si="20"/>
        <v>107210</v>
      </c>
      <c r="F390" s="195">
        <f t="shared" si="21"/>
        <v>125049</v>
      </c>
      <c r="G390" s="179">
        <v>102615</v>
      </c>
      <c r="H390" s="180">
        <v>118146</v>
      </c>
      <c r="I390" s="179">
        <v>4595</v>
      </c>
      <c r="J390" s="180">
        <v>5864</v>
      </c>
      <c r="K390" s="179">
        <v>0</v>
      </c>
      <c r="L390" s="179">
        <v>0</v>
      </c>
      <c r="M390" s="179"/>
      <c r="N390" s="180">
        <v>1039</v>
      </c>
      <c r="O390" s="180"/>
      <c r="P390" s="180"/>
      <c r="Q390" s="179"/>
      <c r="R390" s="180"/>
      <c r="S390" s="178">
        <f t="shared" si="22"/>
        <v>3000</v>
      </c>
      <c r="T390" s="195">
        <f t="shared" si="23"/>
        <v>5200</v>
      </c>
      <c r="U390" s="179">
        <v>3000</v>
      </c>
      <c r="V390" s="180">
        <v>4972</v>
      </c>
      <c r="W390" s="179">
        <v>0</v>
      </c>
      <c r="X390" s="180">
        <v>228</v>
      </c>
      <c r="Y390" s="179"/>
      <c r="Z390" s="179">
        <v>0</v>
      </c>
      <c r="AA390" s="179"/>
      <c r="AB390" s="180"/>
      <c r="AC390" s="180"/>
      <c r="AD390" s="180"/>
      <c r="AE390" s="179"/>
      <c r="AF390" s="256"/>
    </row>
    <row r="391" spans="1:32" s="223" customFormat="1" ht="15" customHeight="1">
      <c r="A391" s="164" t="s">
        <v>93</v>
      </c>
      <c r="B391" s="164" t="s">
        <v>148</v>
      </c>
      <c r="C391" s="31">
        <v>197887</v>
      </c>
      <c r="D391" s="209">
        <v>8</v>
      </c>
      <c r="E391" s="178">
        <f aca="true" t="shared" si="24" ref="E391:E454">SUM(G391,I391,K391,L391,M391,Q391)</f>
        <v>174909.07</v>
      </c>
      <c r="F391" s="195">
        <f aca="true" t="shared" si="25" ref="F391:F454">SUM(H391,J391,N391,O391,P391,R391)</f>
        <v>181800</v>
      </c>
      <c r="G391" s="189">
        <v>149538.535</v>
      </c>
      <c r="H391" s="228">
        <v>152219.49494344016</v>
      </c>
      <c r="I391" s="189">
        <v>16966.535000000003</v>
      </c>
      <c r="J391" s="228">
        <v>15151.894090547103</v>
      </c>
      <c r="K391" s="179">
        <v>4729</v>
      </c>
      <c r="L391" s="179">
        <v>984</v>
      </c>
      <c r="M391" s="179">
        <v>2691</v>
      </c>
      <c r="N391" s="228">
        <v>6347.019584000548</v>
      </c>
      <c r="O391" s="228">
        <v>918.5041831151149</v>
      </c>
      <c r="P391" s="228">
        <v>7163.087198897062</v>
      </c>
      <c r="Q391" s="201"/>
      <c r="R391" s="202"/>
      <c r="S391" s="178">
        <f aca="true" t="shared" si="26" ref="S391:S454">SUM(U391,W391,Y391,Z391,AA391,AE391)</f>
        <v>0</v>
      </c>
      <c r="T391" s="195">
        <f aca="true" t="shared" si="27" ref="T391:T454">SUM(V391,X391,AB391,AC391,AD391,AF391)</f>
        <v>0</v>
      </c>
      <c r="U391" s="189"/>
      <c r="V391" s="181"/>
      <c r="W391" s="189"/>
      <c r="X391" s="181"/>
      <c r="Y391" s="179"/>
      <c r="Z391" s="179">
        <v>0</v>
      </c>
      <c r="AA391" s="179"/>
      <c r="AB391" s="180"/>
      <c r="AC391" s="180"/>
      <c r="AD391" s="180"/>
      <c r="AE391" s="201"/>
      <c r="AF391" s="267"/>
    </row>
    <row r="392" spans="1:32" s="223" customFormat="1" ht="15" customHeight="1">
      <c r="A392" s="164" t="s">
        <v>93</v>
      </c>
      <c r="B392" s="164" t="s">
        <v>143</v>
      </c>
      <c r="C392" s="31">
        <v>198154</v>
      </c>
      <c r="D392" s="209">
        <v>8</v>
      </c>
      <c r="E392" s="178">
        <f t="shared" si="24"/>
        <v>215594.06</v>
      </c>
      <c r="F392" s="195">
        <f t="shared" si="25"/>
        <v>216960</v>
      </c>
      <c r="G392" s="189">
        <v>192396.03</v>
      </c>
      <c r="H392" s="228">
        <v>187204.35091442708</v>
      </c>
      <c r="I392" s="189">
        <v>16746.03</v>
      </c>
      <c r="J392" s="228">
        <v>20673.246559873547</v>
      </c>
      <c r="K392" s="179">
        <v>5597</v>
      </c>
      <c r="L392" s="179">
        <v>0</v>
      </c>
      <c r="M392" s="179">
        <v>855</v>
      </c>
      <c r="N392" s="228">
        <v>8124.710657134642</v>
      </c>
      <c r="O392" s="228">
        <v>0</v>
      </c>
      <c r="P392" s="228">
        <v>957.6918685647377</v>
      </c>
      <c r="Q392" s="201"/>
      <c r="R392" s="202"/>
      <c r="S392" s="178">
        <f t="shared" si="26"/>
        <v>0</v>
      </c>
      <c r="T392" s="195">
        <f t="shared" si="27"/>
        <v>0</v>
      </c>
      <c r="U392" s="189"/>
      <c r="V392" s="181"/>
      <c r="W392" s="189"/>
      <c r="X392" s="181"/>
      <c r="Y392" s="179"/>
      <c r="Z392" s="179">
        <v>0</v>
      </c>
      <c r="AA392" s="179"/>
      <c r="AB392" s="180"/>
      <c r="AC392" s="180"/>
      <c r="AD392" s="180"/>
      <c r="AE392" s="201"/>
      <c r="AF392" s="267"/>
    </row>
    <row r="393" spans="1:32" s="223" customFormat="1" ht="15" customHeight="1">
      <c r="A393" s="164" t="s">
        <v>93</v>
      </c>
      <c r="B393" s="164" t="s">
        <v>140</v>
      </c>
      <c r="C393" s="31">
        <v>198251</v>
      </c>
      <c r="D393" s="209">
        <v>8</v>
      </c>
      <c r="E393" s="178">
        <f t="shared" si="24"/>
        <v>169813.05</v>
      </c>
      <c r="F393" s="195">
        <f t="shared" si="25"/>
        <v>168000</v>
      </c>
      <c r="G393" s="189">
        <v>96795.525</v>
      </c>
      <c r="H393" s="228">
        <v>89736.25350010382</v>
      </c>
      <c r="I393" s="189">
        <v>57428.524999999994</v>
      </c>
      <c r="J393" s="228">
        <v>60985.69656975798</v>
      </c>
      <c r="K393" s="179">
        <v>6662</v>
      </c>
      <c r="L393" s="179">
        <v>1384</v>
      </c>
      <c r="M393" s="179">
        <v>7543</v>
      </c>
      <c r="N393" s="228">
        <v>9325.634507797024</v>
      </c>
      <c r="O393" s="228">
        <v>0</v>
      </c>
      <c r="P393" s="228">
        <v>7952.415422341182</v>
      </c>
      <c r="Q393" s="201"/>
      <c r="R393" s="202"/>
      <c r="S393" s="178">
        <f t="shared" si="26"/>
        <v>0</v>
      </c>
      <c r="T393" s="195">
        <f t="shared" si="27"/>
        <v>0</v>
      </c>
      <c r="U393" s="189"/>
      <c r="V393" s="181"/>
      <c r="W393" s="189"/>
      <c r="X393" s="181"/>
      <c r="Y393" s="179"/>
      <c r="Z393" s="179">
        <v>0</v>
      </c>
      <c r="AA393" s="179"/>
      <c r="AB393" s="180"/>
      <c r="AC393" s="180"/>
      <c r="AD393" s="180"/>
      <c r="AE393" s="201"/>
      <c r="AF393" s="267"/>
    </row>
    <row r="394" spans="1:32" s="223" customFormat="1" ht="15" customHeight="1">
      <c r="A394" s="164" t="s">
        <v>93</v>
      </c>
      <c r="B394" s="164" t="s">
        <v>139</v>
      </c>
      <c r="C394" s="31">
        <v>198260</v>
      </c>
      <c r="D394" s="209">
        <v>8</v>
      </c>
      <c r="E394" s="178">
        <f t="shared" si="24"/>
        <v>391854.49</v>
      </c>
      <c r="F394" s="195">
        <f t="shared" si="25"/>
        <v>398010</v>
      </c>
      <c r="G394" s="189">
        <v>326115.245</v>
      </c>
      <c r="H394" s="228">
        <v>265505.029850045</v>
      </c>
      <c r="I394" s="189">
        <v>31417.244999999995</v>
      </c>
      <c r="J394" s="228">
        <v>88493.50176342868</v>
      </c>
      <c r="K394" s="179">
        <v>27971</v>
      </c>
      <c r="L394" s="179">
        <v>111</v>
      </c>
      <c r="M394" s="179">
        <v>6240</v>
      </c>
      <c r="N394" s="228">
        <v>38441.63430825766</v>
      </c>
      <c r="O394" s="228">
        <v>0</v>
      </c>
      <c r="P394" s="228">
        <v>5569.834078268659</v>
      </c>
      <c r="Q394" s="201"/>
      <c r="R394" s="202"/>
      <c r="S394" s="178">
        <f t="shared" si="26"/>
        <v>0</v>
      </c>
      <c r="T394" s="195">
        <f t="shared" si="27"/>
        <v>0</v>
      </c>
      <c r="U394" s="189"/>
      <c r="V394" s="181"/>
      <c r="W394" s="189"/>
      <c r="X394" s="181"/>
      <c r="Y394" s="179"/>
      <c r="Z394" s="179">
        <v>0</v>
      </c>
      <c r="AA394" s="179"/>
      <c r="AB394" s="180"/>
      <c r="AC394" s="180"/>
      <c r="AD394" s="180"/>
      <c r="AE394" s="201"/>
      <c r="AF394" s="267"/>
    </row>
    <row r="395" spans="1:32" s="223" customFormat="1" ht="15" customHeight="1">
      <c r="A395" s="164" t="s">
        <v>93</v>
      </c>
      <c r="B395" s="164" t="s">
        <v>131</v>
      </c>
      <c r="C395" s="31">
        <v>198534</v>
      </c>
      <c r="D395" s="209">
        <v>8</v>
      </c>
      <c r="E395" s="178">
        <f t="shared" si="24"/>
        <v>326117.82</v>
      </c>
      <c r="F395" s="195">
        <f t="shared" si="25"/>
        <v>336240</v>
      </c>
      <c r="G395" s="189">
        <v>227734.91</v>
      </c>
      <c r="H395" s="228">
        <v>227373.96943695698</v>
      </c>
      <c r="I395" s="189">
        <v>60328.91</v>
      </c>
      <c r="J395" s="228">
        <v>61234.82898226999</v>
      </c>
      <c r="K395" s="179">
        <v>35260</v>
      </c>
      <c r="L395" s="179">
        <v>1262</v>
      </c>
      <c r="M395" s="179">
        <v>1532</v>
      </c>
      <c r="N395" s="228">
        <v>45028.671699653125</v>
      </c>
      <c r="O395" s="228">
        <v>1002.3155317389577</v>
      </c>
      <c r="P395" s="228">
        <v>1600.2143493808996</v>
      </c>
      <c r="Q395" s="201"/>
      <c r="R395" s="202"/>
      <c r="S395" s="178">
        <f t="shared" si="26"/>
        <v>0</v>
      </c>
      <c r="T395" s="195">
        <f t="shared" si="27"/>
        <v>0</v>
      </c>
      <c r="U395" s="189"/>
      <c r="V395" s="181"/>
      <c r="W395" s="189"/>
      <c r="X395" s="181"/>
      <c r="Y395" s="179"/>
      <c r="Z395" s="179">
        <v>0</v>
      </c>
      <c r="AA395" s="179"/>
      <c r="AB395" s="180"/>
      <c r="AC395" s="180"/>
      <c r="AD395" s="180"/>
      <c r="AE395" s="201"/>
      <c r="AF395" s="267"/>
    </row>
    <row r="396" spans="1:32" s="223" customFormat="1" ht="15" customHeight="1">
      <c r="A396" s="164" t="s">
        <v>93</v>
      </c>
      <c r="B396" s="164" t="s">
        <v>130</v>
      </c>
      <c r="C396" s="31">
        <v>198552</v>
      </c>
      <c r="D396" s="209">
        <v>8</v>
      </c>
      <c r="E396" s="178">
        <f t="shared" si="24"/>
        <v>210524.5</v>
      </c>
      <c r="F396" s="195">
        <f t="shared" si="25"/>
        <v>212940.00000000003</v>
      </c>
      <c r="G396" s="189">
        <v>146710.25</v>
      </c>
      <c r="H396" s="228">
        <v>140064.1529113006</v>
      </c>
      <c r="I396" s="189">
        <v>35361.25</v>
      </c>
      <c r="J396" s="228">
        <v>40305.258479956465</v>
      </c>
      <c r="K396" s="179">
        <v>25736</v>
      </c>
      <c r="L396" s="179">
        <v>1384</v>
      </c>
      <c r="M396" s="179">
        <v>1333</v>
      </c>
      <c r="N396" s="228">
        <v>29409.971714583706</v>
      </c>
      <c r="O396" s="228">
        <v>1100.512680255759</v>
      </c>
      <c r="P396" s="228">
        <v>2060.1042139035007</v>
      </c>
      <c r="Q396" s="201"/>
      <c r="R396" s="202"/>
      <c r="S396" s="178">
        <f t="shared" si="26"/>
        <v>0</v>
      </c>
      <c r="T396" s="195">
        <f t="shared" si="27"/>
        <v>0</v>
      </c>
      <c r="U396" s="189"/>
      <c r="V396" s="181"/>
      <c r="W396" s="189"/>
      <c r="X396" s="181"/>
      <c r="Y396" s="179"/>
      <c r="Z396" s="179">
        <v>0</v>
      </c>
      <c r="AA396" s="179"/>
      <c r="AB396" s="180"/>
      <c r="AC396" s="180"/>
      <c r="AD396" s="180"/>
      <c r="AE396" s="201"/>
      <c r="AF396" s="267"/>
    </row>
    <row r="397" spans="1:32" s="223" customFormat="1" ht="15" customHeight="1">
      <c r="A397" s="164" t="s">
        <v>93</v>
      </c>
      <c r="B397" s="164" t="s">
        <v>128</v>
      </c>
      <c r="C397" s="31">
        <v>198622</v>
      </c>
      <c r="D397" s="209">
        <v>8</v>
      </c>
      <c r="E397" s="178">
        <f t="shared" si="24"/>
        <v>251422.62</v>
      </c>
      <c r="F397" s="195">
        <f t="shared" si="25"/>
        <v>265170</v>
      </c>
      <c r="G397" s="189">
        <v>217966.31</v>
      </c>
      <c r="H397" s="228">
        <v>227679.70574717937</v>
      </c>
      <c r="I397" s="189">
        <v>17583.31</v>
      </c>
      <c r="J397" s="228">
        <v>19363.199564598897</v>
      </c>
      <c r="K397" s="179">
        <v>14081</v>
      </c>
      <c r="L397" s="179">
        <v>51</v>
      </c>
      <c r="M397" s="179">
        <v>1741</v>
      </c>
      <c r="N397" s="228">
        <v>15424.890625629921</v>
      </c>
      <c r="O397" s="228">
        <v>166.15790777098826</v>
      </c>
      <c r="P397" s="228">
        <v>2536.0461548208004</v>
      </c>
      <c r="Q397" s="201"/>
      <c r="R397" s="202"/>
      <c r="S397" s="178">
        <f t="shared" si="26"/>
        <v>0</v>
      </c>
      <c r="T397" s="195">
        <f t="shared" si="27"/>
        <v>0</v>
      </c>
      <c r="U397" s="189"/>
      <c r="V397" s="181"/>
      <c r="W397" s="189"/>
      <c r="X397" s="181"/>
      <c r="Y397" s="179"/>
      <c r="Z397" s="179">
        <v>0</v>
      </c>
      <c r="AA397" s="179"/>
      <c r="AB397" s="180"/>
      <c r="AC397" s="180"/>
      <c r="AD397" s="180"/>
      <c r="AE397" s="201"/>
      <c r="AF397" s="267"/>
    </row>
    <row r="398" spans="1:32" s="223" customFormat="1" ht="15" customHeight="1">
      <c r="A398" s="164" t="s">
        <v>93</v>
      </c>
      <c r="B398" s="164" t="s">
        <v>113</v>
      </c>
      <c r="C398" s="31">
        <v>199333</v>
      </c>
      <c r="D398" s="209">
        <v>8</v>
      </c>
      <c r="E398" s="178">
        <f t="shared" si="24"/>
        <v>169703.04</v>
      </c>
      <c r="F398" s="195">
        <f t="shared" si="25"/>
        <v>178680</v>
      </c>
      <c r="G398" s="189">
        <v>125944.52</v>
      </c>
      <c r="H398" s="228">
        <v>132514.17524939336</v>
      </c>
      <c r="I398" s="189">
        <v>26165.52</v>
      </c>
      <c r="J398" s="228">
        <v>28016.9059719601</v>
      </c>
      <c r="K398" s="179">
        <v>17471</v>
      </c>
      <c r="L398" s="179">
        <v>122</v>
      </c>
      <c r="M398" s="179"/>
      <c r="N398" s="228">
        <v>18007.70665947695</v>
      </c>
      <c r="O398" s="228">
        <v>141.2121191695875</v>
      </c>
      <c r="P398" s="228">
        <v>0</v>
      </c>
      <c r="Q398" s="201"/>
      <c r="R398" s="202"/>
      <c r="S398" s="178">
        <f t="shared" si="26"/>
        <v>0</v>
      </c>
      <c r="T398" s="195">
        <f t="shared" si="27"/>
        <v>0</v>
      </c>
      <c r="U398" s="189"/>
      <c r="V398" s="181"/>
      <c r="W398" s="189"/>
      <c r="X398" s="181"/>
      <c r="Y398" s="179"/>
      <c r="Z398" s="179">
        <v>0</v>
      </c>
      <c r="AA398" s="179"/>
      <c r="AB398" s="180"/>
      <c r="AC398" s="180"/>
      <c r="AD398" s="180"/>
      <c r="AE398" s="201"/>
      <c r="AF398" s="267"/>
    </row>
    <row r="399" spans="1:32" s="223" customFormat="1" ht="15" customHeight="1">
      <c r="A399" s="164" t="s">
        <v>93</v>
      </c>
      <c r="B399" s="164" t="s">
        <v>97</v>
      </c>
      <c r="C399" s="31">
        <v>199856</v>
      </c>
      <c r="D399" s="209">
        <v>8</v>
      </c>
      <c r="E399" s="178">
        <f t="shared" si="24"/>
        <v>334704.2</v>
      </c>
      <c r="F399" s="195">
        <f t="shared" si="25"/>
        <v>343500</v>
      </c>
      <c r="G399" s="189">
        <v>255060.1</v>
      </c>
      <c r="H399" s="228">
        <v>251052.17114926496</v>
      </c>
      <c r="I399" s="189">
        <v>64704.1</v>
      </c>
      <c r="J399" s="228">
        <v>69617.74601097831</v>
      </c>
      <c r="K399" s="179">
        <v>12340</v>
      </c>
      <c r="L399" s="179">
        <v>0</v>
      </c>
      <c r="M399" s="179">
        <v>2600</v>
      </c>
      <c r="N399" s="228">
        <v>19505.13119821413</v>
      </c>
      <c r="O399" s="228">
        <v>0</v>
      </c>
      <c r="P399" s="228">
        <v>3324.9516415426046</v>
      </c>
      <c r="Q399" s="201"/>
      <c r="R399" s="202"/>
      <c r="S399" s="178">
        <f t="shared" si="26"/>
        <v>0</v>
      </c>
      <c r="T399" s="195">
        <f t="shared" si="27"/>
        <v>0</v>
      </c>
      <c r="U399" s="189"/>
      <c r="V399" s="181"/>
      <c r="W399" s="189"/>
      <c r="X399" s="181"/>
      <c r="Y399" s="179"/>
      <c r="Z399" s="179">
        <v>0</v>
      </c>
      <c r="AA399" s="179"/>
      <c r="AB399" s="180"/>
      <c r="AC399" s="180"/>
      <c r="AD399" s="180"/>
      <c r="AE399" s="201"/>
      <c r="AF399" s="267"/>
    </row>
    <row r="400" spans="1:32" s="223" customFormat="1" ht="15" customHeight="1">
      <c r="A400" s="164" t="s">
        <v>93</v>
      </c>
      <c r="B400" s="164" t="s">
        <v>149</v>
      </c>
      <c r="C400" s="31">
        <v>199786</v>
      </c>
      <c r="D400" s="209">
        <v>9</v>
      </c>
      <c r="E400" s="178">
        <f t="shared" si="24"/>
        <v>116609.71000000002</v>
      </c>
      <c r="F400" s="195">
        <f t="shared" si="25"/>
        <v>121530</v>
      </c>
      <c r="G400" s="189">
        <v>95403.85500000001</v>
      </c>
      <c r="H400" s="228">
        <v>98042.4409311979</v>
      </c>
      <c r="I400" s="189">
        <v>16663.855000000003</v>
      </c>
      <c r="J400" s="228">
        <v>16481.661250319645</v>
      </c>
      <c r="K400" s="179">
        <v>4505</v>
      </c>
      <c r="L400" s="179">
        <v>0</v>
      </c>
      <c r="M400" s="179">
        <v>37</v>
      </c>
      <c r="N400" s="228">
        <v>6119.449593215374</v>
      </c>
      <c r="O400" s="228">
        <v>0</v>
      </c>
      <c r="P400" s="228">
        <v>886.4482252670728</v>
      </c>
      <c r="Q400" s="201"/>
      <c r="R400" s="202"/>
      <c r="S400" s="178">
        <f t="shared" si="26"/>
        <v>0</v>
      </c>
      <c r="T400" s="195">
        <f t="shared" si="27"/>
        <v>0</v>
      </c>
      <c r="U400" s="189"/>
      <c r="V400" s="181"/>
      <c r="W400" s="189"/>
      <c r="X400" s="181"/>
      <c r="Y400" s="179"/>
      <c r="Z400" s="179">
        <v>0</v>
      </c>
      <c r="AA400" s="179"/>
      <c r="AB400" s="180"/>
      <c r="AC400" s="180"/>
      <c r="AD400" s="180"/>
      <c r="AE400" s="201"/>
      <c r="AF400" s="267"/>
    </row>
    <row r="401" spans="1:32" s="223" customFormat="1" ht="15" customHeight="1">
      <c r="A401" s="164" t="s">
        <v>93</v>
      </c>
      <c r="B401" s="164" t="s">
        <v>145</v>
      </c>
      <c r="C401" s="31">
        <v>198039</v>
      </c>
      <c r="D401" s="209">
        <v>9</v>
      </c>
      <c r="E401" s="178">
        <f t="shared" si="24"/>
        <v>80480.72</v>
      </c>
      <c r="F401" s="195">
        <f t="shared" si="25"/>
        <v>77790</v>
      </c>
      <c r="G401" s="189">
        <v>68221.36</v>
      </c>
      <c r="H401" s="228">
        <v>61651.26893341287</v>
      </c>
      <c r="I401" s="189">
        <v>10835.36</v>
      </c>
      <c r="J401" s="228">
        <v>9642.659040668093</v>
      </c>
      <c r="K401" s="179">
        <v>1295</v>
      </c>
      <c r="L401" s="179">
        <v>129</v>
      </c>
      <c r="M401" s="179"/>
      <c r="N401" s="228">
        <v>4867.732201129865</v>
      </c>
      <c r="O401" s="228">
        <v>1148.54217107033</v>
      </c>
      <c r="P401" s="228">
        <v>479.79765371884395</v>
      </c>
      <c r="Q401" s="201"/>
      <c r="R401" s="202"/>
      <c r="S401" s="178">
        <f t="shared" si="26"/>
        <v>0</v>
      </c>
      <c r="T401" s="195">
        <f t="shared" si="27"/>
        <v>0</v>
      </c>
      <c r="U401" s="189"/>
      <c r="V401" s="181"/>
      <c r="W401" s="189"/>
      <c r="X401" s="181"/>
      <c r="Y401" s="179"/>
      <c r="Z401" s="179">
        <v>0</v>
      </c>
      <c r="AA401" s="179"/>
      <c r="AB401" s="180"/>
      <c r="AC401" s="180"/>
      <c r="AD401" s="180"/>
      <c r="AE401" s="201"/>
      <c r="AF401" s="267"/>
    </row>
    <row r="402" spans="1:32" s="223" customFormat="1" ht="15" customHeight="1">
      <c r="A402" s="164" t="s">
        <v>93</v>
      </c>
      <c r="B402" s="164" t="s">
        <v>532</v>
      </c>
      <c r="C402" s="31">
        <v>198118</v>
      </c>
      <c r="D402" s="209">
        <v>9</v>
      </c>
      <c r="E402" s="178">
        <f t="shared" si="24"/>
        <v>114376.15</v>
      </c>
      <c r="F402" s="195">
        <f t="shared" si="25"/>
        <v>120389.99999999999</v>
      </c>
      <c r="G402" s="189">
        <v>83940.075</v>
      </c>
      <c r="H402" s="228">
        <v>81908.55901320584</v>
      </c>
      <c r="I402" s="189">
        <v>21711.074999999997</v>
      </c>
      <c r="J402" s="228">
        <v>27016.07363593547</v>
      </c>
      <c r="K402" s="179">
        <v>4374</v>
      </c>
      <c r="L402" s="179">
        <v>627</v>
      </c>
      <c r="M402" s="179">
        <v>3724</v>
      </c>
      <c r="N402" s="228">
        <v>4614.9727016068555</v>
      </c>
      <c r="O402" s="228">
        <v>1273.0849946981916</v>
      </c>
      <c r="P402" s="228">
        <v>5577.309654553635</v>
      </c>
      <c r="Q402" s="201"/>
      <c r="R402" s="202"/>
      <c r="S402" s="178">
        <f t="shared" si="26"/>
        <v>0</v>
      </c>
      <c r="T402" s="195">
        <f t="shared" si="27"/>
        <v>0</v>
      </c>
      <c r="U402" s="189"/>
      <c r="V402" s="181"/>
      <c r="W402" s="189"/>
      <c r="X402" s="181"/>
      <c r="Y402" s="179"/>
      <c r="Z402" s="179">
        <v>0</v>
      </c>
      <c r="AA402" s="179"/>
      <c r="AB402" s="180"/>
      <c r="AC402" s="180"/>
      <c r="AD402" s="180"/>
      <c r="AE402" s="201"/>
      <c r="AF402" s="267"/>
    </row>
    <row r="403" spans="1:32" s="223" customFormat="1" ht="15" customHeight="1">
      <c r="A403" s="164" t="s">
        <v>93</v>
      </c>
      <c r="B403" s="164" t="s">
        <v>141</v>
      </c>
      <c r="C403" s="31">
        <v>198233</v>
      </c>
      <c r="D403" s="209">
        <v>9</v>
      </c>
      <c r="E403" s="178">
        <f t="shared" si="24"/>
        <v>152827.25</v>
      </c>
      <c r="F403" s="195">
        <f t="shared" si="25"/>
        <v>157110</v>
      </c>
      <c r="G403" s="189">
        <v>120410.625</v>
      </c>
      <c r="H403" s="228">
        <v>116401.10122445683</v>
      </c>
      <c r="I403" s="189">
        <v>15959.625</v>
      </c>
      <c r="J403" s="228">
        <v>17865.783632219154</v>
      </c>
      <c r="K403" s="179">
        <v>8961</v>
      </c>
      <c r="L403" s="179">
        <v>1962</v>
      </c>
      <c r="M403" s="179">
        <v>5534</v>
      </c>
      <c r="N403" s="228">
        <v>13529.2776107962</v>
      </c>
      <c r="O403" s="228">
        <v>1562.764831662397</v>
      </c>
      <c r="P403" s="228">
        <v>7751.07270086539</v>
      </c>
      <c r="Q403" s="201"/>
      <c r="R403" s="202"/>
      <c r="S403" s="178">
        <f t="shared" si="26"/>
        <v>0</v>
      </c>
      <c r="T403" s="195">
        <f t="shared" si="27"/>
        <v>0</v>
      </c>
      <c r="U403" s="189"/>
      <c r="V403" s="181"/>
      <c r="W403" s="189"/>
      <c r="X403" s="181"/>
      <c r="Y403" s="179"/>
      <c r="Z403" s="179">
        <v>0</v>
      </c>
      <c r="AA403" s="179"/>
      <c r="AB403" s="180"/>
      <c r="AC403" s="180"/>
      <c r="AD403" s="180"/>
      <c r="AE403" s="201"/>
      <c r="AF403" s="267"/>
    </row>
    <row r="404" spans="1:32" s="223" customFormat="1" ht="15" customHeight="1">
      <c r="A404" s="164" t="s">
        <v>93</v>
      </c>
      <c r="B404" s="164" t="s">
        <v>138</v>
      </c>
      <c r="C404" s="31">
        <v>198321</v>
      </c>
      <c r="D404" s="209">
        <v>9</v>
      </c>
      <c r="E404" s="178">
        <f t="shared" si="24"/>
        <v>86484.48999999999</v>
      </c>
      <c r="F404" s="195">
        <f t="shared" si="25"/>
        <v>89580</v>
      </c>
      <c r="G404" s="189">
        <v>69525.245</v>
      </c>
      <c r="H404" s="228">
        <v>69802.47664521486</v>
      </c>
      <c r="I404" s="189">
        <v>14535.245000000003</v>
      </c>
      <c r="J404" s="228">
        <v>15393.816121665875</v>
      </c>
      <c r="K404" s="179">
        <v>2424</v>
      </c>
      <c r="L404" s="179">
        <v>0</v>
      </c>
      <c r="M404" s="179">
        <v>0</v>
      </c>
      <c r="N404" s="228">
        <v>4383.707233119262</v>
      </c>
      <c r="O404" s="228">
        <v>0</v>
      </c>
      <c r="P404" s="228">
        <v>0</v>
      </c>
      <c r="Q404" s="201"/>
      <c r="R404" s="202"/>
      <c r="S404" s="178">
        <f t="shared" si="26"/>
        <v>0</v>
      </c>
      <c r="T404" s="195">
        <f t="shared" si="27"/>
        <v>0</v>
      </c>
      <c r="U404" s="189"/>
      <c r="V404" s="181"/>
      <c r="W404" s="189"/>
      <c r="X404" s="181"/>
      <c r="Y404" s="179"/>
      <c r="Z404" s="179">
        <v>0</v>
      </c>
      <c r="AA404" s="179"/>
      <c r="AB404" s="180"/>
      <c r="AC404" s="180"/>
      <c r="AD404" s="180"/>
      <c r="AE404" s="201"/>
      <c r="AF404" s="267"/>
    </row>
    <row r="405" spans="1:32" s="223" customFormat="1" ht="15" customHeight="1">
      <c r="A405" s="164" t="s">
        <v>93</v>
      </c>
      <c r="B405" s="164" t="s">
        <v>137</v>
      </c>
      <c r="C405" s="31">
        <v>198330</v>
      </c>
      <c r="D405" s="209">
        <v>9</v>
      </c>
      <c r="E405" s="178">
        <f t="shared" si="24"/>
        <v>139980.87</v>
      </c>
      <c r="F405" s="195">
        <f t="shared" si="25"/>
        <v>145440</v>
      </c>
      <c r="G405" s="189">
        <v>111450.435</v>
      </c>
      <c r="H405" s="228">
        <v>111606.20117298303</v>
      </c>
      <c r="I405" s="189">
        <v>19837.434999999998</v>
      </c>
      <c r="J405" s="228">
        <v>23610.78121164236</v>
      </c>
      <c r="K405" s="179">
        <v>8483</v>
      </c>
      <c r="L405" s="179">
        <v>19</v>
      </c>
      <c r="M405" s="179">
        <v>191</v>
      </c>
      <c r="N405" s="228">
        <v>10059.499739039125</v>
      </c>
      <c r="O405" s="228">
        <v>67.20734733788966</v>
      </c>
      <c r="P405" s="228">
        <v>96.3105289976008</v>
      </c>
      <c r="Q405" s="201"/>
      <c r="R405" s="202"/>
      <c r="S405" s="178">
        <f t="shared" si="26"/>
        <v>0</v>
      </c>
      <c r="T405" s="195">
        <f t="shared" si="27"/>
        <v>0</v>
      </c>
      <c r="U405" s="189"/>
      <c r="V405" s="181"/>
      <c r="W405" s="189"/>
      <c r="X405" s="181"/>
      <c r="Y405" s="179"/>
      <c r="Z405" s="179">
        <v>0</v>
      </c>
      <c r="AA405" s="179"/>
      <c r="AB405" s="180"/>
      <c r="AC405" s="180"/>
      <c r="AD405" s="180"/>
      <c r="AE405" s="201"/>
      <c r="AF405" s="267"/>
    </row>
    <row r="406" spans="1:32" s="223" customFormat="1" ht="15" customHeight="1">
      <c r="A406" s="164" t="s">
        <v>93</v>
      </c>
      <c r="B406" s="164" t="s">
        <v>136</v>
      </c>
      <c r="C406" s="31">
        <v>197814</v>
      </c>
      <c r="D406" s="209">
        <v>9</v>
      </c>
      <c r="E406" s="178">
        <f t="shared" si="24"/>
        <v>71593.47</v>
      </c>
      <c r="F406" s="195">
        <f t="shared" si="25"/>
        <v>69870</v>
      </c>
      <c r="G406" s="189">
        <v>38046.735</v>
      </c>
      <c r="H406" s="228">
        <v>39199.38322389764</v>
      </c>
      <c r="I406" s="189">
        <v>19255.735</v>
      </c>
      <c r="J406" s="228">
        <v>17053.906205393057</v>
      </c>
      <c r="K406" s="179">
        <v>11838</v>
      </c>
      <c r="L406" s="179">
        <v>2009</v>
      </c>
      <c r="M406" s="179">
        <v>444</v>
      </c>
      <c r="N406" s="228">
        <v>12432.293997041343</v>
      </c>
      <c r="O406" s="228">
        <v>1039.046741584698</v>
      </c>
      <c r="P406" s="228">
        <v>145.36983208325762</v>
      </c>
      <c r="Q406" s="201"/>
      <c r="R406" s="202"/>
      <c r="S406" s="178">
        <f t="shared" si="26"/>
        <v>0</v>
      </c>
      <c r="T406" s="195">
        <f t="shared" si="27"/>
        <v>0</v>
      </c>
      <c r="U406" s="189"/>
      <c r="V406" s="181"/>
      <c r="W406" s="189"/>
      <c r="X406" s="181"/>
      <c r="Y406" s="179"/>
      <c r="Z406" s="179">
        <v>0</v>
      </c>
      <c r="AA406" s="179"/>
      <c r="AB406" s="180"/>
      <c r="AC406" s="180"/>
      <c r="AD406" s="180"/>
      <c r="AE406" s="201"/>
      <c r="AF406" s="267"/>
    </row>
    <row r="407" spans="1:32" s="223" customFormat="1" ht="15" customHeight="1">
      <c r="A407" s="164" t="s">
        <v>93</v>
      </c>
      <c r="B407" s="164" t="s">
        <v>135</v>
      </c>
      <c r="C407" s="31">
        <v>198367</v>
      </c>
      <c r="D407" s="209">
        <v>9</v>
      </c>
      <c r="E407" s="178">
        <f t="shared" si="24"/>
        <v>89058.4</v>
      </c>
      <c r="F407" s="195">
        <f t="shared" si="25"/>
        <v>94380.00000000001</v>
      </c>
      <c r="G407" s="189">
        <v>61930.2</v>
      </c>
      <c r="H407" s="228">
        <v>60364.722686138186</v>
      </c>
      <c r="I407" s="189">
        <v>16938.2</v>
      </c>
      <c r="J407" s="228">
        <v>22209.68229308269</v>
      </c>
      <c r="K407" s="179">
        <v>7666</v>
      </c>
      <c r="L407" s="179">
        <v>0</v>
      </c>
      <c r="M407" s="179">
        <v>2524</v>
      </c>
      <c r="N407" s="228">
        <v>10083.035693478852</v>
      </c>
      <c r="O407" s="228">
        <v>0</v>
      </c>
      <c r="P407" s="228">
        <v>1722.559327300268</v>
      </c>
      <c r="Q407" s="201"/>
      <c r="R407" s="202"/>
      <c r="S407" s="178">
        <f t="shared" si="26"/>
        <v>0</v>
      </c>
      <c r="T407" s="195">
        <f t="shared" si="27"/>
        <v>0</v>
      </c>
      <c r="U407" s="189"/>
      <c r="V407" s="181"/>
      <c r="W407" s="189"/>
      <c r="X407" s="181"/>
      <c r="Y407" s="179"/>
      <c r="Z407" s="179">
        <v>0</v>
      </c>
      <c r="AA407" s="179"/>
      <c r="AB407" s="180"/>
      <c r="AC407" s="180"/>
      <c r="AD407" s="180"/>
      <c r="AE407" s="201"/>
      <c r="AF407" s="267"/>
    </row>
    <row r="408" spans="1:32" s="223" customFormat="1" ht="15" customHeight="1">
      <c r="A408" s="164" t="s">
        <v>93</v>
      </c>
      <c r="B408" s="164" t="s">
        <v>134</v>
      </c>
      <c r="C408" s="31">
        <v>198376</v>
      </c>
      <c r="D408" s="209">
        <v>9</v>
      </c>
      <c r="E408" s="178">
        <f t="shared" si="24"/>
        <v>105101.89000000001</v>
      </c>
      <c r="F408" s="195">
        <f t="shared" si="25"/>
        <v>114570.00000000001</v>
      </c>
      <c r="G408" s="189">
        <v>86940.945</v>
      </c>
      <c r="H408" s="228">
        <v>93217.73868694363</v>
      </c>
      <c r="I408" s="189">
        <v>11545.945</v>
      </c>
      <c r="J408" s="228">
        <v>12920.086583298007</v>
      </c>
      <c r="K408" s="179">
        <v>5809</v>
      </c>
      <c r="L408" s="179">
        <v>0</v>
      </c>
      <c r="M408" s="179">
        <v>806</v>
      </c>
      <c r="N408" s="228">
        <v>7082.917496820686</v>
      </c>
      <c r="O408" s="228">
        <v>0</v>
      </c>
      <c r="P408" s="228">
        <v>1349.2572329376856</v>
      </c>
      <c r="Q408" s="201"/>
      <c r="R408" s="202"/>
      <c r="S408" s="178">
        <f t="shared" si="26"/>
        <v>0</v>
      </c>
      <c r="T408" s="195">
        <f t="shared" si="27"/>
        <v>0</v>
      </c>
      <c r="U408" s="189"/>
      <c r="V408" s="181"/>
      <c r="W408" s="189"/>
      <c r="X408" s="181"/>
      <c r="Y408" s="179"/>
      <c r="Z408" s="179">
        <v>0</v>
      </c>
      <c r="AA408" s="179"/>
      <c r="AB408" s="180"/>
      <c r="AC408" s="180"/>
      <c r="AD408" s="180"/>
      <c r="AE408" s="201"/>
      <c r="AF408" s="267"/>
    </row>
    <row r="409" spans="1:32" s="223" customFormat="1" ht="15" customHeight="1">
      <c r="A409" s="164" t="s">
        <v>93</v>
      </c>
      <c r="B409" s="164" t="s">
        <v>133</v>
      </c>
      <c r="C409" s="31">
        <v>198455</v>
      </c>
      <c r="D409" s="209">
        <v>9</v>
      </c>
      <c r="E409" s="178">
        <f t="shared" si="24"/>
        <v>149701.45</v>
      </c>
      <c r="F409" s="195">
        <f t="shared" si="25"/>
        <v>153600</v>
      </c>
      <c r="G409" s="189">
        <v>126744.725</v>
      </c>
      <c r="H409" s="228">
        <v>126111.0526924657</v>
      </c>
      <c r="I409" s="189">
        <v>15803.725000000006</v>
      </c>
      <c r="J409" s="228">
        <v>16535.156633330807</v>
      </c>
      <c r="K409" s="179">
        <v>5302</v>
      </c>
      <c r="L409" s="179">
        <v>0</v>
      </c>
      <c r="M409" s="179">
        <v>1851</v>
      </c>
      <c r="N409" s="228">
        <v>7625.7426769479935</v>
      </c>
      <c r="O409" s="228">
        <v>0</v>
      </c>
      <c r="P409" s="228">
        <v>3328.047997255476</v>
      </c>
      <c r="Q409" s="201"/>
      <c r="R409" s="202"/>
      <c r="S409" s="178">
        <f t="shared" si="26"/>
        <v>0</v>
      </c>
      <c r="T409" s="195">
        <f t="shared" si="27"/>
        <v>0</v>
      </c>
      <c r="U409" s="189"/>
      <c r="V409" s="181"/>
      <c r="W409" s="189"/>
      <c r="X409" s="181"/>
      <c r="Y409" s="179"/>
      <c r="Z409" s="179">
        <v>0</v>
      </c>
      <c r="AA409" s="179"/>
      <c r="AB409" s="180"/>
      <c r="AC409" s="180"/>
      <c r="AD409" s="180"/>
      <c r="AE409" s="201"/>
      <c r="AF409" s="267"/>
    </row>
    <row r="410" spans="1:32" s="223" customFormat="1" ht="15" customHeight="1">
      <c r="A410" s="164" t="s">
        <v>93</v>
      </c>
      <c r="B410" s="164" t="s">
        <v>132</v>
      </c>
      <c r="C410" s="31">
        <v>198491</v>
      </c>
      <c r="D410" s="209">
        <v>9</v>
      </c>
      <c r="E410" s="178">
        <f t="shared" si="24"/>
        <v>81682.75</v>
      </c>
      <c r="F410" s="195">
        <f t="shared" si="25"/>
        <v>84000</v>
      </c>
      <c r="G410" s="189">
        <v>57890.375</v>
      </c>
      <c r="H410" s="228">
        <v>57280.04904511722</v>
      </c>
      <c r="I410" s="189">
        <v>20497.375</v>
      </c>
      <c r="J410" s="228">
        <v>23207.65046799592</v>
      </c>
      <c r="K410" s="179">
        <v>2669</v>
      </c>
      <c r="L410" s="179">
        <v>255</v>
      </c>
      <c r="M410" s="179">
        <v>371</v>
      </c>
      <c r="N410" s="228">
        <v>2824.5710334405007</v>
      </c>
      <c r="O410" s="228">
        <v>336.8287484227861</v>
      </c>
      <c r="P410" s="228">
        <v>350.9007050235602</v>
      </c>
      <c r="Q410" s="201"/>
      <c r="R410" s="202"/>
      <c r="S410" s="178">
        <f t="shared" si="26"/>
        <v>0</v>
      </c>
      <c r="T410" s="195">
        <f t="shared" si="27"/>
        <v>0</v>
      </c>
      <c r="U410" s="189"/>
      <c r="V410" s="181"/>
      <c r="W410" s="189"/>
      <c r="X410" s="181"/>
      <c r="Y410" s="179"/>
      <c r="Z410" s="179">
        <v>0</v>
      </c>
      <c r="AA410" s="179"/>
      <c r="AB410" s="180"/>
      <c r="AC410" s="180"/>
      <c r="AD410" s="180"/>
      <c r="AE410" s="201"/>
      <c r="AF410" s="267"/>
    </row>
    <row r="411" spans="1:32" s="223" customFormat="1" ht="15" customHeight="1">
      <c r="A411" s="164" t="s">
        <v>93</v>
      </c>
      <c r="B411" s="164" t="s">
        <v>129</v>
      </c>
      <c r="C411" s="31">
        <v>198570</v>
      </c>
      <c r="D411" s="209">
        <v>9</v>
      </c>
      <c r="E411" s="178">
        <f t="shared" si="24"/>
        <v>149368.84</v>
      </c>
      <c r="F411" s="195">
        <f t="shared" si="25"/>
        <v>149280</v>
      </c>
      <c r="G411" s="189">
        <v>112646.42</v>
      </c>
      <c r="H411" s="228">
        <v>105733.36323169003</v>
      </c>
      <c r="I411" s="189">
        <v>28777.42</v>
      </c>
      <c r="J411" s="228">
        <v>31429.03852886748</v>
      </c>
      <c r="K411" s="179">
        <v>6341</v>
      </c>
      <c r="L411" s="179">
        <v>324</v>
      </c>
      <c r="M411" s="179">
        <v>1280</v>
      </c>
      <c r="N411" s="228">
        <v>6763.592804388057</v>
      </c>
      <c r="O411" s="228">
        <v>650.5069938813958</v>
      </c>
      <c r="P411" s="228">
        <v>4703.498441173038</v>
      </c>
      <c r="Q411" s="201"/>
      <c r="R411" s="202"/>
      <c r="S411" s="178">
        <f t="shared" si="26"/>
        <v>0</v>
      </c>
      <c r="T411" s="195">
        <f t="shared" si="27"/>
        <v>0</v>
      </c>
      <c r="U411" s="189"/>
      <c r="V411" s="181"/>
      <c r="W411" s="189"/>
      <c r="X411" s="181"/>
      <c r="Y411" s="179"/>
      <c r="Z411" s="179">
        <v>0</v>
      </c>
      <c r="AA411" s="179"/>
      <c r="AB411" s="180"/>
      <c r="AC411" s="180"/>
      <c r="AD411" s="180"/>
      <c r="AE411" s="201"/>
      <c r="AF411" s="267"/>
    </row>
    <row r="412" spans="1:32" s="223" customFormat="1" ht="15" customHeight="1">
      <c r="A412" s="164" t="s">
        <v>93</v>
      </c>
      <c r="B412" s="164" t="s">
        <v>125</v>
      </c>
      <c r="C412" s="31">
        <v>198710</v>
      </c>
      <c r="D412" s="209">
        <v>9</v>
      </c>
      <c r="E412" s="178">
        <f t="shared" si="24"/>
        <v>71314.06</v>
      </c>
      <c r="F412" s="195">
        <f t="shared" si="25"/>
        <v>74550</v>
      </c>
      <c r="G412" s="189">
        <v>59930.03</v>
      </c>
      <c r="H412" s="228">
        <v>64707.99104124407</v>
      </c>
      <c r="I412" s="189">
        <v>9168.03</v>
      </c>
      <c r="J412" s="228">
        <v>7009.389790398918</v>
      </c>
      <c r="K412" s="179">
        <v>2118</v>
      </c>
      <c r="L412" s="179">
        <v>0</v>
      </c>
      <c r="M412" s="179">
        <v>98</v>
      </c>
      <c r="N412" s="228">
        <v>2804.415990534145</v>
      </c>
      <c r="O412" s="228">
        <v>0</v>
      </c>
      <c r="P412" s="228">
        <v>28.20317782285328</v>
      </c>
      <c r="Q412" s="201"/>
      <c r="R412" s="202"/>
      <c r="S412" s="178">
        <f t="shared" si="26"/>
        <v>0</v>
      </c>
      <c r="T412" s="195">
        <f t="shared" si="27"/>
        <v>0</v>
      </c>
      <c r="U412" s="189"/>
      <c r="V412" s="181"/>
      <c r="W412" s="189"/>
      <c r="X412" s="181"/>
      <c r="Y412" s="179"/>
      <c r="Z412" s="179">
        <v>0</v>
      </c>
      <c r="AA412" s="179"/>
      <c r="AB412" s="180"/>
      <c r="AC412" s="180"/>
      <c r="AD412" s="180"/>
      <c r="AE412" s="201"/>
      <c r="AF412" s="267"/>
    </row>
    <row r="413" spans="1:32" s="223" customFormat="1" ht="15" customHeight="1">
      <c r="A413" s="164" t="s">
        <v>93</v>
      </c>
      <c r="B413" s="164" t="s">
        <v>123</v>
      </c>
      <c r="C413" s="31">
        <v>198774</v>
      </c>
      <c r="D413" s="209">
        <v>9</v>
      </c>
      <c r="E413" s="178">
        <f t="shared" si="24"/>
        <v>119158.54999999999</v>
      </c>
      <c r="F413" s="195">
        <f t="shared" si="25"/>
        <v>119759.99999999999</v>
      </c>
      <c r="G413" s="189">
        <v>75009.275</v>
      </c>
      <c r="H413" s="228">
        <v>74320.38148924014</v>
      </c>
      <c r="I413" s="189">
        <v>39844.275</v>
      </c>
      <c r="J413" s="228">
        <v>39480.27941344506</v>
      </c>
      <c r="K413" s="179">
        <v>3158</v>
      </c>
      <c r="L413" s="179">
        <v>458</v>
      </c>
      <c r="M413" s="179">
        <v>689</v>
      </c>
      <c r="N413" s="228">
        <v>4155.450771281661</v>
      </c>
      <c r="O413" s="228">
        <v>685.1248143210818</v>
      </c>
      <c r="P413" s="228">
        <v>1118.7635117120549</v>
      </c>
      <c r="Q413" s="201"/>
      <c r="R413" s="202"/>
      <c r="S413" s="178">
        <f t="shared" si="26"/>
        <v>0</v>
      </c>
      <c r="T413" s="195">
        <f t="shared" si="27"/>
        <v>0</v>
      </c>
      <c r="U413" s="189"/>
      <c r="V413" s="181"/>
      <c r="W413" s="189"/>
      <c r="X413" s="181"/>
      <c r="Y413" s="179"/>
      <c r="Z413" s="179">
        <v>0</v>
      </c>
      <c r="AA413" s="179"/>
      <c r="AB413" s="180"/>
      <c r="AC413" s="180"/>
      <c r="AD413" s="180"/>
      <c r="AE413" s="201"/>
      <c r="AF413" s="267"/>
    </row>
    <row r="414" spans="1:32" s="223" customFormat="1" ht="15" customHeight="1">
      <c r="A414" s="164" t="s">
        <v>93</v>
      </c>
      <c r="B414" s="164" t="s">
        <v>122</v>
      </c>
      <c r="C414" s="31">
        <v>198817</v>
      </c>
      <c r="D414" s="209">
        <v>9</v>
      </c>
      <c r="E414" s="178">
        <f t="shared" si="24"/>
        <v>98580</v>
      </c>
      <c r="F414" s="195">
        <f t="shared" si="25"/>
        <v>99420</v>
      </c>
      <c r="G414" s="189">
        <v>71286</v>
      </c>
      <c r="H414" s="228">
        <v>68850.88540684554</v>
      </c>
      <c r="I414" s="189">
        <v>21726</v>
      </c>
      <c r="J414" s="228">
        <v>24459.04111338877</v>
      </c>
      <c r="K414" s="179">
        <v>4358</v>
      </c>
      <c r="L414" s="179">
        <v>168</v>
      </c>
      <c r="M414" s="179">
        <v>1042</v>
      </c>
      <c r="N414" s="228">
        <v>4764.508725722176</v>
      </c>
      <c r="O414" s="228">
        <v>63.19618732474041</v>
      </c>
      <c r="P414" s="228">
        <v>1282.3685667187756</v>
      </c>
      <c r="Q414" s="201"/>
      <c r="R414" s="202"/>
      <c r="S414" s="178">
        <f t="shared" si="26"/>
        <v>0</v>
      </c>
      <c r="T414" s="195">
        <f t="shared" si="27"/>
        <v>0</v>
      </c>
      <c r="U414" s="189"/>
      <c r="V414" s="181"/>
      <c r="W414" s="189"/>
      <c r="X414" s="181"/>
      <c r="Y414" s="179"/>
      <c r="Z414" s="179">
        <v>0</v>
      </c>
      <c r="AA414" s="179"/>
      <c r="AB414" s="180"/>
      <c r="AC414" s="180"/>
      <c r="AD414" s="180"/>
      <c r="AE414" s="201"/>
      <c r="AF414" s="267"/>
    </row>
    <row r="415" spans="1:32" s="223" customFormat="1" ht="15" customHeight="1">
      <c r="A415" s="164" t="s">
        <v>93</v>
      </c>
      <c r="B415" s="164" t="s">
        <v>118</v>
      </c>
      <c r="C415" s="31">
        <v>198987</v>
      </c>
      <c r="D415" s="209">
        <v>9</v>
      </c>
      <c r="E415" s="178">
        <f t="shared" si="24"/>
        <v>74084.34</v>
      </c>
      <c r="F415" s="195">
        <f t="shared" si="25"/>
        <v>73980</v>
      </c>
      <c r="G415" s="189">
        <v>59912.17</v>
      </c>
      <c r="H415" s="228">
        <v>59265.15268583567</v>
      </c>
      <c r="I415" s="189">
        <v>12304.17</v>
      </c>
      <c r="J415" s="228">
        <v>12438.913342224636</v>
      </c>
      <c r="K415" s="179">
        <v>1834</v>
      </c>
      <c r="L415" s="179">
        <v>0</v>
      </c>
      <c r="M415" s="179">
        <v>34</v>
      </c>
      <c r="N415" s="228">
        <v>2275.933971939696</v>
      </c>
      <c r="O415" s="228">
        <v>0</v>
      </c>
      <c r="P415" s="228">
        <v>0</v>
      </c>
      <c r="Q415" s="201"/>
      <c r="R415" s="202"/>
      <c r="S415" s="178">
        <f t="shared" si="26"/>
        <v>0</v>
      </c>
      <c r="T415" s="195">
        <f t="shared" si="27"/>
        <v>0</v>
      </c>
      <c r="U415" s="189"/>
      <c r="V415" s="181"/>
      <c r="W415" s="189"/>
      <c r="X415" s="181"/>
      <c r="Y415" s="179"/>
      <c r="Z415" s="179">
        <v>0</v>
      </c>
      <c r="AA415" s="179"/>
      <c r="AB415" s="180"/>
      <c r="AC415" s="180"/>
      <c r="AD415" s="180"/>
      <c r="AE415" s="201"/>
      <c r="AF415" s="267"/>
    </row>
    <row r="416" spans="1:32" s="223" customFormat="1" ht="15" customHeight="1">
      <c r="A416" s="164" t="s">
        <v>93</v>
      </c>
      <c r="B416" s="164" t="s">
        <v>116</v>
      </c>
      <c r="C416" s="31">
        <v>199087</v>
      </c>
      <c r="D416" s="209">
        <v>9</v>
      </c>
      <c r="E416" s="178">
        <f t="shared" si="24"/>
        <v>74451.88</v>
      </c>
      <c r="F416" s="195">
        <f t="shared" si="25"/>
        <v>75690</v>
      </c>
      <c r="G416" s="189">
        <v>59543.94</v>
      </c>
      <c r="H416" s="228">
        <v>60383.20203283631</v>
      </c>
      <c r="I416" s="189">
        <v>11235.94</v>
      </c>
      <c r="J416" s="228">
        <v>10634.988695504639</v>
      </c>
      <c r="K416" s="179">
        <v>3635</v>
      </c>
      <c r="L416" s="179">
        <v>0</v>
      </c>
      <c r="M416" s="179">
        <v>37</v>
      </c>
      <c r="N416" s="228">
        <v>4563.697339399225</v>
      </c>
      <c r="O416" s="228">
        <v>0</v>
      </c>
      <c r="P416" s="228">
        <v>108.11193225983374</v>
      </c>
      <c r="Q416" s="201"/>
      <c r="R416" s="202"/>
      <c r="S416" s="178">
        <f t="shared" si="26"/>
        <v>0</v>
      </c>
      <c r="T416" s="195">
        <f t="shared" si="27"/>
        <v>0</v>
      </c>
      <c r="U416" s="189"/>
      <c r="V416" s="181"/>
      <c r="W416" s="189"/>
      <c r="X416" s="181"/>
      <c r="Y416" s="179"/>
      <c r="Z416" s="179">
        <v>0</v>
      </c>
      <c r="AA416" s="179"/>
      <c r="AB416" s="180"/>
      <c r="AC416" s="180"/>
      <c r="AD416" s="180"/>
      <c r="AE416" s="201"/>
      <c r="AF416" s="267"/>
    </row>
    <row r="417" spans="1:32" s="223" customFormat="1" ht="15" customHeight="1">
      <c r="A417" s="164" t="s">
        <v>93</v>
      </c>
      <c r="B417" s="164" t="s">
        <v>112</v>
      </c>
      <c r="C417" s="31">
        <v>199421</v>
      </c>
      <c r="D417" s="209">
        <v>9</v>
      </c>
      <c r="E417" s="178">
        <f t="shared" si="24"/>
        <v>83155.36</v>
      </c>
      <c r="F417" s="195">
        <f t="shared" si="25"/>
        <v>85350</v>
      </c>
      <c r="G417" s="189">
        <v>60868.68</v>
      </c>
      <c r="H417" s="228">
        <v>61630.8546406104</v>
      </c>
      <c r="I417" s="189">
        <v>13324.68</v>
      </c>
      <c r="J417" s="228">
        <v>12462.071578353805</v>
      </c>
      <c r="K417" s="179">
        <v>8962</v>
      </c>
      <c r="L417" s="179">
        <v>0</v>
      </c>
      <c r="M417" s="179">
        <v>0</v>
      </c>
      <c r="N417" s="228">
        <v>10956.275529084212</v>
      </c>
      <c r="O417" s="228">
        <v>0</v>
      </c>
      <c r="P417" s="228">
        <v>300.7982519515763</v>
      </c>
      <c r="Q417" s="201"/>
      <c r="R417" s="202"/>
      <c r="S417" s="178">
        <f t="shared" si="26"/>
        <v>0</v>
      </c>
      <c r="T417" s="195">
        <f t="shared" si="27"/>
        <v>0</v>
      </c>
      <c r="U417" s="189"/>
      <c r="V417" s="181"/>
      <c r="W417" s="189"/>
      <c r="X417" s="181"/>
      <c r="Y417" s="179"/>
      <c r="Z417" s="179">
        <v>0</v>
      </c>
      <c r="AA417" s="179"/>
      <c r="AB417" s="180"/>
      <c r="AC417" s="180"/>
      <c r="AD417" s="180"/>
      <c r="AE417" s="201"/>
      <c r="AF417" s="267"/>
    </row>
    <row r="418" spans="1:32" s="223" customFormat="1" ht="15" customHeight="1">
      <c r="A418" s="164" t="s">
        <v>93</v>
      </c>
      <c r="B418" s="164" t="s">
        <v>111</v>
      </c>
      <c r="C418" s="31">
        <v>199449</v>
      </c>
      <c r="D418" s="209">
        <v>9</v>
      </c>
      <c r="E418" s="178">
        <f t="shared" si="24"/>
        <v>64399.14</v>
      </c>
      <c r="F418" s="195">
        <f t="shared" si="25"/>
        <v>64859.99999999999</v>
      </c>
      <c r="G418" s="189">
        <v>51197.57</v>
      </c>
      <c r="H418" s="228">
        <v>45216.67530814513</v>
      </c>
      <c r="I418" s="189">
        <v>12158.57</v>
      </c>
      <c r="J418" s="228">
        <v>16953.901019195313</v>
      </c>
      <c r="K418" s="179">
        <v>855</v>
      </c>
      <c r="L418" s="179">
        <v>0</v>
      </c>
      <c r="M418" s="179">
        <v>188</v>
      </c>
      <c r="N418" s="228">
        <v>1914.556430102294</v>
      </c>
      <c r="O418" s="228">
        <v>0</v>
      </c>
      <c r="P418" s="228">
        <v>774.8672425572537</v>
      </c>
      <c r="Q418" s="201"/>
      <c r="R418" s="202"/>
      <c r="S418" s="178">
        <f t="shared" si="26"/>
        <v>0</v>
      </c>
      <c r="T418" s="195">
        <f t="shared" si="27"/>
        <v>0</v>
      </c>
      <c r="U418" s="189"/>
      <c r="V418" s="181"/>
      <c r="W418" s="189"/>
      <c r="X418" s="181"/>
      <c r="Y418" s="179"/>
      <c r="Z418" s="179">
        <v>0</v>
      </c>
      <c r="AA418" s="179"/>
      <c r="AB418" s="180"/>
      <c r="AC418" s="180"/>
      <c r="AD418" s="180"/>
      <c r="AE418" s="201"/>
      <c r="AF418" s="267"/>
    </row>
    <row r="419" spans="1:32" s="223" customFormat="1" ht="15" customHeight="1">
      <c r="A419" s="164" t="s">
        <v>93</v>
      </c>
      <c r="B419" s="164" t="s">
        <v>109</v>
      </c>
      <c r="C419" s="31">
        <v>199476</v>
      </c>
      <c r="D419" s="209">
        <v>9</v>
      </c>
      <c r="E419" s="178">
        <f t="shared" si="24"/>
        <v>108726.09</v>
      </c>
      <c r="F419" s="195">
        <f t="shared" si="25"/>
        <v>108540</v>
      </c>
      <c r="G419" s="189">
        <v>72236.045</v>
      </c>
      <c r="H419" s="228">
        <v>69066.96013380734</v>
      </c>
      <c r="I419" s="189">
        <v>36413.045</v>
      </c>
      <c r="J419" s="228">
        <v>38236.689483097434</v>
      </c>
      <c r="K419" s="179">
        <v>77</v>
      </c>
      <c r="L419" s="179">
        <v>0</v>
      </c>
      <c r="M419" s="179">
        <v>0</v>
      </c>
      <c r="N419" s="228">
        <v>1209.0889619996026</v>
      </c>
      <c r="O419" s="228">
        <v>0</v>
      </c>
      <c r="P419" s="228">
        <v>27.261421095630286</v>
      </c>
      <c r="Q419" s="201"/>
      <c r="R419" s="202"/>
      <c r="S419" s="178">
        <f t="shared" si="26"/>
        <v>0</v>
      </c>
      <c r="T419" s="195">
        <f t="shared" si="27"/>
        <v>0</v>
      </c>
      <c r="U419" s="189"/>
      <c r="V419" s="181"/>
      <c r="W419" s="189"/>
      <c r="X419" s="181"/>
      <c r="Y419" s="179"/>
      <c r="Z419" s="179">
        <v>0</v>
      </c>
      <c r="AA419" s="179"/>
      <c r="AB419" s="180"/>
      <c r="AC419" s="180"/>
      <c r="AD419" s="180"/>
      <c r="AE419" s="201"/>
      <c r="AF419" s="267"/>
    </row>
    <row r="420" spans="1:32" s="223" customFormat="1" ht="15" customHeight="1">
      <c r="A420" s="164" t="s">
        <v>93</v>
      </c>
      <c r="B420" s="164" t="s">
        <v>108</v>
      </c>
      <c r="C420" s="31">
        <v>199485</v>
      </c>
      <c r="D420" s="209">
        <v>9</v>
      </c>
      <c r="E420" s="178">
        <f t="shared" si="24"/>
        <v>67268.25</v>
      </c>
      <c r="F420" s="195">
        <f t="shared" si="25"/>
        <v>72330</v>
      </c>
      <c r="G420" s="189">
        <v>52687.125</v>
      </c>
      <c r="H420" s="228">
        <v>56490.55703525259</v>
      </c>
      <c r="I420" s="189">
        <v>10614.125</v>
      </c>
      <c r="J420" s="228">
        <v>11182.461447765749</v>
      </c>
      <c r="K420" s="179">
        <v>2445</v>
      </c>
      <c r="L420" s="179">
        <v>0</v>
      </c>
      <c r="M420" s="179">
        <v>1522</v>
      </c>
      <c r="N420" s="228">
        <v>3112.7324585213582</v>
      </c>
      <c r="O420" s="228">
        <v>0</v>
      </c>
      <c r="P420" s="228">
        <v>1544.2490584602856</v>
      </c>
      <c r="Q420" s="201"/>
      <c r="R420" s="202"/>
      <c r="S420" s="178">
        <f t="shared" si="26"/>
        <v>0</v>
      </c>
      <c r="T420" s="195">
        <f t="shared" si="27"/>
        <v>0</v>
      </c>
      <c r="U420" s="189"/>
      <c r="V420" s="181"/>
      <c r="W420" s="189"/>
      <c r="X420" s="181"/>
      <c r="Y420" s="179"/>
      <c r="Z420" s="179">
        <v>0</v>
      </c>
      <c r="AA420" s="179"/>
      <c r="AB420" s="180"/>
      <c r="AC420" s="180"/>
      <c r="AD420" s="180"/>
      <c r="AE420" s="201"/>
      <c r="AF420" s="267"/>
    </row>
    <row r="421" spans="1:32" s="223" customFormat="1" ht="15" customHeight="1">
      <c r="A421" s="164" t="s">
        <v>93</v>
      </c>
      <c r="B421" s="164" t="s">
        <v>107</v>
      </c>
      <c r="C421" s="31">
        <v>199494</v>
      </c>
      <c r="D421" s="209">
        <v>9</v>
      </c>
      <c r="E421" s="178">
        <f t="shared" si="24"/>
        <v>148309.56</v>
      </c>
      <c r="F421" s="195">
        <f t="shared" si="25"/>
        <v>180960</v>
      </c>
      <c r="G421" s="189">
        <v>120541.78</v>
      </c>
      <c r="H421" s="228">
        <v>145573.00807672465</v>
      </c>
      <c r="I421" s="189">
        <v>20536.78</v>
      </c>
      <c r="J421" s="228">
        <v>27152.03477643119</v>
      </c>
      <c r="K421" s="179">
        <v>3246</v>
      </c>
      <c r="L421" s="179">
        <v>1711</v>
      </c>
      <c r="M421" s="179">
        <v>2274</v>
      </c>
      <c r="N421" s="228">
        <v>4367.551424632741</v>
      </c>
      <c r="O421" s="228">
        <v>820.6184995052477</v>
      </c>
      <c r="P421" s="228">
        <v>3046.7872227061684</v>
      </c>
      <c r="Q421" s="201"/>
      <c r="R421" s="202"/>
      <c r="S421" s="178">
        <f t="shared" si="26"/>
        <v>0</v>
      </c>
      <c r="T421" s="195">
        <f t="shared" si="27"/>
        <v>0</v>
      </c>
      <c r="U421" s="189"/>
      <c r="V421" s="181"/>
      <c r="W421" s="189"/>
      <c r="X421" s="181"/>
      <c r="Y421" s="179"/>
      <c r="Z421" s="179">
        <v>0</v>
      </c>
      <c r="AA421" s="179"/>
      <c r="AB421" s="180"/>
      <c r="AC421" s="180"/>
      <c r="AD421" s="180"/>
      <c r="AE421" s="201"/>
      <c r="AF421" s="267"/>
    </row>
    <row r="422" spans="1:32" s="223" customFormat="1" ht="15" customHeight="1">
      <c r="A422" s="164" t="s">
        <v>93</v>
      </c>
      <c r="B422" s="164" t="s">
        <v>105</v>
      </c>
      <c r="C422" s="31">
        <v>199634</v>
      </c>
      <c r="D422" s="209">
        <v>9</v>
      </c>
      <c r="E422" s="178">
        <f t="shared" si="24"/>
        <v>125484.20000000001</v>
      </c>
      <c r="F422" s="195">
        <f t="shared" si="25"/>
        <v>122580</v>
      </c>
      <c r="G422" s="189">
        <v>105677.1</v>
      </c>
      <c r="H422" s="228">
        <v>100125.5035162019</v>
      </c>
      <c r="I422" s="189">
        <v>16233.1</v>
      </c>
      <c r="J422" s="228">
        <v>16978.974335149305</v>
      </c>
      <c r="K422" s="179">
        <v>3537</v>
      </c>
      <c r="L422" s="179">
        <v>0</v>
      </c>
      <c r="M422" s="179">
        <v>37</v>
      </c>
      <c r="N422" s="228">
        <v>5196.470740700894</v>
      </c>
      <c r="O422" s="228">
        <v>0</v>
      </c>
      <c r="P422" s="228">
        <v>279.0514079478878</v>
      </c>
      <c r="Q422" s="201"/>
      <c r="R422" s="202"/>
      <c r="S422" s="178">
        <f t="shared" si="26"/>
        <v>0</v>
      </c>
      <c r="T422" s="195">
        <f t="shared" si="27"/>
        <v>0</v>
      </c>
      <c r="U422" s="189"/>
      <c r="V422" s="181"/>
      <c r="W422" s="189"/>
      <c r="X422" s="181"/>
      <c r="Y422" s="179"/>
      <c r="Z422" s="179">
        <v>0</v>
      </c>
      <c r="AA422" s="179"/>
      <c r="AB422" s="180"/>
      <c r="AC422" s="180"/>
      <c r="AD422" s="180"/>
      <c r="AE422" s="201"/>
      <c r="AF422" s="267"/>
    </row>
    <row r="423" spans="1:32" s="223" customFormat="1" ht="15" customHeight="1">
      <c r="A423" s="164" t="s">
        <v>93</v>
      </c>
      <c r="B423" s="164" t="s">
        <v>103</v>
      </c>
      <c r="C423" s="31">
        <v>199722</v>
      </c>
      <c r="D423" s="209">
        <v>9</v>
      </c>
      <c r="E423" s="178">
        <f t="shared" si="24"/>
        <v>81360.58</v>
      </c>
      <c r="F423" s="195">
        <f t="shared" si="25"/>
        <v>78540</v>
      </c>
      <c r="G423" s="189">
        <v>55534.29</v>
      </c>
      <c r="H423" s="228">
        <v>51113.18286410657</v>
      </c>
      <c r="I423" s="189">
        <v>17560.29</v>
      </c>
      <c r="J423" s="228">
        <v>19559.087061645143</v>
      </c>
      <c r="K423" s="179">
        <v>4866</v>
      </c>
      <c r="L423" s="179">
        <v>143</v>
      </c>
      <c r="M423" s="179">
        <v>3257</v>
      </c>
      <c r="N423" s="228">
        <v>6196.26936509358</v>
      </c>
      <c r="O423" s="228">
        <v>149.22664216382898</v>
      </c>
      <c r="P423" s="228">
        <v>1522.2340669908622</v>
      </c>
      <c r="Q423" s="201"/>
      <c r="R423" s="202"/>
      <c r="S423" s="178">
        <f t="shared" si="26"/>
        <v>0</v>
      </c>
      <c r="T423" s="195">
        <f t="shared" si="27"/>
        <v>0</v>
      </c>
      <c r="U423" s="189"/>
      <c r="V423" s="181"/>
      <c r="W423" s="189"/>
      <c r="X423" s="181"/>
      <c r="Y423" s="179"/>
      <c r="Z423" s="179">
        <v>0</v>
      </c>
      <c r="AA423" s="179"/>
      <c r="AB423" s="180"/>
      <c r="AC423" s="180"/>
      <c r="AD423" s="180"/>
      <c r="AE423" s="201"/>
      <c r="AF423" s="267"/>
    </row>
    <row r="424" spans="1:32" s="223" customFormat="1" ht="15" customHeight="1">
      <c r="A424" s="164" t="s">
        <v>93</v>
      </c>
      <c r="B424" s="164" t="s">
        <v>102</v>
      </c>
      <c r="C424" s="31">
        <v>199731</v>
      </c>
      <c r="D424" s="209">
        <v>9</v>
      </c>
      <c r="E424" s="178">
        <f t="shared" si="24"/>
        <v>68925.21</v>
      </c>
      <c r="F424" s="195">
        <f t="shared" si="25"/>
        <v>70380</v>
      </c>
      <c r="G424" s="189">
        <v>42121.605</v>
      </c>
      <c r="H424" s="228">
        <v>43714.178583405715</v>
      </c>
      <c r="I424" s="189">
        <v>19857.605000000003</v>
      </c>
      <c r="J424" s="228">
        <v>18680.26682603424</v>
      </c>
      <c r="K424" s="179">
        <v>3971</v>
      </c>
      <c r="L424" s="179">
        <v>2507</v>
      </c>
      <c r="M424" s="179">
        <v>468</v>
      </c>
      <c r="N424" s="228">
        <v>5144.161729424814</v>
      </c>
      <c r="O424" s="228">
        <v>2182.6375620200697</v>
      </c>
      <c r="P424" s="228">
        <v>658.755299115166</v>
      </c>
      <c r="Q424" s="201"/>
      <c r="R424" s="202"/>
      <c r="S424" s="178">
        <f t="shared" si="26"/>
        <v>0</v>
      </c>
      <c r="T424" s="195">
        <f t="shared" si="27"/>
        <v>0</v>
      </c>
      <c r="U424" s="189"/>
      <c r="V424" s="181"/>
      <c r="W424" s="189"/>
      <c r="X424" s="181"/>
      <c r="Y424" s="179"/>
      <c r="Z424" s="179">
        <v>0</v>
      </c>
      <c r="AA424" s="179"/>
      <c r="AB424" s="180"/>
      <c r="AC424" s="180"/>
      <c r="AD424" s="180"/>
      <c r="AE424" s="201"/>
      <c r="AF424" s="267"/>
    </row>
    <row r="425" spans="1:32" s="223" customFormat="1" ht="15" customHeight="1">
      <c r="A425" s="164" t="s">
        <v>93</v>
      </c>
      <c r="B425" s="164" t="s">
        <v>100</v>
      </c>
      <c r="C425" s="31">
        <v>199768</v>
      </c>
      <c r="D425" s="209">
        <v>9</v>
      </c>
      <c r="E425" s="178">
        <f t="shared" si="24"/>
        <v>112037.23999999999</v>
      </c>
      <c r="F425" s="195">
        <f t="shared" si="25"/>
        <v>105270.00000000001</v>
      </c>
      <c r="G425" s="189">
        <v>92025.62</v>
      </c>
      <c r="H425" s="228">
        <v>82615.91870389704</v>
      </c>
      <c r="I425" s="189">
        <v>15192.62</v>
      </c>
      <c r="J425" s="228">
        <v>16620.339512900227</v>
      </c>
      <c r="K425" s="179">
        <v>3064</v>
      </c>
      <c r="L425" s="179">
        <v>1069</v>
      </c>
      <c r="M425" s="179">
        <v>686</v>
      </c>
      <c r="N425" s="228">
        <v>4226.185513198499</v>
      </c>
      <c r="O425" s="228">
        <v>1064.2451731693604</v>
      </c>
      <c r="P425" s="228">
        <v>743.311096834884</v>
      </c>
      <c r="Q425" s="201"/>
      <c r="R425" s="202"/>
      <c r="S425" s="178">
        <f t="shared" si="26"/>
        <v>0</v>
      </c>
      <c r="T425" s="195">
        <f t="shared" si="27"/>
        <v>0</v>
      </c>
      <c r="U425" s="189"/>
      <c r="V425" s="181"/>
      <c r="W425" s="189"/>
      <c r="X425" s="181"/>
      <c r="Y425" s="179"/>
      <c r="Z425" s="179">
        <v>0</v>
      </c>
      <c r="AA425" s="179"/>
      <c r="AB425" s="180"/>
      <c r="AC425" s="180"/>
      <c r="AD425" s="180"/>
      <c r="AE425" s="201"/>
      <c r="AF425" s="267"/>
    </row>
    <row r="426" spans="1:32" s="223" customFormat="1" ht="15" customHeight="1">
      <c r="A426" s="164" t="s">
        <v>93</v>
      </c>
      <c r="B426" s="164" t="s">
        <v>98</v>
      </c>
      <c r="C426" s="31">
        <v>199838</v>
      </c>
      <c r="D426" s="209">
        <v>9</v>
      </c>
      <c r="E426" s="178">
        <f t="shared" si="24"/>
        <v>143110.73</v>
      </c>
      <c r="F426" s="195">
        <f t="shared" si="25"/>
        <v>145920</v>
      </c>
      <c r="G426" s="189">
        <v>111155.365</v>
      </c>
      <c r="H426" s="228">
        <v>114114.53091165841</v>
      </c>
      <c r="I426" s="189">
        <v>30012.365000000005</v>
      </c>
      <c r="J426" s="228">
        <v>27032.926596484893</v>
      </c>
      <c r="K426" s="179">
        <v>1943</v>
      </c>
      <c r="L426" s="179">
        <v>0</v>
      </c>
      <c r="M426" s="179">
        <v>0</v>
      </c>
      <c r="N426" s="228">
        <v>4772.542491856711</v>
      </c>
      <c r="O426" s="228">
        <v>0</v>
      </c>
      <c r="P426" s="228">
        <v>0</v>
      </c>
      <c r="Q426" s="201"/>
      <c r="R426" s="202"/>
      <c r="S426" s="178">
        <f t="shared" si="26"/>
        <v>0</v>
      </c>
      <c r="T426" s="195">
        <f t="shared" si="27"/>
        <v>0</v>
      </c>
      <c r="U426" s="189"/>
      <c r="V426" s="181"/>
      <c r="W426" s="189"/>
      <c r="X426" s="181"/>
      <c r="Y426" s="179"/>
      <c r="Z426" s="179">
        <v>0</v>
      </c>
      <c r="AA426" s="179"/>
      <c r="AB426" s="180"/>
      <c r="AC426" s="180"/>
      <c r="AD426" s="180"/>
      <c r="AE426" s="201"/>
      <c r="AF426" s="267"/>
    </row>
    <row r="427" spans="1:32" s="223" customFormat="1" ht="15" customHeight="1">
      <c r="A427" s="164" t="s">
        <v>93</v>
      </c>
      <c r="B427" s="164" t="s">
        <v>96</v>
      </c>
      <c r="C427" s="31">
        <v>199892</v>
      </c>
      <c r="D427" s="209">
        <v>9</v>
      </c>
      <c r="E427" s="178">
        <f t="shared" si="24"/>
        <v>115998.98000000001</v>
      </c>
      <c r="F427" s="195">
        <f t="shared" si="25"/>
        <v>115350</v>
      </c>
      <c r="G427" s="189">
        <v>83183.49</v>
      </c>
      <c r="H427" s="228">
        <v>78900.70642844676</v>
      </c>
      <c r="I427" s="189">
        <v>28036.49</v>
      </c>
      <c r="J427" s="228">
        <v>29613.379681846716</v>
      </c>
      <c r="K427" s="179">
        <v>4776</v>
      </c>
      <c r="L427" s="179">
        <v>3</v>
      </c>
      <c r="M427" s="179">
        <v>0</v>
      </c>
      <c r="N427" s="228">
        <v>6557.08095534549</v>
      </c>
      <c r="O427" s="228">
        <v>0</v>
      </c>
      <c r="P427" s="228">
        <v>278.83293436102343</v>
      </c>
      <c r="Q427" s="201"/>
      <c r="R427" s="202"/>
      <c r="S427" s="178">
        <f t="shared" si="26"/>
        <v>0</v>
      </c>
      <c r="T427" s="195">
        <f t="shared" si="27"/>
        <v>0</v>
      </c>
      <c r="U427" s="189"/>
      <c r="V427" s="181"/>
      <c r="W427" s="189"/>
      <c r="X427" s="181"/>
      <c r="Y427" s="179"/>
      <c r="Z427" s="179">
        <v>0</v>
      </c>
      <c r="AA427" s="179"/>
      <c r="AB427" s="180"/>
      <c r="AC427" s="180"/>
      <c r="AD427" s="180"/>
      <c r="AE427" s="201"/>
      <c r="AF427" s="267"/>
    </row>
    <row r="428" spans="1:32" s="223" customFormat="1" ht="15" customHeight="1">
      <c r="A428" s="164" t="s">
        <v>93</v>
      </c>
      <c r="B428" s="164" t="s">
        <v>95</v>
      </c>
      <c r="C428" s="31">
        <v>199908</v>
      </c>
      <c r="D428" s="209">
        <v>9</v>
      </c>
      <c r="E428" s="178">
        <f t="shared" si="24"/>
        <v>100994.63</v>
      </c>
      <c r="F428" s="195">
        <f t="shared" si="25"/>
        <v>100560</v>
      </c>
      <c r="G428" s="189">
        <v>68431.315</v>
      </c>
      <c r="H428" s="228">
        <v>68430.61094791294</v>
      </c>
      <c r="I428" s="189">
        <v>20611.315000000002</v>
      </c>
      <c r="J428" s="228">
        <v>19256.934188298343</v>
      </c>
      <c r="K428" s="179">
        <v>11217</v>
      </c>
      <c r="L428" s="179">
        <v>107</v>
      </c>
      <c r="M428" s="179">
        <v>628</v>
      </c>
      <c r="N428" s="228">
        <v>12022.156516207628</v>
      </c>
      <c r="O428" s="228">
        <v>2.112167648356133</v>
      </c>
      <c r="P428" s="228">
        <v>848.186179932727</v>
      </c>
      <c r="Q428" s="201"/>
      <c r="R428" s="202"/>
      <c r="S428" s="178">
        <f t="shared" si="26"/>
        <v>0</v>
      </c>
      <c r="T428" s="195">
        <f t="shared" si="27"/>
        <v>0</v>
      </c>
      <c r="U428" s="189"/>
      <c r="V428" s="181"/>
      <c r="W428" s="189"/>
      <c r="X428" s="181"/>
      <c r="Y428" s="179"/>
      <c r="Z428" s="179">
        <v>0</v>
      </c>
      <c r="AA428" s="179"/>
      <c r="AB428" s="180"/>
      <c r="AC428" s="180"/>
      <c r="AD428" s="180"/>
      <c r="AE428" s="201"/>
      <c r="AF428" s="267"/>
    </row>
    <row r="429" spans="1:32" s="223" customFormat="1" ht="15" customHeight="1">
      <c r="A429" s="164" t="s">
        <v>93</v>
      </c>
      <c r="B429" s="164" t="s">
        <v>94</v>
      </c>
      <c r="C429" s="31">
        <v>199926</v>
      </c>
      <c r="D429" s="209">
        <v>9</v>
      </c>
      <c r="E429" s="178">
        <f t="shared" si="24"/>
        <v>98817.68</v>
      </c>
      <c r="F429" s="195">
        <f t="shared" si="25"/>
        <v>98250</v>
      </c>
      <c r="G429" s="189">
        <v>73323.84</v>
      </c>
      <c r="H429" s="228">
        <v>67452.18123116001</v>
      </c>
      <c r="I429" s="189">
        <v>18394.84</v>
      </c>
      <c r="J429" s="228">
        <v>22458.302602787935</v>
      </c>
      <c r="K429" s="179">
        <v>4007</v>
      </c>
      <c r="L429" s="179">
        <v>2735</v>
      </c>
      <c r="M429" s="179">
        <v>357</v>
      </c>
      <c r="N429" s="228">
        <v>5335.173595703334</v>
      </c>
      <c r="O429" s="228">
        <v>2755.985188132144</v>
      </c>
      <c r="P429" s="228">
        <v>248.35738221657766</v>
      </c>
      <c r="Q429" s="201"/>
      <c r="R429" s="202"/>
      <c r="S429" s="178">
        <f t="shared" si="26"/>
        <v>0</v>
      </c>
      <c r="T429" s="195">
        <f t="shared" si="27"/>
        <v>0</v>
      </c>
      <c r="U429" s="189"/>
      <c r="V429" s="181"/>
      <c r="W429" s="189"/>
      <c r="X429" s="181"/>
      <c r="Y429" s="179"/>
      <c r="Z429" s="179">
        <v>0</v>
      </c>
      <c r="AA429" s="179"/>
      <c r="AB429" s="180"/>
      <c r="AC429" s="180"/>
      <c r="AD429" s="180"/>
      <c r="AE429" s="201"/>
      <c r="AF429" s="267"/>
    </row>
    <row r="430" spans="1:32" s="223" customFormat="1" ht="15" customHeight="1">
      <c r="A430" s="164" t="s">
        <v>93</v>
      </c>
      <c r="B430" s="164" t="s">
        <v>92</v>
      </c>
      <c r="C430" s="31">
        <v>199953</v>
      </c>
      <c r="D430" s="209">
        <v>9</v>
      </c>
      <c r="E430" s="178">
        <f t="shared" si="24"/>
        <v>73853.62</v>
      </c>
      <c r="F430" s="195">
        <f t="shared" si="25"/>
        <v>79290</v>
      </c>
      <c r="G430" s="189">
        <v>56320.81</v>
      </c>
      <c r="H430" s="228">
        <v>57300.4011592115</v>
      </c>
      <c r="I430" s="189">
        <v>9286.81</v>
      </c>
      <c r="J430" s="228">
        <v>9249.830348056605</v>
      </c>
      <c r="K430" s="179">
        <v>2614</v>
      </c>
      <c r="L430" s="179">
        <v>0</v>
      </c>
      <c r="M430" s="179">
        <v>5632</v>
      </c>
      <c r="N430" s="228">
        <v>4309.791358681313</v>
      </c>
      <c r="O430" s="228">
        <v>0</v>
      </c>
      <c r="P430" s="228">
        <v>8429.977134050581</v>
      </c>
      <c r="Q430" s="201"/>
      <c r="R430" s="202"/>
      <c r="S430" s="178">
        <f t="shared" si="26"/>
        <v>0</v>
      </c>
      <c r="T430" s="195">
        <f t="shared" si="27"/>
        <v>0</v>
      </c>
      <c r="U430" s="189"/>
      <c r="V430" s="181"/>
      <c r="W430" s="189"/>
      <c r="X430" s="181"/>
      <c r="Y430" s="179"/>
      <c r="Z430" s="179">
        <v>0</v>
      </c>
      <c r="AA430" s="179"/>
      <c r="AB430" s="180"/>
      <c r="AC430" s="180"/>
      <c r="AD430" s="180"/>
      <c r="AE430" s="201"/>
      <c r="AF430" s="267"/>
    </row>
    <row r="431" spans="1:32" s="223" customFormat="1" ht="15" customHeight="1">
      <c r="A431" s="164" t="s">
        <v>93</v>
      </c>
      <c r="B431" s="164" t="s">
        <v>147</v>
      </c>
      <c r="C431" s="31">
        <v>197996</v>
      </c>
      <c r="D431" s="209">
        <v>10</v>
      </c>
      <c r="E431" s="178">
        <f t="shared" si="24"/>
        <v>60852.89</v>
      </c>
      <c r="F431" s="195">
        <f t="shared" si="25"/>
        <v>60810</v>
      </c>
      <c r="G431" s="189">
        <v>43069.445</v>
      </c>
      <c r="H431" s="228">
        <v>40990.45118066668</v>
      </c>
      <c r="I431" s="189">
        <v>13601.445</v>
      </c>
      <c r="J431" s="228">
        <v>15244.104592561574</v>
      </c>
      <c r="K431" s="179">
        <v>2321</v>
      </c>
      <c r="L431" s="179">
        <v>1754</v>
      </c>
      <c r="M431" s="179">
        <v>107</v>
      </c>
      <c r="N431" s="228">
        <v>3040.6970345002915</v>
      </c>
      <c r="O431" s="228">
        <v>1367.1163020233591</v>
      </c>
      <c r="P431" s="228">
        <v>167.63089024809705</v>
      </c>
      <c r="Q431" s="201"/>
      <c r="R431" s="202"/>
      <c r="S431" s="178">
        <f t="shared" si="26"/>
        <v>0</v>
      </c>
      <c r="T431" s="195">
        <f t="shared" si="27"/>
        <v>0</v>
      </c>
      <c r="U431" s="189"/>
      <c r="V431" s="181"/>
      <c r="W431" s="189"/>
      <c r="X431" s="181"/>
      <c r="Y431" s="179"/>
      <c r="Z431" s="179">
        <v>0</v>
      </c>
      <c r="AA431" s="179"/>
      <c r="AB431" s="180"/>
      <c r="AC431" s="180"/>
      <c r="AD431" s="180"/>
      <c r="AE431" s="201"/>
      <c r="AF431" s="267"/>
    </row>
    <row r="432" spans="1:32" s="223" customFormat="1" ht="15" customHeight="1">
      <c r="A432" s="164" t="s">
        <v>93</v>
      </c>
      <c r="B432" s="164" t="s">
        <v>146</v>
      </c>
      <c r="C432" s="31">
        <v>198011</v>
      </c>
      <c r="D432" s="209">
        <v>10</v>
      </c>
      <c r="E432" s="178">
        <f t="shared" si="24"/>
        <v>47829.28</v>
      </c>
      <c r="F432" s="195">
        <f t="shared" si="25"/>
        <v>47340</v>
      </c>
      <c r="G432" s="189">
        <v>38988.64</v>
      </c>
      <c r="H432" s="228">
        <v>31310.401121941344</v>
      </c>
      <c r="I432" s="189">
        <v>8688.64</v>
      </c>
      <c r="J432" s="228">
        <v>7524.2996588126125</v>
      </c>
      <c r="K432" s="179">
        <v>151</v>
      </c>
      <c r="L432" s="179">
        <v>0</v>
      </c>
      <c r="M432" s="179">
        <v>1</v>
      </c>
      <c r="N432" s="228">
        <v>3584.1165758461657</v>
      </c>
      <c r="O432" s="228">
        <v>219.98171961234416</v>
      </c>
      <c r="P432" s="228">
        <v>4701.200923787529</v>
      </c>
      <c r="Q432" s="201"/>
      <c r="R432" s="202"/>
      <c r="S432" s="178">
        <f t="shared" si="26"/>
        <v>0</v>
      </c>
      <c r="T432" s="195">
        <f t="shared" si="27"/>
        <v>0</v>
      </c>
      <c r="U432" s="189"/>
      <c r="V432" s="181"/>
      <c r="W432" s="189"/>
      <c r="X432" s="181"/>
      <c r="Y432" s="179"/>
      <c r="Z432" s="179">
        <v>0</v>
      </c>
      <c r="AA432" s="179"/>
      <c r="AB432" s="180"/>
      <c r="AC432" s="180"/>
      <c r="AD432" s="180"/>
      <c r="AE432" s="201"/>
      <c r="AF432" s="267"/>
    </row>
    <row r="433" spans="1:32" s="223" customFormat="1" ht="15" customHeight="1">
      <c r="A433" s="164" t="s">
        <v>93</v>
      </c>
      <c r="B433" s="164" t="s">
        <v>144</v>
      </c>
      <c r="C433" s="31">
        <v>198084</v>
      </c>
      <c r="D433" s="209">
        <v>10</v>
      </c>
      <c r="E433" s="178">
        <f t="shared" si="24"/>
        <v>41282.83</v>
      </c>
      <c r="F433" s="195">
        <f t="shared" si="25"/>
        <v>42900</v>
      </c>
      <c r="G433" s="189">
        <v>34886.415</v>
      </c>
      <c r="H433" s="228">
        <v>34271.10466028558</v>
      </c>
      <c r="I433" s="189">
        <v>4377.415000000001</v>
      </c>
      <c r="J433" s="228">
        <v>5503.32653381453</v>
      </c>
      <c r="K433" s="179">
        <v>1556</v>
      </c>
      <c r="L433" s="179">
        <v>37</v>
      </c>
      <c r="M433" s="179">
        <v>426</v>
      </c>
      <c r="N433" s="228">
        <v>2176.729954495528</v>
      </c>
      <c r="O433" s="228">
        <v>59.05382080652753</v>
      </c>
      <c r="P433" s="228">
        <v>889.7850305978346</v>
      </c>
      <c r="Q433" s="201"/>
      <c r="R433" s="202"/>
      <c r="S433" s="178">
        <f t="shared" si="26"/>
        <v>0</v>
      </c>
      <c r="T433" s="195">
        <f t="shared" si="27"/>
        <v>0</v>
      </c>
      <c r="U433" s="189"/>
      <c r="V433" s="181"/>
      <c r="W433" s="189"/>
      <c r="X433" s="181"/>
      <c r="Y433" s="179"/>
      <c r="Z433" s="179">
        <v>0</v>
      </c>
      <c r="AA433" s="179"/>
      <c r="AB433" s="180"/>
      <c r="AC433" s="180"/>
      <c r="AD433" s="180"/>
      <c r="AE433" s="201"/>
      <c r="AF433" s="267"/>
    </row>
    <row r="434" spans="1:32" s="223" customFormat="1" ht="15" customHeight="1">
      <c r="A434" s="164" t="s">
        <v>93</v>
      </c>
      <c r="B434" s="164" t="s">
        <v>142</v>
      </c>
      <c r="C434" s="31">
        <v>198206</v>
      </c>
      <c r="D434" s="209">
        <v>10</v>
      </c>
      <c r="E434" s="178">
        <f t="shared" si="24"/>
        <v>57891.17</v>
      </c>
      <c r="F434" s="195">
        <f t="shared" si="25"/>
        <v>58980</v>
      </c>
      <c r="G434" s="189">
        <v>42800.585</v>
      </c>
      <c r="H434" s="228">
        <v>43146.98407516603</v>
      </c>
      <c r="I434" s="189">
        <v>9693.585</v>
      </c>
      <c r="J434" s="228">
        <v>10463.184252675394</v>
      </c>
      <c r="K434" s="179">
        <v>5383</v>
      </c>
      <c r="L434" s="179">
        <v>0</v>
      </c>
      <c r="M434" s="179">
        <v>14</v>
      </c>
      <c r="N434" s="228">
        <v>5342.454525978597</v>
      </c>
      <c r="O434" s="228">
        <v>0</v>
      </c>
      <c r="P434" s="228">
        <v>27.37714617997817</v>
      </c>
      <c r="Q434" s="201"/>
      <c r="R434" s="202"/>
      <c r="S434" s="178">
        <f t="shared" si="26"/>
        <v>0</v>
      </c>
      <c r="T434" s="195">
        <f t="shared" si="27"/>
        <v>0</v>
      </c>
      <c r="U434" s="189"/>
      <c r="V434" s="181"/>
      <c r="W434" s="189"/>
      <c r="X434" s="181"/>
      <c r="Y434" s="179"/>
      <c r="Z434" s="179">
        <v>0</v>
      </c>
      <c r="AA434" s="179"/>
      <c r="AB434" s="180"/>
      <c r="AC434" s="180"/>
      <c r="AD434" s="180"/>
      <c r="AE434" s="201"/>
      <c r="AF434" s="267"/>
    </row>
    <row r="435" spans="1:32" s="223" customFormat="1" ht="15" customHeight="1">
      <c r="A435" s="164" t="s">
        <v>93</v>
      </c>
      <c r="B435" s="164" t="s">
        <v>127</v>
      </c>
      <c r="C435" s="31">
        <v>198640</v>
      </c>
      <c r="D435" s="209">
        <v>10</v>
      </c>
      <c r="E435" s="178">
        <f t="shared" si="24"/>
        <v>58950</v>
      </c>
      <c r="F435" s="195">
        <f t="shared" si="25"/>
        <v>56520.00000000001</v>
      </c>
      <c r="G435" s="189">
        <v>45614</v>
      </c>
      <c r="H435" s="228">
        <v>41202.65039831264</v>
      </c>
      <c r="I435" s="189">
        <v>8279</v>
      </c>
      <c r="J435" s="228">
        <v>7862.993738824272</v>
      </c>
      <c r="K435" s="179">
        <v>3709</v>
      </c>
      <c r="L435" s="179">
        <v>93</v>
      </c>
      <c r="M435" s="179">
        <v>1255</v>
      </c>
      <c r="N435" s="228">
        <v>5032.253414306039</v>
      </c>
      <c r="O435" s="228">
        <v>167.08470579117235</v>
      </c>
      <c r="P435" s="228">
        <v>2255.017742765878</v>
      </c>
      <c r="Q435" s="201"/>
      <c r="R435" s="202"/>
      <c r="S435" s="178">
        <f t="shared" si="26"/>
        <v>0</v>
      </c>
      <c r="T435" s="195">
        <f t="shared" si="27"/>
        <v>0</v>
      </c>
      <c r="U435" s="189"/>
      <c r="V435" s="181"/>
      <c r="W435" s="189"/>
      <c r="X435" s="181"/>
      <c r="Y435" s="179"/>
      <c r="Z435" s="179">
        <v>0</v>
      </c>
      <c r="AA435" s="179"/>
      <c r="AB435" s="180"/>
      <c r="AC435" s="180"/>
      <c r="AD435" s="180"/>
      <c r="AE435" s="201"/>
      <c r="AF435" s="267"/>
    </row>
    <row r="436" spans="1:32" s="223" customFormat="1" ht="15" customHeight="1">
      <c r="A436" s="164" t="s">
        <v>93</v>
      </c>
      <c r="B436" s="164" t="s">
        <v>126</v>
      </c>
      <c r="C436" s="31">
        <v>198668</v>
      </c>
      <c r="D436" s="209">
        <v>10</v>
      </c>
      <c r="E436" s="178">
        <f t="shared" si="24"/>
        <v>62816.23000000001</v>
      </c>
      <c r="F436" s="195">
        <f t="shared" si="25"/>
        <v>60720</v>
      </c>
      <c r="G436" s="189">
        <v>53103.115000000005</v>
      </c>
      <c r="H436" s="228">
        <v>50270.75004870446</v>
      </c>
      <c r="I436" s="189">
        <v>3891.1150000000016</v>
      </c>
      <c r="J436" s="228">
        <v>4229.140553582401</v>
      </c>
      <c r="K436" s="179">
        <v>5131</v>
      </c>
      <c r="L436" s="179">
        <v>0</v>
      </c>
      <c r="M436" s="179">
        <v>691</v>
      </c>
      <c r="N436" s="228">
        <v>5577.381947878734</v>
      </c>
      <c r="O436" s="228">
        <v>0</v>
      </c>
      <c r="P436" s="228">
        <v>642.7274498344049</v>
      </c>
      <c r="Q436" s="201"/>
      <c r="R436" s="202"/>
      <c r="S436" s="178">
        <f t="shared" si="26"/>
        <v>0</v>
      </c>
      <c r="T436" s="195">
        <f t="shared" si="27"/>
        <v>0</v>
      </c>
      <c r="U436" s="189"/>
      <c r="V436" s="181"/>
      <c r="W436" s="189"/>
      <c r="X436" s="181"/>
      <c r="Y436" s="179"/>
      <c r="Z436" s="179">
        <v>0</v>
      </c>
      <c r="AA436" s="179"/>
      <c r="AB436" s="180"/>
      <c r="AC436" s="180"/>
      <c r="AD436" s="180"/>
      <c r="AE436" s="201"/>
      <c r="AF436" s="267"/>
    </row>
    <row r="437" spans="1:32" s="223" customFormat="1" ht="15" customHeight="1">
      <c r="A437" s="164" t="s">
        <v>93</v>
      </c>
      <c r="B437" s="164" t="s">
        <v>124</v>
      </c>
      <c r="C437" s="31">
        <v>198729</v>
      </c>
      <c r="D437" s="209">
        <v>10</v>
      </c>
      <c r="E437" s="178">
        <f t="shared" si="24"/>
        <v>48027.67999999999</v>
      </c>
      <c r="F437" s="195">
        <f t="shared" si="25"/>
        <v>45420</v>
      </c>
      <c r="G437" s="189">
        <v>42576.84</v>
      </c>
      <c r="H437" s="228">
        <v>40078.57884977051</v>
      </c>
      <c r="I437" s="189">
        <v>4034.84</v>
      </c>
      <c r="J437" s="228">
        <v>4211.551086970817</v>
      </c>
      <c r="K437" s="179">
        <v>664</v>
      </c>
      <c r="L437" s="179">
        <v>398</v>
      </c>
      <c r="M437" s="179">
        <v>354</v>
      </c>
      <c r="N437" s="228">
        <v>463.53643620868786</v>
      </c>
      <c r="O437" s="228">
        <v>442.330838933677</v>
      </c>
      <c r="P437" s="228">
        <v>224.00278811631182</v>
      </c>
      <c r="Q437" s="201"/>
      <c r="R437" s="202"/>
      <c r="S437" s="178">
        <f t="shared" si="26"/>
        <v>0</v>
      </c>
      <c r="T437" s="195">
        <f t="shared" si="27"/>
        <v>0</v>
      </c>
      <c r="U437" s="189"/>
      <c r="V437" s="181"/>
      <c r="W437" s="189"/>
      <c r="X437" s="181"/>
      <c r="Y437" s="179"/>
      <c r="Z437" s="179">
        <v>0</v>
      </c>
      <c r="AA437" s="179"/>
      <c r="AB437" s="180"/>
      <c r="AC437" s="180"/>
      <c r="AD437" s="180"/>
      <c r="AE437" s="201"/>
      <c r="AF437" s="267"/>
    </row>
    <row r="438" spans="1:32" s="223" customFormat="1" ht="15" customHeight="1">
      <c r="A438" s="164" t="s">
        <v>93</v>
      </c>
      <c r="B438" s="164" t="s">
        <v>121</v>
      </c>
      <c r="C438" s="31">
        <v>198905</v>
      </c>
      <c r="D438" s="209">
        <v>10</v>
      </c>
      <c r="E438" s="178">
        <f t="shared" si="24"/>
        <v>33926.81</v>
      </c>
      <c r="F438" s="195">
        <f t="shared" si="25"/>
        <v>36510</v>
      </c>
      <c r="G438" s="189">
        <v>22437.405</v>
      </c>
      <c r="H438" s="228">
        <v>18976.612758555082</v>
      </c>
      <c r="I438" s="189">
        <v>8748.404999999999</v>
      </c>
      <c r="J438" s="228">
        <v>11403.896333342393</v>
      </c>
      <c r="K438" s="179">
        <v>2373</v>
      </c>
      <c r="L438" s="179">
        <v>289</v>
      </c>
      <c r="M438" s="179">
        <v>79</v>
      </c>
      <c r="N438" s="228">
        <v>2235.1306025930253</v>
      </c>
      <c r="O438" s="228">
        <v>124.04528281373162</v>
      </c>
      <c r="P438" s="228">
        <v>3770.315022695768</v>
      </c>
      <c r="Q438" s="201"/>
      <c r="R438" s="202"/>
      <c r="S438" s="178">
        <f t="shared" si="26"/>
        <v>0</v>
      </c>
      <c r="T438" s="195">
        <f t="shared" si="27"/>
        <v>0</v>
      </c>
      <c r="U438" s="189"/>
      <c r="V438" s="181"/>
      <c r="W438" s="189"/>
      <c r="X438" s="181"/>
      <c r="Y438" s="179"/>
      <c r="Z438" s="179">
        <v>0</v>
      </c>
      <c r="AA438" s="179"/>
      <c r="AB438" s="180"/>
      <c r="AC438" s="180"/>
      <c r="AD438" s="180"/>
      <c r="AE438" s="201"/>
      <c r="AF438" s="267"/>
    </row>
    <row r="439" spans="1:32" s="223" customFormat="1" ht="15" customHeight="1">
      <c r="A439" s="164" t="s">
        <v>93</v>
      </c>
      <c r="B439" s="164" t="s">
        <v>120</v>
      </c>
      <c r="C439" s="31">
        <v>198914</v>
      </c>
      <c r="D439" s="209">
        <v>10</v>
      </c>
      <c r="E439" s="178">
        <f t="shared" si="24"/>
        <v>46004.79</v>
      </c>
      <c r="F439" s="195">
        <f t="shared" si="25"/>
        <v>49590</v>
      </c>
      <c r="G439" s="189">
        <v>25228.395</v>
      </c>
      <c r="H439" s="228">
        <v>26531.30481081674</v>
      </c>
      <c r="I439" s="189">
        <v>17980.395</v>
      </c>
      <c r="J439" s="228">
        <v>20422.85533473694</v>
      </c>
      <c r="K439" s="179">
        <v>1219</v>
      </c>
      <c r="L439" s="179">
        <v>1102</v>
      </c>
      <c r="M439" s="179">
        <v>475</v>
      </c>
      <c r="N439" s="228">
        <v>1425.7977461086298</v>
      </c>
      <c r="O439" s="228">
        <v>916.7351434239188</v>
      </c>
      <c r="P439" s="228">
        <v>293.30696491377523</v>
      </c>
      <c r="Q439" s="201"/>
      <c r="R439" s="202"/>
      <c r="S439" s="178">
        <f t="shared" si="26"/>
        <v>0</v>
      </c>
      <c r="T439" s="195">
        <f t="shared" si="27"/>
        <v>0</v>
      </c>
      <c r="U439" s="189"/>
      <c r="V439" s="181"/>
      <c r="W439" s="189"/>
      <c r="X439" s="181"/>
      <c r="Y439" s="179"/>
      <c r="Z439" s="179">
        <v>0</v>
      </c>
      <c r="AA439" s="179"/>
      <c r="AB439" s="180"/>
      <c r="AC439" s="180"/>
      <c r="AD439" s="180"/>
      <c r="AE439" s="201"/>
      <c r="AF439" s="267"/>
    </row>
    <row r="440" spans="1:32" s="223" customFormat="1" ht="15" customHeight="1">
      <c r="A440" s="164" t="s">
        <v>93</v>
      </c>
      <c r="B440" s="164" t="s">
        <v>119</v>
      </c>
      <c r="C440" s="31">
        <v>198923</v>
      </c>
      <c r="D440" s="209">
        <v>10</v>
      </c>
      <c r="E440" s="178">
        <f t="shared" si="24"/>
        <v>44657.399999999994</v>
      </c>
      <c r="F440" s="195">
        <f t="shared" si="25"/>
        <v>45510</v>
      </c>
      <c r="G440" s="189">
        <v>34375.7</v>
      </c>
      <c r="H440" s="228">
        <v>33384.40598048683</v>
      </c>
      <c r="I440" s="189">
        <v>10234.7</v>
      </c>
      <c r="J440" s="228">
        <v>11340.599180846459</v>
      </c>
      <c r="K440" s="179">
        <v>47</v>
      </c>
      <c r="L440" s="179">
        <v>0</v>
      </c>
      <c r="M440" s="179">
        <v>0</v>
      </c>
      <c r="N440" s="228">
        <v>199.73420798508207</v>
      </c>
      <c r="O440" s="228">
        <v>53.949452232692884</v>
      </c>
      <c r="P440" s="228">
        <v>531.3111784489362</v>
      </c>
      <c r="Q440" s="201"/>
      <c r="R440" s="202"/>
      <c r="S440" s="178">
        <f t="shared" si="26"/>
        <v>0</v>
      </c>
      <c r="T440" s="195">
        <f t="shared" si="27"/>
        <v>0</v>
      </c>
      <c r="U440" s="189"/>
      <c r="V440" s="181"/>
      <c r="W440" s="189"/>
      <c r="X440" s="181"/>
      <c r="Y440" s="179"/>
      <c r="Z440" s="179">
        <v>0</v>
      </c>
      <c r="AA440" s="179"/>
      <c r="AB440" s="180"/>
      <c r="AC440" s="180"/>
      <c r="AD440" s="180"/>
      <c r="AE440" s="201"/>
      <c r="AF440" s="267"/>
    </row>
    <row r="441" spans="1:32" s="223" customFormat="1" ht="15" customHeight="1">
      <c r="A441" s="164" t="s">
        <v>93</v>
      </c>
      <c r="B441" s="164" t="s">
        <v>117</v>
      </c>
      <c r="C441" s="31">
        <v>199023</v>
      </c>
      <c r="D441" s="209">
        <v>10</v>
      </c>
      <c r="E441" s="178">
        <f t="shared" si="24"/>
        <v>30099.86</v>
      </c>
      <c r="F441" s="195">
        <f t="shared" si="25"/>
        <v>28080</v>
      </c>
      <c r="G441" s="189">
        <v>24964.93</v>
      </c>
      <c r="H441" s="228">
        <v>22403.877756052243</v>
      </c>
      <c r="I441" s="189">
        <v>3183.93</v>
      </c>
      <c r="J441" s="228">
        <v>3200.250623858959</v>
      </c>
      <c r="K441" s="179">
        <v>928</v>
      </c>
      <c r="L441" s="179">
        <v>865</v>
      </c>
      <c r="M441" s="179">
        <v>158</v>
      </c>
      <c r="N441" s="228">
        <v>1395.0665989694173</v>
      </c>
      <c r="O441" s="228">
        <v>464.71885836511143</v>
      </c>
      <c r="P441" s="228">
        <v>616.0861627542697</v>
      </c>
      <c r="Q441" s="201"/>
      <c r="R441" s="202"/>
      <c r="S441" s="178">
        <f t="shared" si="26"/>
        <v>0</v>
      </c>
      <c r="T441" s="195">
        <f t="shared" si="27"/>
        <v>0</v>
      </c>
      <c r="U441" s="189"/>
      <c r="V441" s="181"/>
      <c r="W441" s="189"/>
      <c r="X441" s="181"/>
      <c r="Y441" s="179"/>
      <c r="Z441" s="179">
        <v>0</v>
      </c>
      <c r="AA441" s="179"/>
      <c r="AB441" s="180"/>
      <c r="AC441" s="180"/>
      <c r="AD441" s="180"/>
      <c r="AE441" s="201"/>
      <c r="AF441" s="267"/>
    </row>
    <row r="442" spans="1:32" s="223" customFormat="1" ht="15" customHeight="1">
      <c r="A442" s="164" t="s">
        <v>93</v>
      </c>
      <c r="B442" s="164" t="s">
        <v>115</v>
      </c>
      <c r="C442" s="31">
        <v>199263</v>
      </c>
      <c r="D442" s="209">
        <v>10</v>
      </c>
      <c r="E442" s="178">
        <f t="shared" si="24"/>
        <v>15314.5</v>
      </c>
      <c r="F442" s="195">
        <f t="shared" si="25"/>
        <v>16110.000000000002</v>
      </c>
      <c r="G442" s="189">
        <v>7855.25</v>
      </c>
      <c r="H442" s="228">
        <v>5970.780225323694</v>
      </c>
      <c r="I442" s="189">
        <v>6731.25</v>
      </c>
      <c r="J442" s="228">
        <v>9511.65125273247</v>
      </c>
      <c r="K442" s="179">
        <v>728</v>
      </c>
      <c r="L442" s="179">
        <v>0</v>
      </c>
      <c r="M442" s="179">
        <v>0</v>
      </c>
      <c r="N442" s="228">
        <v>626.6655456532704</v>
      </c>
      <c r="O442" s="228">
        <v>0</v>
      </c>
      <c r="P442" s="228">
        <v>0.9029762905666722</v>
      </c>
      <c r="Q442" s="201"/>
      <c r="R442" s="202"/>
      <c r="S442" s="178">
        <f t="shared" si="26"/>
        <v>0</v>
      </c>
      <c r="T442" s="195">
        <f t="shared" si="27"/>
        <v>0</v>
      </c>
      <c r="U442" s="189"/>
      <c r="V442" s="181"/>
      <c r="W442" s="189"/>
      <c r="X442" s="181"/>
      <c r="Y442" s="179"/>
      <c r="Z442" s="179">
        <v>0</v>
      </c>
      <c r="AA442" s="179"/>
      <c r="AB442" s="180"/>
      <c r="AC442" s="180"/>
      <c r="AD442" s="180"/>
      <c r="AE442" s="201"/>
      <c r="AF442" s="267"/>
    </row>
    <row r="443" spans="1:32" s="223" customFormat="1" ht="15" customHeight="1">
      <c r="A443" s="164" t="s">
        <v>93</v>
      </c>
      <c r="B443" s="164" t="s">
        <v>114</v>
      </c>
      <c r="C443" s="31">
        <v>199324</v>
      </c>
      <c r="D443" s="209">
        <v>10</v>
      </c>
      <c r="E443" s="178">
        <f t="shared" si="24"/>
        <v>71852.74</v>
      </c>
      <c r="F443" s="195">
        <f t="shared" si="25"/>
        <v>76050</v>
      </c>
      <c r="G443" s="189">
        <v>38907.37</v>
      </c>
      <c r="H443" s="228">
        <v>41586.04301698229</v>
      </c>
      <c r="I443" s="189">
        <v>22269.37</v>
      </c>
      <c r="J443" s="228">
        <v>22272.238114205014</v>
      </c>
      <c r="K443" s="179">
        <v>7188</v>
      </c>
      <c r="L443" s="179">
        <v>2566</v>
      </c>
      <c r="M443" s="179">
        <v>922</v>
      </c>
      <c r="N443" s="228">
        <v>8566.88090668791</v>
      </c>
      <c r="O443" s="228">
        <v>2316.8121084839045</v>
      </c>
      <c r="P443" s="228">
        <v>1308.0258536408733</v>
      </c>
      <c r="Q443" s="201"/>
      <c r="R443" s="202"/>
      <c r="S443" s="178">
        <f t="shared" si="26"/>
        <v>0</v>
      </c>
      <c r="T443" s="195">
        <f t="shared" si="27"/>
        <v>0</v>
      </c>
      <c r="U443" s="189"/>
      <c r="V443" s="181"/>
      <c r="W443" s="189"/>
      <c r="X443" s="181"/>
      <c r="Y443" s="179"/>
      <c r="Z443" s="179">
        <v>0</v>
      </c>
      <c r="AA443" s="179"/>
      <c r="AB443" s="180"/>
      <c r="AC443" s="180"/>
      <c r="AD443" s="180"/>
      <c r="AE443" s="201"/>
      <c r="AF443" s="267"/>
    </row>
    <row r="444" spans="1:32" s="223" customFormat="1" ht="15" customHeight="1">
      <c r="A444" s="164" t="s">
        <v>93</v>
      </c>
      <c r="B444" s="164" t="s">
        <v>110</v>
      </c>
      <c r="C444" s="31">
        <v>199467</v>
      </c>
      <c r="D444" s="209">
        <v>10</v>
      </c>
      <c r="E444" s="178">
        <f t="shared" si="24"/>
        <v>32978.7</v>
      </c>
      <c r="F444" s="195">
        <f t="shared" si="25"/>
        <v>32490</v>
      </c>
      <c r="G444" s="189">
        <v>26541.35</v>
      </c>
      <c r="H444" s="228">
        <v>25030.125</v>
      </c>
      <c r="I444" s="189">
        <v>3909.35</v>
      </c>
      <c r="J444" s="228">
        <v>5017.103873239436</v>
      </c>
      <c r="K444" s="179">
        <v>2246</v>
      </c>
      <c r="L444" s="179">
        <v>0</v>
      </c>
      <c r="M444" s="179">
        <v>282</v>
      </c>
      <c r="N444" s="228">
        <v>2312.112676056338</v>
      </c>
      <c r="O444" s="228">
        <v>0</v>
      </c>
      <c r="P444" s="228">
        <v>130.65845070422534</v>
      </c>
      <c r="Q444" s="201"/>
      <c r="R444" s="202"/>
      <c r="S444" s="178">
        <f t="shared" si="26"/>
        <v>0</v>
      </c>
      <c r="T444" s="195">
        <f t="shared" si="27"/>
        <v>0</v>
      </c>
      <c r="U444" s="189"/>
      <c r="V444" s="181"/>
      <c r="W444" s="189"/>
      <c r="X444" s="181"/>
      <c r="Y444" s="179"/>
      <c r="Z444" s="179">
        <v>0</v>
      </c>
      <c r="AA444" s="179"/>
      <c r="AB444" s="180"/>
      <c r="AC444" s="180"/>
      <c r="AD444" s="180"/>
      <c r="AE444" s="201"/>
      <c r="AF444" s="267"/>
    </row>
    <row r="445" spans="1:32" s="223" customFormat="1" ht="15" customHeight="1">
      <c r="A445" s="164" t="s">
        <v>93</v>
      </c>
      <c r="B445" s="164" t="s">
        <v>106</v>
      </c>
      <c r="C445" s="31">
        <v>199625</v>
      </c>
      <c r="D445" s="209">
        <v>10</v>
      </c>
      <c r="E445" s="178">
        <f t="shared" si="24"/>
        <v>57906.22</v>
      </c>
      <c r="F445" s="195">
        <f t="shared" si="25"/>
        <v>56790.00000000001</v>
      </c>
      <c r="G445" s="189">
        <v>45377.11</v>
      </c>
      <c r="H445" s="228">
        <v>42771.295454305146</v>
      </c>
      <c r="I445" s="189">
        <v>10550.11</v>
      </c>
      <c r="J445" s="228">
        <v>11789.991435187632</v>
      </c>
      <c r="K445" s="179">
        <v>1009</v>
      </c>
      <c r="L445" s="179">
        <v>715</v>
      </c>
      <c r="M445" s="179">
        <v>255</v>
      </c>
      <c r="N445" s="228">
        <v>1400.9396973766295</v>
      </c>
      <c r="O445" s="228">
        <v>722.087435103042</v>
      </c>
      <c r="P445" s="228">
        <v>105.68597802755544</v>
      </c>
      <c r="Q445" s="201"/>
      <c r="R445" s="202"/>
      <c r="S445" s="178">
        <f t="shared" si="26"/>
        <v>0</v>
      </c>
      <c r="T445" s="195">
        <f t="shared" si="27"/>
        <v>0</v>
      </c>
      <c r="U445" s="189"/>
      <c r="V445" s="181"/>
      <c r="W445" s="189"/>
      <c r="X445" s="181"/>
      <c r="Y445" s="179"/>
      <c r="Z445" s="179">
        <v>0</v>
      </c>
      <c r="AA445" s="179"/>
      <c r="AB445" s="180"/>
      <c r="AC445" s="180"/>
      <c r="AD445" s="180"/>
      <c r="AE445" s="201"/>
      <c r="AF445" s="267"/>
    </row>
    <row r="446" spans="1:32" s="223" customFormat="1" ht="15" customHeight="1">
      <c r="A446" s="164" t="s">
        <v>93</v>
      </c>
      <c r="B446" s="164" t="s">
        <v>104</v>
      </c>
      <c r="C446" s="31">
        <v>197850</v>
      </c>
      <c r="D446" s="209">
        <v>10</v>
      </c>
      <c r="E446" s="178">
        <f t="shared" si="24"/>
        <v>60967.25</v>
      </c>
      <c r="F446" s="195">
        <f t="shared" si="25"/>
        <v>64560</v>
      </c>
      <c r="G446" s="189">
        <v>37713.625</v>
      </c>
      <c r="H446" s="228">
        <v>39798.29112744887</v>
      </c>
      <c r="I446" s="189">
        <v>17777.625</v>
      </c>
      <c r="J446" s="228">
        <v>19001.823523510615</v>
      </c>
      <c r="K446" s="179">
        <v>4744</v>
      </c>
      <c r="L446" s="179">
        <v>0</v>
      </c>
      <c r="M446" s="179">
        <v>732</v>
      </c>
      <c r="N446" s="228">
        <v>5156.324863493702</v>
      </c>
      <c r="O446" s="228">
        <v>0</v>
      </c>
      <c r="P446" s="228">
        <v>603.5604855468134</v>
      </c>
      <c r="Q446" s="201"/>
      <c r="R446" s="202"/>
      <c r="S446" s="178">
        <f t="shared" si="26"/>
        <v>0</v>
      </c>
      <c r="T446" s="195">
        <f t="shared" si="27"/>
        <v>0</v>
      </c>
      <c r="U446" s="189"/>
      <c r="V446" s="181"/>
      <c r="W446" s="189"/>
      <c r="X446" s="181"/>
      <c r="Y446" s="179"/>
      <c r="Z446" s="179">
        <v>0</v>
      </c>
      <c r="AA446" s="179"/>
      <c r="AB446" s="180"/>
      <c r="AC446" s="180"/>
      <c r="AD446" s="180"/>
      <c r="AE446" s="201"/>
      <c r="AF446" s="267"/>
    </row>
    <row r="447" spans="1:32" s="223" customFormat="1" ht="15" customHeight="1">
      <c r="A447" s="164" t="s">
        <v>93</v>
      </c>
      <c r="B447" s="164" t="s">
        <v>101</v>
      </c>
      <c r="C447" s="31">
        <v>199740</v>
      </c>
      <c r="D447" s="209">
        <v>10</v>
      </c>
      <c r="E447" s="178">
        <f t="shared" si="24"/>
        <v>71498.12</v>
      </c>
      <c r="F447" s="195">
        <f t="shared" si="25"/>
        <v>71520</v>
      </c>
      <c r="G447" s="189">
        <v>45699.06</v>
      </c>
      <c r="H447" s="228">
        <v>43419.921157268254</v>
      </c>
      <c r="I447" s="189">
        <v>13141.06</v>
      </c>
      <c r="J447" s="228">
        <v>16563.308329572836</v>
      </c>
      <c r="K447" s="179">
        <v>8110</v>
      </c>
      <c r="L447" s="179">
        <v>950</v>
      </c>
      <c r="M447" s="179">
        <v>3598</v>
      </c>
      <c r="N447" s="228">
        <v>8726.184130984513</v>
      </c>
      <c r="O447" s="228">
        <v>750.8293812633568</v>
      </c>
      <c r="P447" s="228">
        <v>2059.7570009110336</v>
      </c>
      <c r="Q447" s="201"/>
      <c r="R447" s="202"/>
      <c r="S447" s="178">
        <f t="shared" si="26"/>
        <v>0</v>
      </c>
      <c r="T447" s="195">
        <f t="shared" si="27"/>
        <v>0</v>
      </c>
      <c r="U447" s="189"/>
      <c r="V447" s="181"/>
      <c r="W447" s="189"/>
      <c r="X447" s="181"/>
      <c r="Y447" s="179"/>
      <c r="Z447" s="179">
        <v>0</v>
      </c>
      <c r="AA447" s="179"/>
      <c r="AB447" s="180"/>
      <c r="AC447" s="180"/>
      <c r="AD447" s="180"/>
      <c r="AE447" s="201"/>
      <c r="AF447" s="267"/>
    </row>
    <row r="448" spans="1:32" s="223" customFormat="1" ht="15" customHeight="1">
      <c r="A448" s="164" t="s">
        <v>93</v>
      </c>
      <c r="B448" s="164" t="s">
        <v>99</v>
      </c>
      <c r="C448" s="31">
        <v>199795</v>
      </c>
      <c r="D448" s="209">
        <v>10</v>
      </c>
      <c r="E448" s="178">
        <f t="shared" si="24"/>
        <v>42180.29</v>
      </c>
      <c r="F448" s="195">
        <f t="shared" si="25"/>
        <v>38040</v>
      </c>
      <c r="G448" s="189">
        <v>29195.145</v>
      </c>
      <c r="H448" s="228">
        <v>25558.543875707768</v>
      </c>
      <c r="I448" s="189">
        <v>12949.145</v>
      </c>
      <c r="J448" s="228">
        <v>10096.772646637128</v>
      </c>
      <c r="K448" s="179">
        <v>35</v>
      </c>
      <c r="L448" s="179">
        <v>0</v>
      </c>
      <c r="M448" s="179">
        <v>1</v>
      </c>
      <c r="N448" s="228">
        <v>1275.6931900106115</v>
      </c>
      <c r="O448" s="228">
        <v>307.5221747899977</v>
      </c>
      <c r="P448" s="228">
        <v>801.4681128544929</v>
      </c>
      <c r="Q448" s="201"/>
      <c r="R448" s="202"/>
      <c r="S448" s="178">
        <f t="shared" si="26"/>
        <v>0</v>
      </c>
      <c r="T448" s="195">
        <f t="shared" si="27"/>
        <v>0</v>
      </c>
      <c r="U448" s="189"/>
      <c r="V448" s="181"/>
      <c r="W448" s="189"/>
      <c r="X448" s="181"/>
      <c r="Y448" s="179"/>
      <c r="Z448" s="179">
        <v>0</v>
      </c>
      <c r="AA448" s="179"/>
      <c r="AB448" s="180"/>
      <c r="AC448" s="180"/>
      <c r="AD448" s="180"/>
      <c r="AE448" s="201"/>
      <c r="AF448" s="267"/>
    </row>
    <row r="449" spans="1:32" s="223" customFormat="1" ht="15" customHeight="1">
      <c r="A449" s="166" t="s">
        <v>151</v>
      </c>
      <c r="B449" s="166" t="s">
        <v>201</v>
      </c>
      <c r="C449" s="26">
        <v>207388</v>
      </c>
      <c r="D449" s="210">
        <v>1</v>
      </c>
      <c r="E449" s="178">
        <f t="shared" si="24"/>
        <v>512291</v>
      </c>
      <c r="F449" s="195">
        <f t="shared" si="25"/>
        <v>522821</v>
      </c>
      <c r="G449" s="179">
        <v>510411</v>
      </c>
      <c r="H449" s="180">
        <v>519637</v>
      </c>
      <c r="I449" s="179"/>
      <c r="J449" s="180"/>
      <c r="K449" s="179">
        <v>490</v>
      </c>
      <c r="L449" s="179">
        <v>201</v>
      </c>
      <c r="M449" s="179">
        <v>21</v>
      </c>
      <c r="N449" s="180">
        <v>1369</v>
      </c>
      <c r="O449" s="180">
        <v>237</v>
      </c>
      <c r="P449" s="180">
        <v>3</v>
      </c>
      <c r="Q449" s="179">
        <v>1168</v>
      </c>
      <c r="R449" s="180">
        <v>1575</v>
      </c>
      <c r="S449" s="178">
        <f t="shared" si="26"/>
        <v>72505</v>
      </c>
      <c r="T449" s="195">
        <f t="shared" si="27"/>
        <v>68364</v>
      </c>
      <c r="U449" s="179">
        <v>71065</v>
      </c>
      <c r="V449" s="180">
        <v>65129</v>
      </c>
      <c r="W449" s="179"/>
      <c r="X449" s="180"/>
      <c r="Y449" s="179">
        <v>1105</v>
      </c>
      <c r="Z449" s="179">
        <v>154</v>
      </c>
      <c r="AA449" s="179">
        <v>125</v>
      </c>
      <c r="AB449" s="180">
        <v>2923</v>
      </c>
      <c r="AC449" s="180">
        <v>204</v>
      </c>
      <c r="AD449" s="180">
        <v>66</v>
      </c>
      <c r="AE449" s="179">
        <v>56</v>
      </c>
      <c r="AF449" s="256">
        <v>42</v>
      </c>
    </row>
    <row r="450" spans="1:32" s="223" customFormat="1" ht="15" customHeight="1">
      <c r="A450" s="166" t="s">
        <v>151</v>
      </c>
      <c r="B450" s="166" t="s">
        <v>200</v>
      </c>
      <c r="C450" s="26" t="s">
        <v>199</v>
      </c>
      <c r="D450" s="210">
        <v>1</v>
      </c>
      <c r="E450" s="178">
        <f t="shared" si="24"/>
        <v>566396</v>
      </c>
      <c r="F450" s="195">
        <f t="shared" si="25"/>
        <v>584618</v>
      </c>
      <c r="G450" s="179">
        <v>543296</v>
      </c>
      <c r="H450" s="180">
        <v>553929</v>
      </c>
      <c r="I450" s="179">
        <v>5296</v>
      </c>
      <c r="J450" s="180">
        <v>3629</v>
      </c>
      <c r="K450" s="179">
        <v>14057</v>
      </c>
      <c r="L450" s="179">
        <v>2133</v>
      </c>
      <c r="M450" s="179">
        <v>1614</v>
      </c>
      <c r="N450" s="180">
        <v>22382</v>
      </c>
      <c r="O450" s="180">
        <v>2874</v>
      </c>
      <c r="P450" s="180">
        <v>987</v>
      </c>
      <c r="Q450" s="179">
        <v>0</v>
      </c>
      <c r="R450" s="180">
        <v>817</v>
      </c>
      <c r="S450" s="178">
        <f t="shared" si="26"/>
        <v>112373</v>
      </c>
      <c r="T450" s="195">
        <f t="shared" si="27"/>
        <v>111276</v>
      </c>
      <c r="U450" s="179">
        <v>89784</v>
      </c>
      <c r="V450" s="180">
        <v>64326</v>
      </c>
      <c r="W450" s="179">
        <v>16516</v>
      </c>
      <c r="X450" s="180">
        <v>24295</v>
      </c>
      <c r="Y450" s="179">
        <v>2335</v>
      </c>
      <c r="Z450" s="179">
        <v>3453</v>
      </c>
      <c r="AA450" s="179">
        <v>285</v>
      </c>
      <c r="AB450" s="180">
        <v>5939</v>
      </c>
      <c r="AC450" s="180">
        <v>16695</v>
      </c>
      <c r="AD450" s="180">
        <v>21</v>
      </c>
      <c r="AE450" s="179"/>
      <c r="AF450" s="256"/>
    </row>
    <row r="451" spans="1:32" s="223" customFormat="1" ht="15" customHeight="1">
      <c r="A451" s="166" t="s">
        <v>151</v>
      </c>
      <c r="B451" s="166" t="s">
        <v>198</v>
      </c>
      <c r="C451" s="26" t="s">
        <v>197</v>
      </c>
      <c r="D451" s="210">
        <v>3</v>
      </c>
      <c r="E451" s="178">
        <f t="shared" si="24"/>
        <v>314380</v>
      </c>
      <c r="F451" s="195">
        <f t="shared" si="25"/>
        <v>322916</v>
      </c>
      <c r="G451" s="179">
        <v>307923</v>
      </c>
      <c r="H451" s="180">
        <v>320158</v>
      </c>
      <c r="I451" s="179">
        <v>964</v>
      </c>
      <c r="J451" s="180">
        <v>447</v>
      </c>
      <c r="K451" s="179">
        <v>2135</v>
      </c>
      <c r="L451" s="179">
        <v>249</v>
      </c>
      <c r="M451" s="179">
        <v>3109</v>
      </c>
      <c r="N451" s="180">
        <v>844</v>
      </c>
      <c r="O451" s="180">
        <v>111</v>
      </c>
      <c r="P451" s="180">
        <v>1356</v>
      </c>
      <c r="Q451" s="179"/>
      <c r="R451" s="180">
        <v>0</v>
      </c>
      <c r="S451" s="178">
        <f t="shared" si="26"/>
        <v>31919</v>
      </c>
      <c r="T451" s="195">
        <f t="shared" si="27"/>
        <v>26248</v>
      </c>
      <c r="U451" s="179">
        <v>29470</v>
      </c>
      <c r="V451" s="180">
        <v>24852</v>
      </c>
      <c r="W451" s="179">
        <v>779</v>
      </c>
      <c r="X451" s="180">
        <v>252</v>
      </c>
      <c r="Y451" s="179">
        <v>438</v>
      </c>
      <c r="Z451" s="179">
        <v>354</v>
      </c>
      <c r="AA451" s="179">
        <v>878</v>
      </c>
      <c r="AB451" s="180">
        <v>372</v>
      </c>
      <c r="AC451" s="180">
        <v>174</v>
      </c>
      <c r="AD451" s="180">
        <v>598</v>
      </c>
      <c r="AE451" s="179"/>
      <c r="AF451" s="256"/>
    </row>
    <row r="452" spans="1:32" s="223" customFormat="1" ht="15" customHeight="1">
      <c r="A452" s="166" t="s">
        <v>151</v>
      </c>
      <c r="B452" s="166" t="s">
        <v>196</v>
      </c>
      <c r="C452" s="26" t="s">
        <v>195</v>
      </c>
      <c r="D452" s="210">
        <v>4</v>
      </c>
      <c r="E452" s="178">
        <f t="shared" si="24"/>
        <v>208289</v>
      </c>
      <c r="F452" s="195">
        <f t="shared" si="25"/>
        <v>211686</v>
      </c>
      <c r="G452" s="179">
        <v>203349</v>
      </c>
      <c r="H452" s="180">
        <v>205120</v>
      </c>
      <c r="I452" s="179"/>
      <c r="J452" s="180"/>
      <c r="K452" s="179">
        <v>3288</v>
      </c>
      <c r="L452" s="179">
        <v>1652</v>
      </c>
      <c r="M452" s="179"/>
      <c r="N452" s="180">
        <v>5201</v>
      </c>
      <c r="O452" s="180">
        <v>1365</v>
      </c>
      <c r="P452" s="180">
        <v>0</v>
      </c>
      <c r="Q452" s="179"/>
      <c r="R452" s="180">
        <v>0</v>
      </c>
      <c r="S452" s="178">
        <f t="shared" si="26"/>
        <v>17486</v>
      </c>
      <c r="T452" s="195">
        <f t="shared" si="27"/>
        <v>17587</v>
      </c>
      <c r="U452" s="179">
        <v>17339</v>
      </c>
      <c r="V452" s="180">
        <v>16714</v>
      </c>
      <c r="W452" s="179"/>
      <c r="X452" s="180">
        <v>0</v>
      </c>
      <c r="Y452" s="179">
        <v>117</v>
      </c>
      <c r="Z452" s="179">
        <v>30</v>
      </c>
      <c r="AA452" s="179"/>
      <c r="AB452" s="180">
        <v>489</v>
      </c>
      <c r="AC452" s="180">
        <v>384</v>
      </c>
      <c r="AD452" s="180">
        <v>0</v>
      </c>
      <c r="AE452" s="179"/>
      <c r="AF452" s="256"/>
    </row>
    <row r="453" spans="1:32" s="223" customFormat="1" ht="15" customHeight="1">
      <c r="A453" s="166" t="s">
        <v>151</v>
      </c>
      <c r="B453" s="166" t="s">
        <v>194</v>
      </c>
      <c r="C453" s="26" t="s">
        <v>193</v>
      </c>
      <c r="D453" s="210">
        <v>5</v>
      </c>
      <c r="E453" s="178">
        <f t="shared" si="24"/>
        <v>120907</v>
      </c>
      <c r="F453" s="195">
        <f t="shared" si="25"/>
        <v>126285</v>
      </c>
      <c r="G453" s="179">
        <v>108550</v>
      </c>
      <c r="H453" s="180">
        <v>112974</v>
      </c>
      <c r="I453" s="179"/>
      <c r="J453" s="180"/>
      <c r="K453" s="179">
        <v>6795</v>
      </c>
      <c r="L453" s="179">
        <v>4770</v>
      </c>
      <c r="M453" s="179">
        <v>792</v>
      </c>
      <c r="N453" s="180">
        <v>7563</v>
      </c>
      <c r="O453" s="180">
        <v>5430</v>
      </c>
      <c r="P453" s="180">
        <v>318</v>
      </c>
      <c r="Q453" s="179"/>
      <c r="R453" s="180">
        <v>0</v>
      </c>
      <c r="S453" s="178">
        <f t="shared" si="26"/>
        <v>8442</v>
      </c>
      <c r="T453" s="195">
        <f t="shared" si="27"/>
        <v>7803</v>
      </c>
      <c r="U453" s="179">
        <v>7160</v>
      </c>
      <c r="V453" s="180">
        <v>4779</v>
      </c>
      <c r="W453" s="179">
        <v>502</v>
      </c>
      <c r="X453" s="180">
        <v>0</v>
      </c>
      <c r="Y453" s="179">
        <v>429</v>
      </c>
      <c r="Z453" s="179">
        <v>351</v>
      </c>
      <c r="AA453" s="179"/>
      <c r="AB453" s="180">
        <v>1734</v>
      </c>
      <c r="AC453" s="180">
        <v>1290</v>
      </c>
      <c r="AD453" s="180">
        <v>0</v>
      </c>
      <c r="AE453" s="179"/>
      <c r="AF453" s="256"/>
    </row>
    <row r="454" spans="1:32" s="223" customFormat="1" ht="15" customHeight="1">
      <c r="A454" s="166" t="s">
        <v>151</v>
      </c>
      <c r="B454" s="166" t="s">
        <v>192</v>
      </c>
      <c r="C454" s="26" t="s">
        <v>191</v>
      </c>
      <c r="D454" s="210">
        <v>5</v>
      </c>
      <c r="E454" s="178">
        <f t="shared" si="24"/>
        <v>98026</v>
      </c>
      <c r="F454" s="195">
        <f t="shared" si="25"/>
        <v>101269</v>
      </c>
      <c r="G454" s="179">
        <v>94936</v>
      </c>
      <c r="H454" s="180">
        <v>95170</v>
      </c>
      <c r="I454" s="179">
        <v>633</v>
      </c>
      <c r="J454" s="180">
        <v>206</v>
      </c>
      <c r="K454" s="179">
        <v>612</v>
      </c>
      <c r="L454" s="179">
        <v>1845</v>
      </c>
      <c r="M454" s="179"/>
      <c r="N454" s="180">
        <v>1661</v>
      </c>
      <c r="O454" s="180">
        <v>2521</v>
      </c>
      <c r="P454" s="180">
        <v>1711</v>
      </c>
      <c r="Q454" s="179"/>
      <c r="R454" s="180">
        <v>0</v>
      </c>
      <c r="S454" s="178">
        <f t="shared" si="26"/>
        <v>13256</v>
      </c>
      <c r="T454" s="195">
        <f t="shared" si="27"/>
        <v>13290</v>
      </c>
      <c r="U454" s="179">
        <v>11412</v>
      </c>
      <c r="V454" s="180">
        <v>10307</v>
      </c>
      <c r="W454" s="179">
        <v>445</v>
      </c>
      <c r="X454" s="180">
        <v>410</v>
      </c>
      <c r="Y454" s="179">
        <v>273</v>
      </c>
      <c r="Z454" s="179">
        <v>1126</v>
      </c>
      <c r="AA454" s="179"/>
      <c r="AB454" s="180">
        <v>996</v>
      </c>
      <c r="AC454" s="180">
        <v>1178</v>
      </c>
      <c r="AD454" s="180">
        <v>399</v>
      </c>
      <c r="AE454" s="179"/>
      <c r="AF454" s="256"/>
    </row>
    <row r="455" spans="1:32" s="223" customFormat="1" ht="15" customHeight="1">
      <c r="A455" s="166" t="s">
        <v>151</v>
      </c>
      <c r="B455" s="166" t="s">
        <v>190</v>
      </c>
      <c r="C455" s="26" t="s">
        <v>189</v>
      </c>
      <c r="D455" s="210">
        <v>5</v>
      </c>
      <c r="E455" s="178">
        <f aca="true" t="shared" si="28" ref="E455:E518">SUM(G455,I455,K455,L455,M455,Q455)</f>
        <v>48592</v>
      </c>
      <c r="F455" s="195">
        <f aca="true" t="shared" si="29" ref="F455:F518">SUM(H455,J455,N455,O455,P455,R455)</f>
        <v>50491</v>
      </c>
      <c r="G455" s="179">
        <v>40244</v>
      </c>
      <c r="H455" s="180">
        <v>40381</v>
      </c>
      <c r="I455" s="179">
        <v>36</v>
      </c>
      <c r="J455" s="180">
        <v>99</v>
      </c>
      <c r="K455" s="179">
        <v>539</v>
      </c>
      <c r="L455" s="179">
        <v>7299</v>
      </c>
      <c r="M455" s="179">
        <v>474</v>
      </c>
      <c r="N455" s="180">
        <v>1103</v>
      </c>
      <c r="O455" s="180">
        <v>8311</v>
      </c>
      <c r="P455" s="180">
        <v>597</v>
      </c>
      <c r="Q455" s="179"/>
      <c r="R455" s="180">
        <v>0</v>
      </c>
      <c r="S455" s="178">
        <f aca="true" t="shared" si="30" ref="S455:S518">SUM(U455,W455,Y455,Z455,AA455,AE455)</f>
        <v>3946</v>
      </c>
      <c r="T455" s="195">
        <f aca="true" t="shared" si="31" ref="T455:T518">SUM(V455,X455,AB455,AC455,AD455,AF455)</f>
        <v>4598</v>
      </c>
      <c r="U455" s="179">
        <v>3267</v>
      </c>
      <c r="V455" s="180">
        <v>3640</v>
      </c>
      <c r="W455" s="179"/>
      <c r="X455" s="180">
        <v>0</v>
      </c>
      <c r="Y455" s="179">
        <v>24</v>
      </c>
      <c r="Z455" s="179">
        <v>655</v>
      </c>
      <c r="AA455" s="179"/>
      <c r="AB455" s="180">
        <v>190</v>
      </c>
      <c r="AC455" s="180">
        <v>768</v>
      </c>
      <c r="AD455" s="180">
        <v>0</v>
      </c>
      <c r="AE455" s="179"/>
      <c r="AF455" s="256"/>
    </row>
    <row r="456" spans="1:32" s="223" customFormat="1" ht="15" customHeight="1">
      <c r="A456" s="166" t="s">
        <v>151</v>
      </c>
      <c r="B456" s="166" t="s">
        <v>188</v>
      </c>
      <c r="C456" s="26" t="s">
        <v>187</v>
      </c>
      <c r="D456" s="210">
        <v>5</v>
      </c>
      <c r="E456" s="178">
        <f t="shared" si="28"/>
        <v>94953</v>
      </c>
      <c r="F456" s="195">
        <f t="shared" si="29"/>
        <v>95455</v>
      </c>
      <c r="G456" s="179">
        <v>87898</v>
      </c>
      <c r="H456" s="180">
        <v>89291</v>
      </c>
      <c r="I456" s="179"/>
      <c r="J456" s="180">
        <v>9</v>
      </c>
      <c r="K456" s="179">
        <v>3692</v>
      </c>
      <c r="L456" s="179">
        <v>3363</v>
      </c>
      <c r="M456" s="179"/>
      <c r="N456" s="180">
        <v>3980</v>
      </c>
      <c r="O456" s="180">
        <v>2175</v>
      </c>
      <c r="P456" s="180">
        <v>0</v>
      </c>
      <c r="Q456" s="179"/>
      <c r="R456" s="180">
        <v>0</v>
      </c>
      <c r="S456" s="178">
        <f t="shared" si="30"/>
        <v>6860</v>
      </c>
      <c r="T456" s="195">
        <f t="shared" si="31"/>
        <v>6711</v>
      </c>
      <c r="U456" s="179">
        <v>6416</v>
      </c>
      <c r="V456" s="180">
        <v>6027</v>
      </c>
      <c r="W456" s="179"/>
      <c r="X456" s="180">
        <v>15</v>
      </c>
      <c r="Y456" s="179">
        <v>168</v>
      </c>
      <c r="Z456" s="179">
        <v>276</v>
      </c>
      <c r="AA456" s="179"/>
      <c r="AB456" s="180">
        <v>381</v>
      </c>
      <c r="AC456" s="180">
        <v>288</v>
      </c>
      <c r="AD456" s="180">
        <v>0</v>
      </c>
      <c r="AE456" s="179"/>
      <c r="AF456" s="256"/>
    </row>
    <row r="457" spans="1:32" s="223" customFormat="1" ht="15" customHeight="1">
      <c r="A457" s="166" t="s">
        <v>151</v>
      </c>
      <c r="B457" s="166" t="s">
        <v>186</v>
      </c>
      <c r="C457" s="26" t="s">
        <v>185</v>
      </c>
      <c r="D457" s="210">
        <v>5</v>
      </c>
      <c r="E457" s="178">
        <f t="shared" si="28"/>
        <v>123907</v>
      </c>
      <c r="F457" s="195">
        <f t="shared" si="29"/>
        <v>126086</v>
      </c>
      <c r="G457" s="179">
        <v>119637</v>
      </c>
      <c r="H457" s="180">
        <v>121546</v>
      </c>
      <c r="I457" s="179">
        <v>395</v>
      </c>
      <c r="J457" s="180">
        <v>211</v>
      </c>
      <c r="K457" s="179">
        <v>1053</v>
      </c>
      <c r="L457" s="179">
        <v>1186</v>
      </c>
      <c r="M457" s="179">
        <v>1636</v>
      </c>
      <c r="N457" s="180">
        <v>1627</v>
      </c>
      <c r="O457" s="180">
        <v>1372</v>
      </c>
      <c r="P457" s="180">
        <v>1330</v>
      </c>
      <c r="Q457" s="179"/>
      <c r="R457" s="180">
        <v>0</v>
      </c>
      <c r="S457" s="178">
        <f t="shared" si="30"/>
        <v>4592</v>
      </c>
      <c r="T457" s="195">
        <f t="shared" si="31"/>
        <v>4981</v>
      </c>
      <c r="U457" s="179">
        <v>4046</v>
      </c>
      <c r="V457" s="180">
        <v>3998</v>
      </c>
      <c r="W457" s="179"/>
      <c r="X457" s="180">
        <v>0</v>
      </c>
      <c r="Y457" s="179">
        <v>90</v>
      </c>
      <c r="Z457" s="179">
        <v>456</v>
      </c>
      <c r="AA457" s="179"/>
      <c r="AB457" s="180">
        <v>213</v>
      </c>
      <c r="AC457" s="180">
        <v>770</v>
      </c>
      <c r="AD457" s="180">
        <v>0</v>
      </c>
      <c r="AE457" s="179"/>
      <c r="AF457" s="256"/>
    </row>
    <row r="458" spans="1:32" s="223" customFormat="1" ht="15" customHeight="1">
      <c r="A458" s="166" t="s">
        <v>151</v>
      </c>
      <c r="B458" s="166" t="s">
        <v>184</v>
      </c>
      <c r="C458" s="26" t="s">
        <v>183</v>
      </c>
      <c r="D458" s="210">
        <v>6</v>
      </c>
      <c r="E458" s="178">
        <f t="shared" si="28"/>
        <v>74216</v>
      </c>
      <c r="F458" s="195">
        <f t="shared" si="29"/>
        <v>75557</v>
      </c>
      <c r="G458" s="179">
        <v>73164</v>
      </c>
      <c r="H458" s="180">
        <v>75557</v>
      </c>
      <c r="I458" s="179"/>
      <c r="J458" s="180"/>
      <c r="K458" s="179"/>
      <c r="L458" s="179">
        <v>1052</v>
      </c>
      <c r="M458" s="179"/>
      <c r="N458" s="180">
        <v>0</v>
      </c>
      <c r="O458" s="180">
        <v>0</v>
      </c>
      <c r="P458" s="180">
        <v>0</v>
      </c>
      <c r="Q458" s="179"/>
      <c r="R458" s="180">
        <v>0</v>
      </c>
      <c r="S458" s="178">
        <f t="shared" si="30"/>
        <v>1617</v>
      </c>
      <c r="T458" s="195">
        <f t="shared" si="31"/>
        <v>2013</v>
      </c>
      <c r="U458" s="179">
        <v>1551</v>
      </c>
      <c r="V458" s="180">
        <v>2013</v>
      </c>
      <c r="W458" s="179"/>
      <c r="X458" s="180">
        <v>0</v>
      </c>
      <c r="Y458" s="179"/>
      <c r="Z458" s="179">
        <v>66</v>
      </c>
      <c r="AA458" s="179"/>
      <c r="AB458" s="180">
        <v>0</v>
      </c>
      <c r="AC458" s="180">
        <v>0</v>
      </c>
      <c r="AD458" s="180">
        <v>0</v>
      </c>
      <c r="AE458" s="179"/>
      <c r="AF458" s="256"/>
    </row>
    <row r="459" spans="1:32" s="223" customFormat="1" ht="15" customHeight="1">
      <c r="A459" s="166" t="s">
        <v>151</v>
      </c>
      <c r="B459" s="166" t="s">
        <v>182</v>
      </c>
      <c r="C459" s="26" t="s">
        <v>181</v>
      </c>
      <c r="D459" s="210">
        <v>6</v>
      </c>
      <c r="E459" s="178">
        <f t="shared" si="28"/>
        <v>30458</v>
      </c>
      <c r="F459" s="195">
        <f t="shared" si="29"/>
        <v>15613</v>
      </c>
      <c r="G459" s="179">
        <v>30458</v>
      </c>
      <c r="H459" s="180">
        <v>15300</v>
      </c>
      <c r="I459" s="179"/>
      <c r="J459" s="180"/>
      <c r="K459" s="179"/>
      <c r="L459" s="179">
        <v>0</v>
      </c>
      <c r="M459" s="179"/>
      <c r="N459" s="180">
        <v>292</v>
      </c>
      <c r="O459" s="180">
        <v>0</v>
      </c>
      <c r="P459" s="180">
        <v>21</v>
      </c>
      <c r="Q459" s="179"/>
      <c r="R459" s="180">
        <v>0</v>
      </c>
      <c r="S459" s="178">
        <f t="shared" si="30"/>
        <v>0</v>
      </c>
      <c r="T459" s="195">
        <f t="shared" si="31"/>
        <v>0</v>
      </c>
      <c r="U459" s="179"/>
      <c r="V459" s="180"/>
      <c r="W459" s="179"/>
      <c r="X459" s="180"/>
      <c r="Y459" s="179"/>
      <c r="Z459" s="179">
        <v>0</v>
      </c>
      <c r="AA459" s="179"/>
      <c r="AB459" s="180">
        <v>0</v>
      </c>
      <c r="AC459" s="180">
        <v>0</v>
      </c>
      <c r="AD459" s="180">
        <v>0</v>
      </c>
      <c r="AE459" s="179"/>
      <c r="AF459" s="256"/>
    </row>
    <row r="460" spans="1:32" s="223" customFormat="1" ht="15" customHeight="1">
      <c r="A460" s="166" t="s">
        <v>151</v>
      </c>
      <c r="B460" s="166" t="s">
        <v>180</v>
      </c>
      <c r="C460" s="26" t="s">
        <v>179</v>
      </c>
      <c r="D460" s="210">
        <v>6</v>
      </c>
      <c r="E460" s="178">
        <f t="shared" si="28"/>
        <v>35942</v>
      </c>
      <c r="F460" s="195">
        <f t="shared" si="29"/>
        <v>35014</v>
      </c>
      <c r="G460" s="179">
        <v>35547</v>
      </c>
      <c r="H460" s="180">
        <v>34682</v>
      </c>
      <c r="I460" s="179">
        <v>326</v>
      </c>
      <c r="J460" s="180">
        <v>332</v>
      </c>
      <c r="K460" s="179"/>
      <c r="L460" s="179">
        <v>69</v>
      </c>
      <c r="M460" s="179"/>
      <c r="N460" s="180">
        <v>0</v>
      </c>
      <c r="O460" s="180">
        <v>0</v>
      </c>
      <c r="P460" s="180">
        <v>0</v>
      </c>
      <c r="Q460" s="179"/>
      <c r="R460" s="180">
        <v>0</v>
      </c>
      <c r="S460" s="178">
        <f t="shared" si="30"/>
        <v>0</v>
      </c>
      <c r="T460" s="195">
        <f t="shared" si="31"/>
        <v>0</v>
      </c>
      <c r="U460" s="179"/>
      <c r="V460" s="180"/>
      <c r="W460" s="179"/>
      <c r="X460" s="180"/>
      <c r="Y460" s="179"/>
      <c r="Z460" s="179">
        <v>0</v>
      </c>
      <c r="AA460" s="179"/>
      <c r="AB460" s="180"/>
      <c r="AC460" s="180"/>
      <c r="AD460" s="180"/>
      <c r="AE460" s="179"/>
      <c r="AF460" s="256"/>
    </row>
    <row r="461" spans="1:32" s="223" customFormat="1" ht="15" customHeight="1">
      <c r="A461" s="166" t="s">
        <v>151</v>
      </c>
      <c r="B461" s="166" t="s">
        <v>155</v>
      </c>
      <c r="C461" s="26" t="s">
        <v>154</v>
      </c>
      <c r="D461" s="210">
        <v>7</v>
      </c>
      <c r="E461" s="178">
        <f t="shared" si="28"/>
        <v>74927</v>
      </c>
      <c r="F461" s="195">
        <f t="shared" si="29"/>
        <v>80033</v>
      </c>
      <c r="G461" s="179">
        <v>54137</v>
      </c>
      <c r="H461" s="180">
        <v>56031</v>
      </c>
      <c r="I461" s="179">
        <v>5023</v>
      </c>
      <c r="J461" s="180">
        <v>6135</v>
      </c>
      <c r="K461" s="179">
        <v>11381</v>
      </c>
      <c r="L461" s="179">
        <v>4131</v>
      </c>
      <c r="M461" s="179">
        <v>255</v>
      </c>
      <c r="N461" s="180">
        <v>13811</v>
      </c>
      <c r="O461" s="180">
        <v>4056</v>
      </c>
      <c r="P461" s="180">
        <v>0</v>
      </c>
      <c r="Q461" s="179"/>
      <c r="R461" s="180">
        <v>0</v>
      </c>
      <c r="S461" s="178">
        <f t="shared" si="30"/>
        <v>0</v>
      </c>
      <c r="T461" s="195">
        <f t="shared" si="31"/>
        <v>0</v>
      </c>
      <c r="U461" s="179"/>
      <c r="V461" s="180"/>
      <c r="W461" s="179"/>
      <c r="X461" s="180"/>
      <c r="Y461" s="179"/>
      <c r="Z461" s="179">
        <v>0</v>
      </c>
      <c r="AA461" s="179"/>
      <c r="AB461" s="180"/>
      <c r="AC461" s="180"/>
      <c r="AD461" s="180"/>
      <c r="AE461" s="179"/>
      <c r="AF461" s="256"/>
    </row>
    <row r="462" spans="1:32" s="223" customFormat="1" ht="15" customHeight="1">
      <c r="A462" s="166" t="s">
        <v>151</v>
      </c>
      <c r="B462" s="166" t="s">
        <v>178</v>
      </c>
      <c r="C462" s="26" t="s">
        <v>177</v>
      </c>
      <c r="D462" s="210">
        <v>8</v>
      </c>
      <c r="E462" s="178">
        <f t="shared" si="28"/>
        <v>231277</v>
      </c>
      <c r="F462" s="195">
        <f t="shared" si="29"/>
        <v>241493</v>
      </c>
      <c r="G462" s="179">
        <v>189364</v>
      </c>
      <c r="H462" s="180">
        <v>193739</v>
      </c>
      <c r="I462" s="179">
        <v>12211</v>
      </c>
      <c r="J462" s="180">
        <v>15016</v>
      </c>
      <c r="K462" s="179">
        <v>19438</v>
      </c>
      <c r="L462" s="179">
        <v>478</v>
      </c>
      <c r="M462" s="179">
        <v>4581</v>
      </c>
      <c r="N462" s="180">
        <v>22548</v>
      </c>
      <c r="O462" s="180">
        <v>399</v>
      </c>
      <c r="P462" s="180">
        <v>4037</v>
      </c>
      <c r="Q462" s="179">
        <v>5205</v>
      </c>
      <c r="R462" s="180">
        <v>5754</v>
      </c>
      <c r="S462" s="178">
        <f t="shared" si="30"/>
        <v>0</v>
      </c>
      <c r="T462" s="195">
        <f t="shared" si="31"/>
        <v>0</v>
      </c>
      <c r="U462" s="179"/>
      <c r="V462" s="180"/>
      <c r="W462" s="179"/>
      <c r="X462" s="180"/>
      <c r="Y462" s="179"/>
      <c r="Z462" s="179">
        <v>0</v>
      </c>
      <c r="AA462" s="179"/>
      <c r="AB462" s="180"/>
      <c r="AC462" s="180"/>
      <c r="AD462" s="180"/>
      <c r="AE462" s="179"/>
      <c r="AF462" s="256"/>
    </row>
    <row r="463" spans="1:32" s="223" customFormat="1" ht="15" customHeight="1">
      <c r="A463" s="166" t="s">
        <v>151</v>
      </c>
      <c r="B463" s="166" t="s">
        <v>176</v>
      </c>
      <c r="C463" s="26" t="s">
        <v>175</v>
      </c>
      <c r="D463" s="210">
        <v>8</v>
      </c>
      <c r="E463" s="178">
        <f t="shared" si="28"/>
        <v>317142</v>
      </c>
      <c r="F463" s="195">
        <f t="shared" si="29"/>
        <v>323457</v>
      </c>
      <c r="G463" s="179">
        <v>265031</v>
      </c>
      <c r="H463" s="180">
        <v>264326</v>
      </c>
      <c r="I463" s="179">
        <v>10900</v>
      </c>
      <c r="J463" s="180">
        <v>10744</v>
      </c>
      <c r="K463" s="179">
        <v>32654</v>
      </c>
      <c r="L463" s="179">
        <v>714</v>
      </c>
      <c r="M463" s="179">
        <v>7843</v>
      </c>
      <c r="N463" s="180">
        <v>39302</v>
      </c>
      <c r="O463" s="180">
        <v>792</v>
      </c>
      <c r="P463" s="180">
        <v>7501</v>
      </c>
      <c r="Q463" s="179"/>
      <c r="R463" s="180">
        <v>792</v>
      </c>
      <c r="S463" s="178">
        <f t="shared" si="30"/>
        <v>0</v>
      </c>
      <c r="T463" s="195">
        <f t="shared" si="31"/>
        <v>0</v>
      </c>
      <c r="U463" s="179"/>
      <c r="V463" s="180"/>
      <c r="W463" s="179"/>
      <c r="X463" s="180"/>
      <c r="Y463" s="179"/>
      <c r="Z463" s="179">
        <v>0</v>
      </c>
      <c r="AA463" s="179"/>
      <c r="AB463" s="180"/>
      <c r="AC463" s="180"/>
      <c r="AD463" s="180"/>
      <c r="AE463" s="179"/>
      <c r="AF463" s="256"/>
    </row>
    <row r="464" spans="1:32" s="223" customFormat="1" ht="15" customHeight="1">
      <c r="A464" s="166" t="s">
        <v>151</v>
      </c>
      <c r="B464" s="166" t="s">
        <v>174</v>
      </c>
      <c r="C464" s="26" t="s">
        <v>173</v>
      </c>
      <c r="D464" s="210">
        <v>9</v>
      </c>
      <c r="E464" s="178">
        <f t="shared" si="28"/>
        <v>76094</v>
      </c>
      <c r="F464" s="195">
        <f t="shared" si="29"/>
        <v>92004</v>
      </c>
      <c r="G464" s="179">
        <v>48665</v>
      </c>
      <c r="H464" s="180">
        <v>53520</v>
      </c>
      <c r="I464" s="179">
        <v>3937</v>
      </c>
      <c r="J464" s="180">
        <v>12204</v>
      </c>
      <c r="K464" s="179">
        <v>12515</v>
      </c>
      <c r="L464" s="179">
        <v>10977</v>
      </c>
      <c r="M464" s="179"/>
      <c r="N464" s="180">
        <v>15722</v>
      </c>
      <c r="O464" s="180">
        <v>10558</v>
      </c>
      <c r="P464" s="180">
        <v>0</v>
      </c>
      <c r="Q464" s="179"/>
      <c r="R464" s="180">
        <v>0</v>
      </c>
      <c r="S464" s="178">
        <f t="shared" si="30"/>
        <v>0</v>
      </c>
      <c r="T464" s="195">
        <f t="shared" si="31"/>
        <v>0</v>
      </c>
      <c r="U464" s="179"/>
      <c r="V464" s="180"/>
      <c r="W464" s="179"/>
      <c r="X464" s="180"/>
      <c r="Y464" s="179"/>
      <c r="Z464" s="179">
        <v>0</v>
      </c>
      <c r="AA464" s="179"/>
      <c r="AB464" s="180"/>
      <c r="AC464" s="180"/>
      <c r="AD464" s="180"/>
      <c r="AE464" s="179"/>
      <c r="AF464" s="256"/>
    </row>
    <row r="465" spans="1:32" s="223" customFormat="1" ht="15" customHeight="1">
      <c r="A465" s="166" t="s">
        <v>151</v>
      </c>
      <c r="B465" s="166" t="s">
        <v>171</v>
      </c>
      <c r="C465" s="26" t="s">
        <v>170</v>
      </c>
      <c r="D465" s="210">
        <v>9</v>
      </c>
      <c r="E465" s="178">
        <f t="shared" si="28"/>
        <v>75155</v>
      </c>
      <c r="F465" s="195">
        <f t="shared" si="29"/>
        <v>76679</v>
      </c>
      <c r="G465" s="179">
        <v>65950</v>
      </c>
      <c r="H465" s="180">
        <v>68778</v>
      </c>
      <c r="I465" s="179">
        <v>9139</v>
      </c>
      <c r="J465" s="180">
        <v>7901</v>
      </c>
      <c r="K465" s="179">
        <v>66</v>
      </c>
      <c r="L465" s="179">
        <v>0</v>
      </c>
      <c r="M465" s="179"/>
      <c r="N465" s="180">
        <v>0</v>
      </c>
      <c r="O465" s="180">
        <v>0</v>
      </c>
      <c r="P465" s="180">
        <v>0</v>
      </c>
      <c r="Q465" s="179"/>
      <c r="R465" s="180">
        <v>0</v>
      </c>
      <c r="S465" s="178">
        <f t="shared" si="30"/>
        <v>0</v>
      </c>
      <c r="T465" s="195">
        <f t="shared" si="31"/>
        <v>0</v>
      </c>
      <c r="U465" s="179"/>
      <c r="V465" s="180"/>
      <c r="W465" s="179"/>
      <c r="X465" s="180"/>
      <c r="Y465" s="179"/>
      <c r="Z465" s="179">
        <v>0</v>
      </c>
      <c r="AA465" s="179"/>
      <c r="AB465" s="180"/>
      <c r="AC465" s="180"/>
      <c r="AD465" s="180"/>
      <c r="AE465" s="179"/>
      <c r="AF465" s="256"/>
    </row>
    <row r="466" spans="1:32" s="223" customFormat="1" ht="15" customHeight="1">
      <c r="A466" s="166" t="s">
        <v>151</v>
      </c>
      <c r="B466" s="166" t="s">
        <v>533</v>
      </c>
      <c r="C466" s="26" t="s">
        <v>172</v>
      </c>
      <c r="D466" s="210">
        <v>9</v>
      </c>
      <c r="E466" s="178">
        <f t="shared" si="28"/>
        <v>104098</v>
      </c>
      <c r="F466" s="195">
        <f t="shared" si="29"/>
        <v>109765</v>
      </c>
      <c r="G466" s="179">
        <v>104098</v>
      </c>
      <c r="H466" s="180">
        <v>109765</v>
      </c>
      <c r="I466" s="179"/>
      <c r="J466" s="180"/>
      <c r="K466" s="179"/>
      <c r="L466" s="179">
        <v>0</v>
      </c>
      <c r="M466" s="179"/>
      <c r="N466" s="180">
        <v>0</v>
      </c>
      <c r="O466" s="180">
        <v>0</v>
      </c>
      <c r="P466" s="180">
        <v>0</v>
      </c>
      <c r="Q466" s="179"/>
      <c r="R466" s="180">
        <v>0</v>
      </c>
      <c r="S466" s="178">
        <f t="shared" si="30"/>
        <v>0</v>
      </c>
      <c r="T466" s="195">
        <f t="shared" si="31"/>
        <v>0</v>
      </c>
      <c r="U466" s="179"/>
      <c r="V466" s="180"/>
      <c r="W466" s="179"/>
      <c r="X466" s="180"/>
      <c r="Y466" s="179"/>
      <c r="Z466" s="179">
        <v>0</v>
      </c>
      <c r="AA466" s="179"/>
      <c r="AB466" s="180"/>
      <c r="AC466" s="180"/>
      <c r="AD466" s="180"/>
      <c r="AE466" s="179"/>
      <c r="AF466" s="256"/>
    </row>
    <row r="467" spans="1:32" s="223" customFormat="1" ht="15" customHeight="1">
      <c r="A467" s="166" t="s">
        <v>151</v>
      </c>
      <c r="B467" s="166" t="s">
        <v>169</v>
      </c>
      <c r="C467" s="26" t="s">
        <v>168</v>
      </c>
      <c r="D467" s="210">
        <v>9</v>
      </c>
      <c r="E467" s="178">
        <f t="shared" si="28"/>
        <v>158085</v>
      </c>
      <c r="F467" s="195">
        <f t="shared" si="29"/>
        <v>151689</v>
      </c>
      <c r="G467" s="179">
        <v>138077</v>
      </c>
      <c r="H467" s="180">
        <v>127440</v>
      </c>
      <c r="I467" s="179">
        <v>4614</v>
      </c>
      <c r="J467" s="180">
        <v>4230</v>
      </c>
      <c r="K467" s="179">
        <v>9980</v>
      </c>
      <c r="L467" s="179">
        <v>258</v>
      </c>
      <c r="M467" s="179">
        <v>5156</v>
      </c>
      <c r="N467" s="180">
        <v>15484</v>
      </c>
      <c r="O467" s="180">
        <v>303</v>
      </c>
      <c r="P467" s="180">
        <v>4232</v>
      </c>
      <c r="Q467" s="179"/>
      <c r="R467" s="180">
        <v>0</v>
      </c>
      <c r="S467" s="178">
        <f t="shared" si="30"/>
        <v>0</v>
      </c>
      <c r="T467" s="195">
        <f t="shared" si="31"/>
        <v>0</v>
      </c>
      <c r="U467" s="179"/>
      <c r="V467" s="180"/>
      <c r="W467" s="179"/>
      <c r="X467" s="180"/>
      <c r="Y467" s="179"/>
      <c r="Z467" s="179">
        <v>0</v>
      </c>
      <c r="AA467" s="179"/>
      <c r="AB467" s="180"/>
      <c r="AC467" s="180"/>
      <c r="AD467" s="180"/>
      <c r="AE467" s="179"/>
      <c r="AF467" s="256"/>
    </row>
    <row r="468" spans="1:32" s="223" customFormat="1" ht="15" customHeight="1">
      <c r="A468" s="166" t="s">
        <v>151</v>
      </c>
      <c r="B468" s="166" t="s">
        <v>167</v>
      </c>
      <c r="C468" s="26" t="s">
        <v>166</v>
      </c>
      <c r="D468" s="210">
        <v>10</v>
      </c>
      <c r="E468" s="178">
        <f t="shared" si="28"/>
        <v>23108</v>
      </c>
      <c r="F468" s="195">
        <f t="shared" si="29"/>
        <v>27569</v>
      </c>
      <c r="G468" s="179">
        <v>17830</v>
      </c>
      <c r="H468" s="180">
        <v>22838</v>
      </c>
      <c r="I468" s="179">
        <v>566</v>
      </c>
      <c r="J468" s="180">
        <v>389</v>
      </c>
      <c r="K468" s="179"/>
      <c r="L468" s="179">
        <v>186</v>
      </c>
      <c r="M468" s="179">
        <v>4526</v>
      </c>
      <c r="N468" s="180">
        <v>4205</v>
      </c>
      <c r="O468" s="180">
        <v>137</v>
      </c>
      <c r="P468" s="180">
        <v>0</v>
      </c>
      <c r="Q468" s="179"/>
      <c r="R468" s="180">
        <v>0</v>
      </c>
      <c r="S468" s="178">
        <f t="shared" si="30"/>
        <v>0</v>
      </c>
      <c r="T468" s="195">
        <f t="shared" si="31"/>
        <v>0</v>
      </c>
      <c r="U468" s="179"/>
      <c r="V468" s="180"/>
      <c r="W468" s="179"/>
      <c r="X468" s="180"/>
      <c r="Y468" s="179"/>
      <c r="Z468" s="179">
        <v>0</v>
      </c>
      <c r="AA468" s="179"/>
      <c r="AB468" s="180"/>
      <c r="AC468" s="180"/>
      <c r="AD468" s="180"/>
      <c r="AE468" s="179"/>
      <c r="AF468" s="256"/>
    </row>
    <row r="469" spans="1:32" s="223" customFormat="1" ht="15" customHeight="1">
      <c r="A469" s="166" t="s">
        <v>151</v>
      </c>
      <c r="B469" s="166" t="s">
        <v>165</v>
      </c>
      <c r="C469" s="26" t="s">
        <v>164</v>
      </c>
      <c r="D469" s="210">
        <v>10</v>
      </c>
      <c r="E469" s="178">
        <f t="shared" si="28"/>
        <v>46831</v>
      </c>
      <c r="F469" s="195">
        <f t="shared" si="29"/>
        <v>51125</v>
      </c>
      <c r="G469" s="179">
        <v>40031</v>
      </c>
      <c r="H469" s="180">
        <v>41350</v>
      </c>
      <c r="I469" s="179">
        <v>2325</v>
      </c>
      <c r="J469" s="180">
        <v>2208</v>
      </c>
      <c r="K469" s="179">
        <v>460</v>
      </c>
      <c r="L469" s="179">
        <v>4015</v>
      </c>
      <c r="M469" s="179"/>
      <c r="N469" s="180">
        <v>1668</v>
      </c>
      <c r="O469" s="180">
        <v>5890</v>
      </c>
      <c r="P469" s="180">
        <v>0</v>
      </c>
      <c r="Q469" s="179"/>
      <c r="R469" s="180">
        <v>9</v>
      </c>
      <c r="S469" s="178">
        <f t="shared" si="30"/>
        <v>0</v>
      </c>
      <c r="T469" s="195">
        <f t="shared" si="31"/>
        <v>0</v>
      </c>
      <c r="U469" s="179"/>
      <c r="V469" s="180"/>
      <c r="W469" s="179"/>
      <c r="X469" s="180"/>
      <c r="Y469" s="179"/>
      <c r="Z469" s="179">
        <v>0</v>
      </c>
      <c r="AA469" s="179"/>
      <c r="AB469" s="180"/>
      <c r="AC469" s="180"/>
      <c r="AD469" s="180"/>
      <c r="AE469" s="179"/>
      <c r="AF469" s="256"/>
    </row>
    <row r="470" spans="1:32" s="223" customFormat="1" ht="15" customHeight="1">
      <c r="A470" s="166" t="s">
        <v>151</v>
      </c>
      <c r="B470" s="166" t="s">
        <v>163</v>
      </c>
      <c r="C470" s="26" t="s">
        <v>162</v>
      </c>
      <c r="D470" s="210">
        <v>10</v>
      </c>
      <c r="E470" s="178">
        <f t="shared" si="28"/>
        <v>43973</v>
      </c>
      <c r="F470" s="195">
        <f t="shared" si="29"/>
        <v>44457</v>
      </c>
      <c r="G470" s="179">
        <v>42457</v>
      </c>
      <c r="H470" s="180">
        <v>41877</v>
      </c>
      <c r="I470" s="179">
        <v>551</v>
      </c>
      <c r="J470" s="180">
        <v>412</v>
      </c>
      <c r="K470" s="179">
        <v>254</v>
      </c>
      <c r="L470" s="179">
        <v>711</v>
      </c>
      <c r="M470" s="179"/>
      <c r="N470" s="180">
        <v>1153</v>
      </c>
      <c r="O470" s="180">
        <v>1015</v>
      </c>
      <c r="P470" s="180">
        <v>0</v>
      </c>
      <c r="Q470" s="179"/>
      <c r="R470" s="180">
        <v>0</v>
      </c>
      <c r="S470" s="178">
        <f t="shared" si="30"/>
        <v>0</v>
      </c>
      <c r="T470" s="195">
        <f t="shared" si="31"/>
        <v>0</v>
      </c>
      <c r="U470" s="179"/>
      <c r="V470" s="180"/>
      <c r="W470" s="179"/>
      <c r="X470" s="180"/>
      <c r="Y470" s="179"/>
      <c r="Z470" s="179">
        <v>0</v>
      </c>
      <c r="AA470" s="179"/>
      <c r="AB470" s="180"/>
      <c r="AC470" s="180"/>
      <c r="AD470" s="180"/>
      <c r="AE470" s="179"/>
      <c r="AF470" s="256"/>
    </row>
    <row r="471" spans="1:32" s="223" customFormat="1" ht="15" customHeight="1">
      <c r="A471" s="166" t="s">
        <v>151</v>
      </c>
      <c r="B471" s="166" t="s">
        <v>161</v>
      </c>
      <c r="C471" s="26" t="s">
        <v>160</v>
      </c>
      <c r="D471" s="210">
        <v>10</v>
      </c>
      <c r="E471" s="178">
        <f t="shared" si="28"/>
        <v>45086</v>
      </c>
      <c r="F471" s="195">
        <f t="shared" si="29"/>
        <v>45834</v>
      </c>
      <c r="G471" s="179">
        <v>37172</v>
      </c>
      <c r="H471" s="180">
        <v>34971</v>
      </c>
      <c r="I471" s="179">
        <v>2576</v>
      </c>
      <c r="J471" s="180">
        <v>2653</v>
      </c>
      <c r="K471" s="179">
        <v>2079</v>
      </c>
      <c r="L471" s="179">
        <v>2740</v>
      </c>
      <c r="M471" s="179">
        <v>519</v>
      </c>
      <c r="N471" s="180">
        <v>4980</v>
      </c>
      <c r="O471" s="180">
        <v>2841</v>
      </c>
      <c r="P471" s="180">
        <v>389</v>
      </c>
      <c r="Q471" s="179"/>
      <c r="R471" s="180">
        <v>0</v>
      </c>
      <c r="S471" s="178">
        <f t="shared" si="30"/>
        <v>0</v>
      </c>
      <c r="T471" s="195">
        <f t="shared" si="31"/>
        <v>0</v>
      </c>
      <c r="U471" s="179"/>
      <c r="V471" s="180"/>
      <c r="W471" s="179"/>
      <c r="X471" s="180"/>
      <c r="Y471" s="179"/>
      <c r="Z471" s="179">
        <v>0</v>
      </c>
      <c r="AA471" s="179"/>
      <c r="AB471" s="180"/>
      <c r="AC471" s="180"/>
      <c r="AD471" s="180"/>
      <c r="AE471" s="179"/>
      <c r="AF471" s="256"/>
    </row>
    <row r="472" spans="1:32" s="223" customFormat="1" ht="15" customHeight="1">
      <c r="A472" s="166" t="s">
        <v>151</v>
      </c>
      <c r="B472" s="166" t="s">
        <v>159</v>
      </c>
      <c r="C472" s="26" t="s">
        <v>158</v>
      </c>
      <c r="D472" s="210">
        <v>10</v>
      </c>
      <c r="E472" s="178">
        <f t="shared" si="28"/>
        <v>50260</v>
      </c>
      <c r="F472" s="195">
        <f t="shared" si="29"/>
        <v>50280</v>
      </c>
      <c r="G472" s="179">
        <v>47744</v>
      </c>
      <c r="H472" s="180">
        <v>47184</v>
      </c>
      <c r="I472" s="179">
        <v>395</v>
      </c>
      <c r="J472" s="180">
        <v>639</v>
      </c>
      <c r="K472" s="179">
        <v>1701</v>
      </c>
      <c r="L472" s="179">
        <v>420</v>
      </c>
      <c r="M472" s="179"/>
      <c r="N472" s="180">
        <v>2112</v>
      </c>
      <c r="O472" s="180">
        <v>345</v>
      </c>
      <c r="P472" s="180">
        <v>0</v>
      </c>
      <c r="Q472" s="179"/>
      <c r="R472" s="180">
        <v>0</v>
      </c>
      <c r="S472" s="178">
        <f t="shared" si="30"/>
        <v>0</v>
      </c>
      <c r="T472" s="195">
        <f t="shared" si="31"/>
        <v>0</v>
      </c>
      <c r="U472" s="179"/>
      <c r="V472" s="180"/>
      <c r="W472" s="179"/>
      <c r="X472" s="180"/>
      <c r="Y472" s="179"/>
      <c r="Z472" s="179">
        <v>0</v>
      </c>
      <c r="AA472" s="179"/>
      <c r="AB472" s="180"/>
      <c r="AC472" s="180"/>
      <c r="AD472" s="180"/>
      <c r="AE472" s="179"/>
      <c r="AF472" s="256"/>
    </row>
    <row r="473" spans="1:32" s="223" customFormat="1" ht="15" customHeight="1">
      <c r="A473" s="166" t="s">
        <v>151</v>
      </c>
      <c r="B473" s="166" t="s">
        <v>157</v>
      </c>
      <c r="C473" s="26" t="s">
        <v>156</v>
      </c>
      <c r="D473" s="210">
        <v>10</v>
      </c>
      <c r="E473" s="178">
        <f t="shared" si="28"/>
        <v>42909</v>
      </c>
      <c r="F473" s="195">
        <f t="shared" si="29"/>
        <v>44483</v>
      </c>
      <c r="G473" s="179">
        <v>32967</v>
      </c>
      <c r="H473" s="180">
        <v>31103</v>
      </c>
      <c r="I473" s="179">
        <v>4428</v>
      </c>
      <c r="J473" s="180">
        <v>4942</v>
      </c>
      <c r="K473" s="179">
        <v>3267</v>
      </c>
      <c r="L473" s="179">
        <v>822</v>
      </c>
      <c r="M473" s="179">
        <v>1425</v>
      </c>
      <c r="N473" s="180">
        <v>5923</v>
      </c>
      <c r="O473" s="180">
        <v>747</v>
      </c>
      <c r="P473" s="180">
        <v>1768</v>
      </c>
      <c r="Q473" s="179"/>
      <c r="R473" s="180">
        <v>0</v>
      </c>
      <c r="S473" s="178">
        <f t="shared" si="30"/>
        <v>0</v>
      </c>
      <c r="T473" s="195">
        <f t="shared" si="31"/>
        <v>0</v>
      </c>
      <c r="U473" s="179"/>
      <c r="V473" s="180"/>
      <c r="W473" s="179"/>
      <c r="X473" s="180"/>
      <c r="Y473" s="179"/>
      <c r="Z473" s="179">
        <v>0</v>
      </c>
      <c r="AA473" s="179"/>
      <c r="AB473" s="180"/>
      <c r="AC473" s="180"/>
      <c r="AD473" s="180"/>
      <c r="AE473" s="179"/>
      <c r="AF473" s="256"/>
    </row>
    <row r="474" spans="1:32" s="223" customFormat="1" ht="15" customHeight="1">
      <c r="A474" s="166" t="s">
        <v>151</v>
      </c>
      <c r="B474" s="166" t="s">
        <v>153</v>
      </c>
      <c r="C474" s="26" t="s">
        <v>152</v>
      </c>
      <c r="D474" s="210">
        <v>10</v>
      </c>
      <c r="E474" s="178">
        <f t="shared" si="28"/>
        <v>45561</v>
      </c>
      <c r="F474" s="195">
        <f t="shared" si="29"/>
        <v>47450</v>
      </c>
      <c r="G474" s="179">
        <v>39698</v>
      </c>
      <c r="H474" s="180">
        <v>40341</v>
      </c>
      <c r="I474" s="179">
        <v>5002</v>
      </c>
      <c r="J474" s="180">
        <v>5897</v>
      </c>
      <c r="K474" s="179">
        <v>456</v>
      </c>
      <c r="L474" s="179">
        <v>0</v>
      </c>
      <c r="M474" s="179">
        <v>405</v>
      </c>
      <c r="N474" s="180">
        <v>888</v>
      </c>
      <c r="O474" s="180">
        <v>0</v>
      </c>
      <c r="P474" s="180">
        <v>324</v>
      </c>
      <c r="Q474" s="179"/>
      <c r="R474" s="180">
        <v>0</v>
      </c>
      <c r="S474" s="178">
        <f t="shared" si="30"/>
        <v>0</v>
      </c>
      <c r="T474" s="195">
        <f t="shared" si="31"/>
        <v>0</v>
      </c>
      <c r="U474" s="179"/>
      <c r="V474" s="180"/>
      <c r="W474" s="179"/>
      <c r="X474" s="180"/>
      <c r="Y474" s="179"/>
      <c r="Z474" s="179">
        <v>0</v>
      </c>
      <c r="AA474" s="179"/>
      <c r="AB474" s="180"/>
      <c r="AC474" s="180"/>
      <c r="AD474" s="180"/>
      <c r="AE474" s="179"/>
      <c r="AF474" s="256"/>
    </row>
    <row r="475" spans="1:32" s="223" customFormat="1" ht="15" customHeight="1">
      <c r="A475" s="166" t="s">
        <v>151</v>
      </c>
      <c r="B475" s="166" t="s">
        <v>150</v>
      </c>
      <c r="C475" s="26">
        <v>208035</v>
      </c>
      <c r="D475" s="210">
        <v>10</v>
      </c>
      <c r="E475" s="178">
        <f t="shared" si="28"/>
        <v>42634</v>
      </c>
      <c r="F475" s="195">
        <f t="shared" si="29"/>
        <v>40508</v>
      </c>
      <c r="G475" s="179">
        <v>29321</v>
      </c>
      <c r="H475" s="180">
        <v>25698</v>
      </c>
      <c r="I475" s="179">
        <v>7517</v>
      </c>
      <c r="J475" s="180">
        <v>7458</v>
      </c>
      <c r="K475" s="179">
        <v>3822</v>
      </c>
      <c r="L475" s="179">
        <v>1176</v>
      </c>
      <c r="M475" s="179">
        <v>798</v>
      </c>
      <c r="N475" s="180">
        <v>5029</v>
      </c>
      <c r="O475" s="180">
        <v>1411</v>
      </c>
      <c r="P475" s="180">
        <v>912</v>
      </c>
      <c r="Q475" s="179"/>
      <c r="R475" s="180">
        <v>0</v>
      </c>
      <c r="S475" s="178">
        <f t="shared" si="30"/>
        <v>0</v>
      </c>
      <c r="T475" s="195">
        <f t="shared" si="31"/>
        <v>0</v>
      </c>
      <c r="U475" s="179"/>
      <c r="V475" s="180"/>
      <c r="W475" s="179"/>
      <c r="X475" s="180"/>
      <c r="Y475" s="179"/>
      <c r="Z475" s="179">
        <v>0</v>
      </c>
      <c r="AA475" s="179"/>
      <c r="AB475" s="180"/>
      <c r="AC475" s="180"/>
      <c r="AD475" s="180"/>
      <c r="AE475" s="179"/>
      <c r="AF475" s="256"/>
    </row>
    <row r="476" spans="1:32" s="223" customFormat="1" ht="15" customHeight="1">
      <c r="A476" s="163" t="s">
        <v>534</v>
      </c>
      <c r="B476" s="163"/>
      <c r="C476" s="30"/>
      <c r="D476" s="208">
        <v>1</v>
      </c>
      <c r="E476" s="178">
        <f t="shared" si="28"/>
        <v>0</v>
      </c>
      <c r="F476" s="195">
        <f t="shared" si="29"/>
        <v>0</v>
      </c>
      <c r="G476" s="179"/>
      <c r="H476" s="180"/>
      <c r="I476" s="179"/>
      <c r="J476" s="180"/>
      <c r="K476" s="179"/>
      <c r="L476" s="179"/>
      <c r="M476" s="179"/>
      <c r="N476" s="180"/>
      <c r="O476" s="180"/>
      <c r="P476" s="180"/>
      <c r="Q476" s="179"/>
      <c r="R476" s="180"/>
      <c r="S476" s="178">
        <f t="shared" si="30"/>
        <v>0</v>
      </c>
      <c r="T476" s="195">
        <f t="shared" si="31"/>
        <v>0</v>
      </c>
      <c r="U476" s="179"/>
      <c r="V476" s="180"/>
      <c r="W476" s="179"/>
      <c r="X476" s="180"/>
      <c r="Y476" s="179"/>
      <c r="Z476" s="179"/>
      <c r="AA476" s="179"/>
      <c r="AB476" s="180"/>
      <c r="AC476" s="180"/>
      <c r="AD476" s="180"/>
      <c r="AE476" s="179"/>
      <c r="AF476" s="256"/>
    </row>
    <row r="477" spans="1:32" s="223" customFormat="1" ht="15" customHeight="1">
      <c r="A477" s="160" t="s">
        <v>535</v>
      </c>
      <c r="B477" s="167" t="s">
        <v>734</v>
      </c>
      <c r="C477" s="143">
        <v>221759</v>
      </c>
      <c r="D477" s="206">
        <v>1</v>
      </c>
      <c r="E477" s="178">
        <f t="shared" si="28"/>
        <v>0</v>
      </c>
      <c r="F477" s="195">
        <f t="shared" si="29"/>
        <v>0</v>
      </c>
      <c r="G477" s="179"/>
      <c r="H477" s="180"/>
      <c r="I477" s="179"/>
      <c r="J477" s="180"/>
      <c r="K477" s="179"/>
      <c r="L477" s="179"/>
      <c r="M477" s="179"/>
      <c r="N477" s="180"/>
      <c r="O477" s="180"/>
      <c r="P477" s="180"/>
      <c r="Q477" s="179"/>
      <c r="R477" s="180"/>
      <c r="S477" s="178">
        <f t="shared" si="30"/>
        <v>0</v>
      </c>
      <c r="T477" s="195">
        <f t="shared" si="31"/>
        <v>0</v>
      </c>
      <c r="U477" s="179"/>
      <c r="V477" s="180"/>
      <c r="W477" s="179"/>
      <c r="X477" s="180"/>
      <c r="Y477" s="179"/>
      <c r="Z477" s="179"/>
      <c r="AA477" s="179"/>
      <c r="AB477" s="180"/>
      <c r="AC477" s="180"/>
      <c r="AD477" s="180"/>
      <c r="AE477" s="179"/>
      <c r="AF477" s="256"/>
    </row>
    <row r="478" spans="1:32" s="223" customFormat="1" ht="15" customHeight="1">
      <c r="A478" s="160" t="s">
        <v>535</v>
      </c>
      <c r="B478" s="167" t="s">
        <v>735</v>
      </c>
      <c r="C478" s="143">
        <v>220862</v>
      </c>
      <c r="D478" s="206">
        <v>2</v>
      </c>
      <c r="E478" s="178">
        <f t="shared" si="28"/>
        <v>0</v>
      </c>
      <c r="F478" s="195">
        <f t="shared" si="29"/>
        <v>0</v>
      </c>
      <c r="G478" s="179"/>
      <c r="H478" s="180"/>
      <c r="I478" s="179"/>
      <c r="J478" s="180"/>
      <c r="K478" s="179"/>
      <c r="L478" s="179"/>
      <c r="M478" s="179"/>
      <c r="N478" s="180"/>
      <c r="O478" s="180"/>
      <c r="P478" s="180"/>
      <c r="Q478" s="179"/>
      <c r="R478" s="180"/>
      <c r="S478" s="178">
        <f t="shared" si="30"/>
        <v>0</v>
      </c>
      <c r="T478" s="195">
        <f t="shared" si="31"/>
        <v>0</v>
      </c>
      <c r="U478" s="179"/>
      <c r="V478" s="180"/>
      <c r="W478" s="179"/>
      <c r="X478" s="180"/>
      <c r="Y478" s="179"/>
      <c r="Z478" s="179"/>
      <c r="AA478" s="179"/>
      <c r="AB478" s="180"/>
      <c r="AC478" s="180"/>
      <c r="AD478" s="180"/>
      <c r="AE478" s="179"/>
      <c r="AF478" s="256"/>
    </row>
    <row r="479" spans="1:32" s="223" customFormat="1" ht="15" customHeight="1">
      <c r="A479" s="160" t="s">
        <v>535</v>
      </c>
      <c r="B479" s="167" t="s">
        <v>736</v>
      </c>
      <c r="C479" s="143">
        <v>220075</v>
      </c>
      <c r="D479" s="206">
        <v>3</v>
      </c>
      <c r="E479" s="178">
        <f t="shared" si="28"/>
        <v>0</v>
      </c>
      <c r="F479" s="195">
        <f t="shared" si="29"/>
        <v>0</v>
      </c>
      <c r="G479" s="179"/>
      <c r="H479" s="180"/>
      <c r="I479" s="179"/>
      <c r="J479" s="180"/>
      <c r="K479" s="179"/>
      <c r="L479" s="179"/>
      <c r="M479" s="179"/>
      <c r="N479" s="180"/>
      <c r="O479" s="180"/>
      <c r="P479" s="180"/>
      <c r="Q479" s="179"/>
      <c r="R479" s="180"/>
      <c r="S479" s="178">
        <f t="shared" si="30"/>
        <v>0</v>
      </c>
      <c r="T479" s="195">
        <f t="shared" si="31"/>
        <v>0</v>
      </c>
      <c r="U479" s="179"/>
      <c r="V479" s="180"/>
      <c r="W479" s="179"/>
      <c r="X479" s="180"/>
      <c r="Y479" s="179"/>
      <c r="Z479" s="179"/>
      <c r="AA479" s="179"/>
      <c r="AB479" s="180"/>
      <c r="AC479" s="180"/>
      <c r="AD479" s="180"/>
      <c r="AE479" s="179"/>
      <c r="AF479" s="256"/>
    </row>
    <row r="480" spans="1:32" s="223" customFormat="1" ht="15" customHeight="1">
      <c r="A480" s="160" t="s">
        <v>535</v>
      </c>
      <c r="B480" s="167" t="s">
        <v>737</v>
      </c>
      <c r="C480" s="143">
        <v>220978</v>
      </c>
      <c r="D480" s="206">
        <v>3</v>
      </c>
      <c r="E480" s="178">
        <f t="shared" si="28"/>
        <v>0</v>
      </c>
      <c r="F480" s="195">
        <f t="shared" si="29"/>
        <v>0</v>
      </c>
      <c r="G480" s="179"/>
      <c r="H480" s="180"/>
      <c r="I480" s="179"/>
      <c r="J480" s="180"/>
      <c r="K480" s="179"/>
      <c r="L480" s="179"/>
      <c r="M480" s="179"/>
      <c r="N480" s="180"/>
      <c r="O480" s="180"/>
      <c r="P480" s="180"/>
      <c r="Q480" s="179"/>
      <c r="R480" s="180"/>
      <c r="S480" s="178">
        <f t="shared" si="30"/>
        <v>0</v>
      </c>
      <c r="T480" s="195">
        <f t="shared" si="31"/>
        <v>0</v>
      </c>
      <c r="U480" s="179"/>
      <c r="V480" s="180"/>
      <c r="W480" s="179"/>
      <c r="X480" s="180"/>
      <c r="Y480" s="179"/>
      <c r="Z480" s="179"/>
      <c r="AA480" s="179"/>
      <c r="AB480" s="180"/>
      <c r="AC480" s="180"/>
      <c r="AD480" s="180"/>
      <c r="AE480" s="179"/>
      <c r="AF480" s="256"/>
    </row>
    <row r="481" spans="1:32" s="223" customFormat="1" ht="15" customHeight="1">
      <c r="A481" s="160" t="s">
        <v>535</v>
      </c>
      <c r="B481" s="167" t="s">
        <v>738</v>
      </c>
      <c r="C481" s="143">
        <v>221838</v>
      </c>
      <c r="D481" s="206">
        <v>3</v>
      </c>
      <c r="E481" s="178">
        <f t="shared" si="28"/>
        <v>0</v>
      </c>
      <c r="F481" s="195">
        <f t="shared" si="29"/>
        <v>0</v>
      </c>
      <c r="G481" s="179"/>
      <c r="H481" s="180"/>
      <c r="I481" s="179"/>
      <c r="J481" s="180"/>
      <c r="K481" s="179"/>
      <c r="L481" s="179"/>
      <c r="M481" s="179"/>
      <c r="N481" s="180"/>
      <c r="O481" s="180"/>
      <c r="P481" s="180"/>
      <c r="Q481" s="179"/>
      <c r="R481" s="180"/>
      <c r="S481" s="178">
        <f t="shared" si="30"/>
        <v>0</v>
      </c>
      <c r="T481" s="195">
        <f t="shared" si="31"/>
        <v>0</v>
      </c>
      <c r="U481" s="179"/>
      <c r="V481" s="180"/>
      <c r="W481" s="179"/>
      <c r="X481" s="180"/>
      <c r="Y481" s="179"/>
      <c r="Z481" s="179"/>
      <c r="AA481" s="179"/>
      <c r="AB481" s="180"/>
      <c r="AC481" s="180"/>
      <c r="AD481" s="180"/>
      <c r="AE481" s="179"/>
      <c r="AF481" s="256"/>
    </row>
    <row r="482" spans="1:32" s="223" customFormat="1" ht="15" customHeight="1">
      <c r="A482" s="160" t="s">
        <v>535</v>
      </c>
      <c r="B482" s="167" t="s">
        <v>739</v>
      </c>
      <c r="C482" s="143">
        <v>221740</v>
      </c>
      <c r="D482" s="206">
        <v>3</v>
      </c>
      <c r="E482" s="178">
        <f t="shared" si="28"/>
        <v>0</v>
      </c>
      <c r="F482" s="195">
        <f t="shared" si="29"/>
        <v>0</v>
      </c>
      <c r="G482" s="179"/>
      <c r="H482" s="180"/>
      <c r="I482" s="179"/>
      <c r="J482" s="180"/>
      <c r="K482" s="179"/>
      <c r="L482" s="179"/>
      <c r="M482" s="179"/>
      <c r="N482" s="180"/>
      <c r="O482" s="180"/>
      <c r="P482" s="180"/>
      <c r="Q482" s="179"/>
      <c r="R482" s="180"/>
      <c r="S482" s="178">
        <f t="shared" si="30"/>
        <v>0</v>
      </c>
      <c r="T482" s="195">
        <f t="shared" si="31"/>
        <v>0</v>
      </c>
      <c r="U482" s="179"/>
      <c r="V482" s="180"/>
      <c r="W482" s="179"/>
      <c r="X482" s="180"/>
      <c r="Y482" s="179"/>
      <c r="Z482" s="179"/>
      <c r="AA482" s="179"/>
      <c r="AB482" s="180"/>
      <c r="AC482" s="180"/>
      <c r="AD482" s="180"/>
      <c r="AE482" s="179"/>
      <c r="AF482" s="256"/>
    </row>
    <row r="483" spans="1:32" s="223" customFormat="1" ht="15" customHeight="1">
      <c r="A483" s="160" t="s">
        <v>535</v>
      </c>
      <c r="B483" s="167" t="s">
        <v>740</v>
      </c>
      <c r="C483" s="143">
        <v>219602</v>
      </c>
      <c r="D483" s="206">
        <v>4</v>
      </c>
      <c r="E483" s="178">
        <f t="shared" si="28"/>
        <v>0</v>
      </c>
      <c r="F483" s="195">
        <f t="shared" si="29"/>
        <v>0</v>
      </c>
      <c r="G483" s="179"/>
      <c r="H483" s="180"/>
      <c r="I483" s="179"/>
      <c r="J483" s="180"/>
      <c r="K483" s="179"/>
      <c r="L483" s="179"/>
      <c r="M483" s="179"/>
      <c r="N483" s="180"/>
      <c r="O483" s="180"/>
      <c r="P483" s="180"/>
      <c r="Q483" s="179"/>
      <c r="R483" s="180"/>
      <c r="S483" s="178">
        <f t="shared" si="30"/>
        <v>0</v>
      </c>
      <c r="T483" s="195">
        <f t="shared" si="31"/>
        <v>0</v>
      </c>
      <c r="U483" s="179"/>
      <c r="V483" s="180"/>
      <c r="W483" s="179"/>
      <c r="X483" s="180"/>
      <c r="Y483" s="179"/>
      <c r="Z483" s="179"/>
      <c r="AA483" s="179"/>
      <c r="AB483" s="180"/>
      <c r="AC483" s="180"/>
      <c r="AD483" s="180"/>
      <c r="AE483" s="179"/>
      <c r="AF483" s="256"/>
    </row>
    <row r="484" spans="1:32" s="223" customFormat="1" ht="15" customHeight="1">
      <c r="A484" s="160" t="s">
        <v>535</v>
      </c>
      <c r="B484" s="167" t="s">
        <v>741</v>
      </c>
      <c r="C484" s="143">
        <v>221847</v>
      </c>
      <c r="D484" s="206">
        <v>4</v>
      </c>
      <c r="E484" s="178">
        <f t="shared" si="28"/>
        <v>0</v>
      </c>
      <c r="F484" s="195">
        <f t="shared" si="29"/>
        <v>0</v>
      </c>
      <c r="G484" s="179"/>
      <c r="H484" s="180"/>
      <c r="I484" s="179"/>
      <c r="J484" s="180"/>
      <c r="K484" s="179"/>
      <c r="L484" s="179"/>
      <c r="M484" s="179"/>
      <c r="N484" s="180"/>
      <c r="O484" s="180"/>
      <c r="P484" s="180"/>
      <c r="Q484" s="179"/>
      <c r="R484" s="180"/>
      <c r="S484" s="178">
        <f t="shared" si="30"/>
        <v>0</v>
      </c>
      <c r="T484" s="195">
        <f t="shared" si="31"/>
        <v>0</v>
      </c>
      <c r="U484" s="179"/>
      <c r="V484" s="180"/>
      <c r="W484" s="179"/>
      <c r="X484" s="180"/>
      <c r="Y484" s="179"/>
      <c r="Z484" s="179"/>
      <c r="AA484" s="179"/>
      <c r="AB484" s="180"/>
      <c r="AC484" s="180"/>
      <c r="AD484" s="180"/>
      <c r="AE484" s="179"/>
      <c r="AF484" s="256"/>
    </row>
    <row r="485" spans="1:32" s="223" customFormat="1" ht="15" customHeight="1">
      <c r="A485" s="160" t="s">
        <v>535</v>
      </c>
      <c r="B485" s="167" t="s">
        <v>742</v>
      </c>
      <c r="C485" s="143">
        <v>221768</v>
      </c>
      <c r="D485" s="206">
        <v>5</v>
      </c>
      <c r="E485" s="178">
        <f t="shared" si="28"/>
        <v>0</v>
      </c>
      <c r="F485" s="195">
        <f t="shared" si="29"/>
        <v>0</v>
      </c>
      <c r="G485" s="179"/>
      <c r="H485" s="180"/>
      <c r="I485" s="179"/>
      <c r="J485" s="180"/>
      <c r="K485" s="179"/>
      <c r="L485" s="179"/>
      <c r="M485" s="179"/>
      <c r="N485" s="180"/>
      <c r="O485" s="180"/>
      <c r="P485" s="180"/>
      <c r="Q485" s="179"/>
      <c r="R485" s="180"/>
      <c r="S485" s="178">
        <f t="shared" si="30"/>
        <v>0</v>
      </c>
      <c r="T485" s="195">
        <f t="shared" si="31"/>
        <v>0</v>
      </c>
      <c r="U485" s="179"/>
      <c r="V485" s="180"/>
      <c r="W485" s="179"/>
      <c r="X485" s="180"/>
      <c r="Y485" s="179"/>
      <c r="Z485" s="179"/>
      <c r="AA485" s="179"/>
      <c r="AB485" s="180"/>
      <c r="AC485" s="180"/>
      <c r="AD485" s="180"/>
      <c r="AE485" s="179"/>
      <c r="AF485" s="256"/>
    </row>
    <row r="486" spans="1:32" s="223" customFormat="1" ht="15" customHeight="1">
      <c r="A486" s="160" t="s">
        <v>535</v>
      </c>
      <c r="B486" s="167" t="s">
        <v>743</v>
      </c>
      <c r="C486" s="143" t="s">
        <v>744</v>
      </c>
      <c r="D486" s="206">
        <v>8</v>
      </c>
      <c r="E486" s="178">
        <f t="shared" si="28"/>
        <v>0</v>
      </c>
      <c r="F486" s="195">
        <f t="shared" si="29"/>
        <v>0</v>
      </c>
      <c r="G486" s="179"/>
      <c r="H486" s="180"/>
      <c r="I486" s="179"/>
      <c r="J486" s="180"/>
      <c r="K486" s="179"/>
      <c r="L486" s="179"/>
      <c r="M486" s="179"/>
      <c r="N486" s="180"/>
      <c r="O486" s="180"/>
      <c r="P486" s="180"/>
      <c r="Q486" s="179"/>
      <c r="R486" s="180"/>
      <c r="S486" s="178">
        <f t="shared" si="30"/>
        <v>0</v>
      </c>
      <c r="T486" s="195">
        <f t="shared" si="31"/>
        <v>0</v>
      </c>
      <c r="U486" s="179"/>
      <c r="V486" s="180"/>
      <c r="W486" s="179"/>
      <c r="X486" s="180"/>
      <c r="Y486" s="179"/>
      <c r="Z486" s="179"/>
      <c r="AA486" s="179"/>
      <c r="AB486" s="180"/>
      <c r="AC486" s="180"/>
      <c r="AD486" s="180"/>
      <c r="AE486" s="179"/>
      <c r="AF486" s="256"/>
    </row>
    <row r="487" spans="1:32" s="223" customFormat="1" ht="15" customHeight="1">
      <c r="A487" s="160" t="s">
        <v>535</v>
      </c>
      <c r="B487" s="167" t="s">
        <v>745</v>
      </c>
      <c r="C487" s="143">
        <v>221643</v>
      </c>
      <c r="D487" s="206">
        <v>8</v>
      </c>
      <c r="E487" s="178">
        <f t="shared" si="28"/>
        <v>0</v>
      </c>
      <c r="F487" s="195">
        <f t="shared" si="29"/>
        <v>0</v>
      </c>
      <c r="G487" s="179"/>
      <c r="H487" s="180"/>
      <c r="I487" s="179"/>
      <c r="J487" s="180"/>
      <c r="K487" s="179"/>
      <c r="L487" s="179"/>
      <c r="M487" s="179"/>
      <c r="N487" s="180"/>
      <c r="O487" s="180"/>
      <c r="P487" s="180"/>
      <c r="Q487" s="179"/>
      <c r="R487" s="180"/>
      <c r="S487" s="178">
        <f t="shared" si="30"/>
        <v>0</v>
      </c>
      <c r="T487" s="195">
        <f t="shared" si="31"/>
        <v>0</v>
      </c>
      <c r="U487" s="179"/>
      <c r="V487" s="180"/>
      <c r="W487" s="179"/>
      <c r="X487" s="180"/>
      <c r="Y487" s="179"/>
      <c r="Z487" s="179"/>
      <c r="AA487" s="179"/>
      <c r="AB487" s="180"/>
      <c r="AC487" s="180"/>
      <c r="AD487" s="180"/>
      <c r="AE487" s="179"/>
      <c r="AF487" s="256"/>
    </row>
    <row r="488" spans="1:32" s="223" customFormat="1" ht="15" customHeight="1">
      <c r="A488" s="160" t="s">
        <v>535</v>
      </c>
      <c r="B488" s="167" t="s">
        <v>746</v>
      </c>
      <c r="C488" s="143">
        <v>221652</v>
      </c>
      <c r="D488" s="206">
        <v>8</v>
      </c>
      <c r="E488" s="178">
        <f t="shared" si="28"/>
        <v>0</v>
      </c>
      <c r="F488" s="195">
        <f t="shared" si="29"/>
        <v>0</v>
      </c>
      <c r="G488" s="179"/>
      <c r="H488" s="180"/>
      <c r="I488" s="179"/>
      <c r="J488" s="180"/>
      <c r="K488" s="179"/>
      <c r="L488" s="179"/>
      <c r="M488" s="179"/>
      <c r="N488" s="180"/>
      <c r="O488" s="180"/>
      <c r="P488" s="180"/>
      <c r="Q488" s="179"/>
      <c r="R488" s="180"/>
      <c r="S488" s="178">
        <f t="shared" si="30"/>
        <v>0</v>
      </c>
      <c r="T488" s="195">
        <f t="shared" si="31"/>
        <v>0</v>
      </c>
      <c r="U488" s="179"/>
      <c r="V488" s="180"/>
      <c r="W488" s="179"/>
      <c r="X488" s="180"/>
      <c r="Y488" s="179"/>
      <c r="Z488" s="179"/>
      <c r="AA488" s="179"/>
      <c r="AB488" s="180"/>
      <c r="AC488" s="180"/>
      <c r="AD488" s="180"/>
      <c r="AE488" s="179"/>
      <c r="AF488" s="256"/>
    </row>
    <row r="489" spans="1:32" s="223" customFormat="1" ht="15" customHeight="1">
      <c r="A489" s="160" t="s">
        <v>535</v>
      </c>
      <c r="B489" s="167" t="s">
        <v>747</v>
      </c>
      <c r="C489" s="143">
        <v>219879</v>
      </c>
      <c r="D489" s="206">
        <v>9</v>
      </c>
      <c r="E489" s="178">
        <f t="shared" si="28"/>
        <v>0</v>
      </c>
      <c r="F489" s="195">
        <f t="shared" si="29"/>
        <v>0</v>
      </c>
      <c r="G489" s="179"/>
      <c r="H489" s="180"/>
      <c r="I489" s="179"/>
      <c r="J489" s="180"/>
      <c r="K489" s="179"/>
      <c r="L489" s="179"/>
      <c r="M489" s="179"/>
      <c r="N489" s="180"/>
      <c r="O489" s="180"/>
      <c r="P489" s="180"/>
      <c r="Q489" s="179"/>
      <c r="R489" s="180"/>
      <c r="S489" s="178">
        <f t="shared" si="30"/>
        <v>0</v>
      </c>
      <c r="T489" s="195">
        <f t="shared" si="31"/>
        <v>0</v>
      </c>
      <c r="U489" s="179"/>
      <c r="V489" s="180"/>
      <c r="W489" s="179"/>
      <c r="X489" s="180"/>
      <c r="Y489" s="179"/>
      <c r="Z489" s="179"/>
      <c r="AA489" s="179"/>
      <c r="AB489" s="180"/>
      <c r="AC489" s="180"/>
      <c r="AD489" s="180"/>
      <c r="AE489" s="179"/>
      <c r="AF489" s="256"/>
    </row>
    <row r="490" spans="1:32" s="223" customFormat="1" ht="15" customHeight="1">
      <c r="A490" s="160" t="s">
        <v>535</v>
      </c>
      <c r="B490" s="167" t="s">
        <v>748</v>
      </c>
      <c r="C490" s="143">
        <v>219888</v>
      </c>
      <c r="D490" s="206">
        <v>9</v>
      </c>
      <c r="E490" s="178">
        <f t="shared" si="28"/>
        <v>0</v>
      </c>
      <c r="F490" s="195">
        <f t="shared" si="29"/>
        <v>0</v>
      </c>
      <c r="G490" s="179"/>
      <c r="H490" s="180"/>
      <c r="I490" s="179"/>
      <c r="J490" s="180"/>
      <c r="K490" s="179"/>
      <c r="L490" s="179"/>
      <c r="M490" s="179"/>
      <c r="N490" s="180"/>
      <c r="O490" s="180"/>
      <c r="P490" s="180"/>
      <c r="Q490" s="179"/>
      <c r="R490" s="180"/>
      <c r="S490" s="178">
        <f t="shared" si="30"/>
        <v>0</v>
      </c>
      <c r="T490" s="195">
        <f t="shared" si="31"/>
        <v>0</v>
      </c>
      <c r="U490" s="179"/>
      <c r="V490" s="180"/>
      <c r="W490" s="179"/>
      <c r="X490" s="180"/>
      <c r="Y490" s="179"/>
      <c r="Z490" s="179"/>
      <c r="AA490" s="179"/>
      <c r="AB490" s="180"/>
      <c r="AC490" s="180"/>
      <c r="AD490" s="180"/>
      <c r="AE490" s="179"/>
      <c r="AF490" s="256"/>
    </row>
    <row r="491" spans="1:32" s="223" customFormat="1" ht="15" customHeight="1">
      <c r="A491" s="160" t="s">
        <v>535</v>
      </c>
      <c r="B491" s="167" t="s">
        <v>749</v>
      </c>
      <c r="C491" s="143">
        <v>220400</v>
      </c>
      <c r="D491" s="206">
        <v>9</v>
      </c>
      <c r="E491" s="178">
        <f t="shared" si="28"/>
        <v>0</v>
      </c>
      <c r="F491" s="195">
        <f t="shared" si="29"/>
        <v>0</v>
      </c>
      <c r="G491" s="179"/>
      <c r="H491" s="180"/>
      <c r="I491" s="179"/>
      <c r="J491" s="180"/>
      <c r="K491" s="179"/>
      <c r="L491" s="179"/>
      <c r="M491" s="179"/>
      <c r="N491" s="180"/>
      <c r="O491" s="180"/>
      <c r="P491" s="180"/>
      <c r="Q491" s="179"/>
      <c r="R491" s="180"/>
      <c r="S491" s="178">
        <f t="shared" si="30"/>
        <v>0</v>
      </c>
      <c r="T491" s="195">
        <f t="shared" si="31"/>
        <v>0</v>
      </c>
      <c r="U491" s="179"/>
      <c r="V491" s="180"/>
      <c r="W491" s="179"/>
      <c r="X491" s="180"/>
      <c r="Y491" s="179"/>
      <c r="Z491" s="179"/>
      <c r="AA491" s="179"/>
      <c r="AB491" s="180"/>
      <c r="AC491" s="180"/>
      <c r="AD491" s="180"/>
      <c r="AE491" s="179"/>
      <c r="AF491" s="256"/>
    </row>
    <row r="492" spans="1:32" s="223" customFormat="1" ht="15" customHeight="1">
      <c r="A492" s="160" t="s">
        <v>535</v>
      </c>
      <c r="B492" s="167" t="s">
        <v>750</v>
      </c>
      <c r="C492" s="143">
        <v>221096</v>
      </c>
      <c r="D492" s="206">
        <v>9</v>
      </c>
      <c r="E492" s="178">
        <f t="shared" si="28"/>
        <v>0</v>
      </c>
      <c r="F492" s="195">
        <f t="shared" si="29"/>
        <v>0</v>
      </c>
      <c r="G492" s="179"/>
      <c r="H492" s="180"/>
      <c r="I492" s="179"/>
      <c r="J492" s="180"/>
      <c r="K492" s="179"/>
      <c r="L492" s="179"/>
      <c r="M492" s="179"/>
      <c r="N492" s="180"/>
      <c r="O492" s="180"/>
      <c r="P492" s="180"/>
      <c r="Q492" s="179"/>
      <c r="R492" s="180"/>
      <c r="S492" s="178">
        <f t="shared" si="30"/>
        <v>0</v>
      </c>
      <c r="T492" s="195">
        <f t="shared" si="31"/>
        <v>0</v>
      </c>
      <c r="U492" s="179"/>
      <c r="V492" s="180"/>
      <c r="W492" s="179"/>
      <c r="X492" s="180"/>
      <c r="Y492" s="179"/>
      <c r="Z492" s="179"/>
      <c r="AA492" s="179"/>
      <c r="AB492" s="180"/>
      <c r="AC492" s="180"/>
      <c r="AD492" s="180"/>
      <c r="AE492" s="179"/>
      <c r="AF492" s="256"/>
    </row>
    <row r="493" spans="1:32" s="223" customFormat="1" ht="15" customHeight="1">
      <c r="A493" s="160" t="s">
        <v>535</v>
      </c>
      <c r="B493" s="167" t="s">
        <v>751</v>
      </c>
      <c r="C493" s="143">
        <v>221184</v>
      </c>
      <c r="D493" s="206">
        <v>9</v>
      </c>
      <c r="E493" s="178">
        <f t="shared" si="28"/>
        <v>0</v>
      </c>
      <c r="F493" s="195">
        <f t="shared" si="29"/>
        <v>0</v>
      </c>
      <c r="G493" s="179"/>
      <c r="H493" s="180"/>
      <c r="I493" s="179"/>
      <c r="J493" s="180"/>
      <c r="K493" s="179"/>
      <c r="L493" s="179"/>
      <c r="M493" s="179"/>
      <c r="N493" s="180"/>
      <c r="O493" s="180"/>
      <c r="P493" s="180"/>
      <c r="Q493" s="179"/>
      <c r="R493" s="180"/>
      <c r="S493" s="178">
        <f t="shared" si="30"/>
        <v>0</v>
      </c>
      <c r="T493" s="195">
        <f t="shared" si="31"/>
        <v>0</v>
      </c>
      <c r="U493" s="179"/>
      <c r="V493" s="180"/>
      <c r="W493" s="179"/>
      <c r="X493" s="180"/>
      <c r="Y493" s="179"/>
      <c r="Z493" s="179"/>
      <c r="AA493" s="179"/>
      <c r="AB493" s="180"/>
      <c r="AC493" s="180"/>
      <c r="AD493" s="180"/>
      <c r="AE493" s="179"/>
      <c r="AF493" s="256"/>
    </row>
    <row r="494" spans="1:32" s="223" customFormat="1" ht="15" customHeight="1">
      <c r="A494" s="160" t="s">
        <v>535</v>
      </c>
      <c r="B494" s="167" t="s">
        <v>752</v>
      </c>
      <c r="C494" s="143">
        <v>221908</v>
      </c>
      <c r="D494" s="206">
        <v>9</v>
      </c>
      <c r="E494" s="178">
        <f t="shared" si="28"/>
        <v>0</v>
      </c>
      <c r="F494" s="195">
        <f t="shared" si="29"/>
        <v>0</v>
      </c>
      <c r="G494" s="179"/>
      <c r="H494" s="180"/>
      <c r="I494" s="179"/>
      <c r="J494" s="180"/>
      <c r="K494" s="179"/>
      <c r="L494" s="179"/>
      <c r="M494" s="179"/>
      <c r="N494" s="180"/>
      <c r="O494" s="180"/>
      <c r="P494" s="180"/>
      <c r="Q494" s="179"/>
      <c r="R494" s="180"/>
      <c r="S494" s="178">
        <f t="shared" si="30"/>
        <v>0</v>
      </c>
      <c r="T494" s="195">
        <f t="shared" si="31"/>
        <v>0</v>
      </c>
      <c r="U494" s="179"/>
      <c r="V494" s="180"/>
      <c r="W494" s="179"/>
      <c r="X494" s="180"/>
      <c r="Y494" s="179"/>
      <c r="Z494" s="179"/>
      <c r="AA494" s="179"/>
      <c r="AB494" s="180"/>
      <c r="AC494" s="180"/>
      <c r="AD494" s="180"/>
      <c r="AE494" s="179"/>
      <c r="AF494" s="256"/>
    </row>
    <row r="495" spans="1:32" s="223" customFormat="1" ht="15" customHeight="1">
      <c r="A495" s="160" t="s">
        <v>535</v>
      </c>
      <c r="B495" s="167" t="s">
        <v>753</v>
      </c>
      <c r="C495" s="143">
        <v>221397</v>
      </c>
      <c r="D495" s="206">
        <v>9</v>
      </c>
      <c r="E495" s="178">
        <f t="shared" si="28"/>
        <v>0</v>
      </c>
      <c r="F495" s="195">
        <f t="shared" si="29"/>
        <v>0</v>
      </c>
      <c r="G495" s="179"/>
      <c r="H495" s="180"/>
      <c r="I495" s="179"/>
      <c r="J495" s="180"/>
      <c r="K495" s="179"/>
      <c r="L495" s="179"/>
      <c r="M495" s="179"/>
      <c r="N495" s="180"/>
      <c r="O495" s="180"/>
      <c r="P495" s="180"/>
      <c r="Q495" s="179"/>
      <c r="R495" s="180"/>
      <c r="S495" s="178">
        <f t="shared" si="30"/>
        <v>0</v>
      </c>
      <c r="T495" s="195">
        <f t="shared" si="31"/>
        <v>0</v>
      </c>
      <c r="U495" s="179"/>
      <c r="V495" s="180"/>
      <c r="W495" s="179"/>
      <c r="X495" s="180"/>
      <c r="Y495" s="179"/>
      <c r="Z495" s="179"/>
      <c r="AA495" s="179"/>
      <c r="AB495" s="180"/>
      <c r="AC495" s="180"/>
      <c r="AD495" s="180"/>
      <c r="AE495" s="179"/>
      <c r="AF495" s="256"/>
    </row>
    <row r="496" spans="1:32" s="223" customFormat="1" ht="15" customHeight="1">
      <c r="A496" s="160" t="s">
        <v>535</v>
      </c>
      <c r="B496" s="167" t="s">
        <v>754</v>
      </c>
      <c r="C496" s="143">
        <v>222053</v>
      </c>
      <c r="D496" s="206">
        <v>9</v>
      </c>
      <c r="E496" s="178">
        <f t="shared" si="28"/>
        <v>0</v>
      </c>
      <c r="F496" s="195">
        <f t="shared" si="29"/>
        <v>0</v>
      </c>
      <c r="G496" s="179"/>
      <c r="H496" s="180"/>
      <c r="I496" s="179"/>
      <c r="J496" s="180"/>
      <c r="K496" s="179"/>
      <c r="L496" s="179"/>
      <c r="M496" s="179"/>
      <c r="N496" s="180"/>
      <c r="O496" s="180"/>
      <c r="P496" s="180"/>
      <c r="Q496" s="179"/>
      <c r="R496" s="180"/>
      <c r="S496" s="178">
        <f t="shared" si="30"/>
        <v>0</v>
      </c>
      <c r="T496" s="195">
        <f t="shared" si="31"/>
        <v>0</v>
      </c>
      <c r="U496" s="179"/>
      <c r="V496" s="180"/>
      <c r="W496" s="179"/>
      <c r="X496" s="180"/>
      <c r="Y496" s="179"/>
      <c r="Z496" s="179"/>
      <c r="AA496" s="179"/>
      <c r="AB496" s="180"/>
      <c r="AC496" s="180"/>
      <c r="AD496" s="180"/>
      <c r="AE496" s="179"/>
      <c r="AF496" s="256"/>
    </row>
    <row r="497" spans="1:32" s="223" customFormat="1" ht="15" customHeight="1">
      <c r="A497" s="160" t="s">
        <v>535</v>
      </c>
      <c r="B497" s="167" t="s">
        <v>755</v>
      </c>
      <c r="C497" s="143">
        <v>222062</v>
      </c>
      <c r="D497" s="206">
        <v>9</v>
      </c>
      <c r="E497" s="178">
        <f t="shared" si="28"/>
        <v>0</v>
      </c>
      <c r="F497" s="195">
        <f t="shared" si="29"/>
        <v>0</v>
      </c>
      <c r="G497" s="179"/>
      <c r="H497" s="180"/>
      <c r="I497" s="179"/>
      <c r="J497" s="180"/>
      <c r="K497" s="179"/>
      <c r="L497" s="179"/>
      <c r="M497" s="179"/>
      <c r="N497" s="180"/>
      <c r="O497" s="180"/>
      <c r="P497" s="180"/>
      <c r="Q497" s="179"/>
      <c r="R497" s="180"/>
      <c r="S497" s="178">
        <f t="shared" si="30"/>
        <v>0</v>
      </c>
      <c r="T497" s="195">
        <f t="shared" si="31"/>
        <v>0</v>
      </c>
      <c r="U497" s="179"/>
      <c r="V497" s="180"/>
      <c r="W497" s="179"/>
      <c r="X497" s="180"/>
      <c r="Y497" s="179"/>
      <c r="Z497" s="179"/>
      <c r="AA497" s="179"/>
      <c r="AB497" s="180"/>
      <c r="AC497" s="180"/>
      <c r="AD497" s="180"/>
      <c r="AE497" s="179"/>
      <c r="AF497" s="256"/>
    </row>
    <row r="498" spans="1:32" s="223" customFormat="1" ht="15" customHeight="1">
      <c r="A498" s="160" t="s">
        <v>535</v>
      </c>
      <c r="B498" s="167" t="s">
        <v>756</v>
      </c>
      <c r="C498" s="143">
        <v>220057</v>
      </c>
      <c r="D498" s="206">
        <v>10</v>
      </c>
      <c r="E498" s="178">
        <f t="shared" si="28"/>
        <v>0</v>
      </c>
      <c r="F498" s="195">
        <f t="shared" si="29"/>
        <v>0</v>
      </c>
      <c r="G498" s="179"/>
      <c r="H498" s="180"/>
      <c r="I498" s="179"/>
      <c r="J498" s="180"/>
      <c r="K498" s="179"/>
      <c r="L498" s="179"/>
      <c r="M498" s="179"/>
      <c r="N498" s="180"/>
      <c r="O498" s="180"/>
      <c r="P498" s="180"/>
      <c r="Q498" s="179"/>
      <c r="R498" s="180"/>
      <c r="S498" s="178">
        <f t="shared" si="30"/>
        <v>0</v>
      </c>
      <c r="T498" s="195">
        <f t="shared" si="31"/>
        <v>0</v>
      </c>
      <c r="U498" s="179"/>
      <c r="V498" s="180"/>
      <c r="W498" s="179"/>
      <c r="X498" s="180"/>
      <c r="Y498" s="179"/>
      <c r="Z498" s="179"/>
      <c r="AA498" s="179"/>
      <c r="AB498" s="180"/>
      <c r="AC498" s="180"/>
      <c r="AD498" s="180"/>
      <c r="AE498" s="179"/>
      <c r="AF498" s="256"/>
    </row>
    <row r="499" spans="1:32" s="223" customFormat="1" ht="15" customHeight="1">
      <c r="A499" s="160" t="s">
        <v>535</v>
      </c>
      <c r="B499" s="167" t="s">
        <v>759</v>
      </c>
      <c r="C499" s="143">
        <v>220853</v>
      </c>
      <c r="D499" s="206">
        <v>12</v>
      </c>
      <c r="E499" s="178">
        <f t="shared" si="28"/>
        <v>0</v>
      </c>
      <c r="F499" s="195">
        <f t="shared" si="29"/>
        <v>0</v>
      </c>
      <c r="G499" s="179"/>
      <c r="H499" s="180"/>
      <c r="I499" s="179"/>
      <c r="J499" s="180"/>
      <c r="K499" s="179"/>
      <c r="L499" s="179"/>
      <c r="M499" s="179"/>
      <c r="N499" s="180"/>
      <c r="O499" s="180"/>
      <c r="P499" s="180"/>
      <c r="Q499" s="179"/>
      <c r="R499" s="180"/>
      <c r="S499" s="178">
        <f t="shared" si="30"/>
        <v>0</v>
      </c>
      <c r="T499" s="195">
        <f t="shared" si="31"/>
        <v>0</v>
      </c>
      <c r="U499" s="179"/>
      <c r="V499" s="180"/>
      <c r="W499" s="179"/>
      <c r="X499" s="180"/>
      <c r="Y499" s="179"/>
      <c r="Z499" s="179"/>
      <c r="AA499" s="179"/>
      <c r="AB499" s="180"/>
      <c r="AC499" s="180"/>
      <c r="AD499" s="180"/>
      <c r="AE499" s="179"/>
      <c r="AF499" s="256"/>
    </row>
    <row r="500" spans="1:32" s="223" customFormat="1" ht="15" customHeight="1">
      <c r="A500" s="160" t="s">
        <v>535</v>
      </c>
      <c r="B500" s="167" t="s">
        <v>760</v>
      </c>
      <c r="C500" s="143">
        <v>219596</v>
      </c>
      <c r="D500" s="206">
        <v>13</v>
      </c>
      <c r="E500" s="178">
        <f t="shared" si="28"/>
        <v>0</v>
      </c>
      <c r="F500" s="195">
        <f t="shared" si="29"/>
        <v>0</v>
      </c>
      <c r="G500" s="179"/>
      <c r="H500" s="180"/>
      <c r="I500" s="179"/>
      <c r="J500" s="180"/>
      <c r="K500" s="179"/>
      <c r="L500" s="179"/>
      <c r="M500" s="179"/>
      <c r="N500" s="180"/>
      <c r="O500" s="180"/>
      <c r="P500" s="180"/>
      <c r="Q500" s="179"/>
      <c r="R500" s="180"/>
      <c r="S500" s="178">
        <f t="shared" si="30"/>
        <v>0</v>
      </c>
      <c r="T500" s="195">
        <f t="shared" si="31"/>
        <v>0</v>
      </c>
      <c r="U500" s="179"/>
      <c r="V500" s="180"/>
      <c r="W500" s="179"/>
      <c r="X500" s="180"/>
      <c r="Y500" s="179"/>
      <c r="Z500" s="179"/>
      <c r="AA500" s="179"/>
      <c r="AB500" s="180"/>
      <c r="AC500" s="180"/>
      <c r="AD500" s="180"/>
      <c r="AE500" s="179"/>
      <c r="AF500" s="256"/>
    </row>
    <row r="501" spans="1:32" s="223" customFormat="1" ht="15" customHeight="1">
      <c r="A501" s="160" t="s">
        <v>535</v>
      </c>
      <c r="B501" s="167" t="s">
        <v>761</v>
      </c>
      <c r="C501" s="143" t="s">
        <v>762</v>
      </c>
      <c r="D501" s="206">
        <v>13</v>
      </c>
      <c r="E501" s="178">
        <f t="shared" si="28"/>
        <v>0</v>
      </c>
      <c r="F501" s="195">
        <f t="shared" si="29"/>
        <v>0</v>
      </c>
      <c r="G501" s="179"/>
      <c r="H501" s="180"/>
      <c r="I501" s="179"/>
      <c r="J501" s="180"/>
      <c r="K501" s="179"/>
      <c r="L501" s="179"/>
      <c r="M501" s="179"/>
      <c r="N501" s="180"/>
      <c r="O501" s="180"/>
      <c r="P501" s="180"/>
      <c r="Q501" s="179"/>
      <c r="R501" s="180"/>
      <c r="S501" s="178">
        <f t="shared" si="30"/>
        <v>0</v>
      </c>
      <c r="T501" s="195">
        <f t="shared" si="31"/>
        <v>0</v>
      </c>
      <c r="U501" s="179"/>
      <c r="V501" s="180"/>
      <c r="W501" s="179"/>
      <c r="X501" s="180"/>
      <c r="Y501" s="179"/>
      <c r="Z501" s="179"/>
      <c r="AA501" s="179"/>
      <c r="AB501" s="180"/>
      <c r="AC501" s="180"/>
      <c r="AD501" s="180"/>
      <c r="AE501" s="179"/>
      <c r="AF501" s="256"/>
    </row>
    <row r="502" spans="1:32" s="223" customFormat="1" ht="15" customHeight="1">
      <c r="A502" s="160" t="s">
        <v>535</v>
      </c>
      <c r="B502" s="167" t="s">
        <v>763</v>
      </c>
      <c r="C502" s="143">
        <v>219921</v>
      </c>
      <c r="D502" s="206">
        <v>13</v>
      </c>
      <c r="E502" s="178">
        <f t="shared" si="28"/>
        <v>0</v>
      </c>
      <c r="F502" s="195">
        <f t="shared" si="29"/>
        <v>0</v>
      </c>
      <c r="G502" s="179"/>
      <c r="H502" s="180"/>
      <c r="I502" s="179"/>
      <c r="J502" s="180"/>
      <c r="K502" s="179"/>
      <c r="L502" s="179"/>
      <c r="M502" s="179"/>
      <c r="N502" s="180"/>
      <c r="O502" s="180"/>
      <c r="P502" s="180"/>
      <c r="Q502" s="179"/>
      <c r="R502" s="180"/>
      <c r="S502" s="178">
        <f t="shared" si="30"/>
        <v>0</v>
      </c>
      <c r="T502" s="195">
        <f t="shared" si="31"/>
        <v>0</v>
      </c>
      <c r="U502" s="179"/>
      <c r="V502" s="180"/>
      <c r="W502" s="179"/>
      <c r="X502" s="180"/>
      <c r="Y502" s="179"/>
      <c r="Z502" s="179"/>
      <c r="AA502" s="179"/>
      <c r="AB502" s="180"/>
      <c r="AC502" s="180"/>
      <c r="AD502" s="180"/>
      <c r="AE502" s="179"/>
      <c r="AF502" s="256"/>
    </row>
    <row r="503" spans="1:32" s="223" customFormat="1" ht="15" customHeight="1">
      <c r="A503" s="160" t="s">
        <v>535</v>
      </c>
      <c r="B503" s="167" t="s">
        <v>764</v>
      </c>
      <c r="C503" s="143">
        <v>221591</v>
      </c>
      <c r="D503" s="206">
        <v>13</v>
      </c>
      <c r="E503" s="178">
        <f t="shared" si="28"/>
        <v>0</v>
      </c>
      <c r="F503" s="195">
        <f t="shared" si="29"/>
        <v>0</v>
      </c>
      <c r="G503" s="179"/>
      <c r="H503" s="180"/>
      <c r="I503" s="179"/>
      <c r="J503" s="180"/>
      <c r="K503" s="179"/>
      <c r="L503" s="179"/>
      <c r="M503" s="179"/>
      <c r="N503" s="180"/>
      <c r="O503" s="180"/>
      <c r="P503" s="180"/>
      <c r="Q503" s="179"/>
      <c r="R503" s="180"/>
      <c r="S503" s="178">
        <f t="shared" si="30"/>
        <v>0</v>
      </c>
      <c r="T503" s="195">
        <f t="shared" si="31"/>
        <v>0</v>
      </c>
      <c r="U503" s="179"/>
      <c r="V503" s="180"/>
      <c r="W503" s="179"/>
      <c r="X503" s="180"/>
      <c r="Y503" s="179"/>
      <c r="Z503" s="179"/>
      <c r="AA503" s="179"/>
      <c r="AB503" s="180"/>
      <c r="AC503" s="180"/>
      <c r="AD503" s="180"/>
      <c r="AE503" s="179"/>
      <c r="AF503" s="256"/>
    </row>
    <row r="504" spans="1:32" s="223" customFormat="1" ht="15" customHeight="1">
      <c r="A504" s="160" t="s">
        <v>535</v>
      </c>
      <c r="B504" s="167" t="s">
        <v>765</v>
      </c>
      <c r="C504" s="143">
        <v>221430</v>
      </c>
      <c r="D504" s="206">
        <v>13</v>
      </c>
      <c r="E504" s="178">
        <f t="shared" si="28"/>
        <v>0</v>
      </c>
      <c r="F504" s="195">
        <f t="shared" si="29"/>
        <v>0</v>
      </c>
      <c r="G504" s="179"/>
      <c r="H504" s="180"/>
      <c r="I504" s="179"/>
      <c r="J504" s="180"/>
      <c r="K504" s="179"/>
      <c r="L504" s="179"/>
      <c r="M504" s="179"/>
      <c r="N504" s="180"/>
      <c r="O504" s="180"/>
      <c r="P504" s="180"/>
      <c r="Q504" s="179"/>
      <c r="R504" s="180"/>
      <c r="S504" s="178">
        <f t="shared" si="30"/>
        <v>0</v>
      </c>
      <c r="T504" s="195">
        <f t="shared" si="31"/>
        <v>0</v>
      </c>
      <c r="U504" s="179"/>
      <c r="V504" s="180"/>
      <c r="W504" s="179"/>
      <c r="X504" s="180"/>
      <c r="Y504" s="179"/>
      <c r="Z504" s="179"/>
      <c r="AA504" s="179"/>
      <c r="AB504" s="180"/>
      <c r="AC504" s="180"/>
      <c r="AD504" s="180"/>
      <c r="AE504" s="179"/>
      <c r="AF504" s="256"/>
    </row>
    <row r="505" spans="1:32" s="223" customFormat="1" ht="15" customHeight="1">
      <c r="A505" s="160" t="s">
        <v>535</v>
      </c>
      <c r="B505" s="167" t="s">
        <v>766</v>
      </c>
      <c r="C505" s="143">
        <v>219994</v>
      </c>
      <c r="D505" s="206">
        <v>13</v>
      </c>
      <c r="E505" s="178">
        <f t="shared" si="28"/>
        <v>0</v>
      </c>
      <c r="F505" s="195">
        <f t="shared" si="29"/>
        <v>0</v>
      </c>
      <c r="G505" s="179"/>
      <c r="H505" s="180"/>
      <c r="I505" s="179"/>
      <c r="J505" s="180"/>
      <c r="K505" s="179"/>
      <c r="L505" s="179"/>
      <c r="M505" s="179"/>
      <c r="N505" s="180"/>
      <c r="O505" s="180"/>
      <c r="P505" s="180"/>
      <c r="Q505" s="179"/>
      <c r="R505" s="180"/>
      <c r="S505" s="178">
        <f t="shared" si="30"/>
        <v>0</v>
      </c>
      <c r="T505" s="195">
        <f t="shared" si="31"/>
        <v>0</v>
      </c>
      <c r="U505" s="179"/>
      <c r="V505" s="180"/>
      <c r="W505" s="179"/>
      <c r="X505" s="180"/>
      <c r="Y505" s="179"/>
      <c r="Z505" s="179"/>
      <c r="AA505" s="179"/>
      <c r="AB505" s="180"/>
      <c r="AC505" s="180"/>
      <c r="AD505" s="180"/>
      <c r="AE505" s="179"/>
      <c r="AF505" s="256"/>
    </row>
    <row r="506" spans="1:32" s="223" customFormat="1" ht="15" customHeight="1">
      <c r="A506" s="160" t="s">
        <v>535</v>
      </c>
      <c r="B506" s="167" t="s">
        <v>767</v>
      </c>
      <c r="C506" s="143">
        <v>220127</v>
      </c>
      <c r="D506" s="206">
        <v>13</v>
      </c>
      <c r="E506" s="178">
        <f t="shared" si="28"/>
        <v>0</v>
      </c>
      <c r="F506" s="195">
        <f t="shared" si="29"/>
        <v>0</v>
      </c>
      <c r="G506" s="179"/>
      <c r="H506" s="180"/>
      <c r="I506" s="179"/>
      <c r="J506" s="180"/>
      <c r="K506" s="179"/>
      <c r="L506" s="179"/>
      <c r="M506" s="179"/>
      <c r="N506" s="180"/>
      <c r="O506" s="180"/>
      <c r="P506" s="180"/>
      <c r="Q506" s="179"/>
      <c r="R506" s="180"/>
      <c r="S506" s="178">
        <f t="shared" si="30"/>
        <v>0</v>
      </c>
      <c r="T506" s="195">
        <f t="shared" si="31"/>
        <v>0</v>
      </c>
      <c r="U506" s="179"/>
      <c r="V506" s="180"/>
      <c r="W506" s="179"/>
      <c r="X506" s="180"/>
      <c r="Y506" s="179"/>
      <c r="Z506" s="179"/>
      <c r="AA506" s="179"/>
      <c r="AB506" s="180"/>
      <c r="AC506" s="180"/>
      <c r="AD506" s="180"/>
      <c r="AE506" s="179"/>
      <c r="AF506" s="256"/>
    </row>
    <row r="507" spans="1:32" s="223" customFormat="1" ht="15" customHeight="1">
      <c r="A507" s="160" t="s">
        <v>535</v>
      </c>
      <c r="B507" s="167" t="s">
        <v>768</v>
      </c>
      <c r="C507" s="143">
        <v>220251</v>
      </c>
      <c r="D507" s="206">
        <v>13</v>
      </c>
      <c r="E507" s="178">
        <f t="shared" si="28"/>
        <v>0</v>
      </c>
      <c r="F507" s="195">
        <f t="shared" si="29"/>
        <v>0</v>
      </c>
      <c r="G507" s="179"/>
      <c r="H507" s="180"/>
      <c r="I507" s="179"/>
      <c r="J507" s="180"/>
      <c r="K507" s="179"/>
      <c r="L507" s="179"/>
      <c r="M507" s="179"/>
      <c r="N507" s="180"/>
      <c r="O507" s="180"/>
      <c r="P507" s="180"/>
      <c r="Q507" s="179"/>
      <c r="R507" s="180"/>
      <c r="S507" s="178">
        <f t="shared" si="30"/>
        <v>0</v>
      </c>
      <c r="T507" s="195">
        <f t="shared" si="31"/>
        <v>0</v>
      </c>
      <c r="U507" s="179"/>
      <c r="V507" s="180"/>
      <c r="W507" s="179"/>
      <c r="X507" s="180"/>
      <c r="Y507" s="179"/>
      <c r="Z507" s="179"/>
      <c r="AA507" s="179"/>
      <c r="AB507" s="180"/>
      <c r="AC507" s="180"/>
      <c r="AD507" s="180"/>
      <c r="AE507" s="179"/>
      <c r="AF507" s="256"/>
    </row>
    <row r="508" spans="1:32" s="223" customFormat="1" ht="15" customHeight="1">
      <c r="A508" s="160" t="s">
        <v>535</v>
      </c>
      <c r="B508" s="167" t="s">
        <v>769</v>
      </c>
      <c r="C508" s="143">
        <v>220279</v>
      </c>
      <c r="D508" s="206">
        <v>13</v>
      </c>
      <c r="E508" s="178">
        <f t="shared" si="28"/>
        <v>0</v>
      </c>
      <c r="F508" s="195">
        <f t="shared" si="29"/>
        <v>0</v>
      </c>
      <c r="G508" s="179"/>
      <c r="H508" s="180"/>
      <c r="I508" s="179"/>
      <c r="J508" s="180"/>
      <c r="K508" s="179"/>
      <c r="L508" s="179"/>
      <c r="M508" s="179"/>
      <c r="N508" s="180"/>
      <c r="O508" s="180"/>
      <c r="P508" s="180"/>
      <c r="Q508" s="179"/>
      <c r="R508" s="180"/>
      <c r="S508" s="178">
        <f t="shared" si="30"/>
        <v>0</v>
      </c>
      <c r="T508" s="195">
        <f t="shared" si="31"/>
        <v>0</v>
      </c>
      <c r="U508" s="179"/>
      <c r="V508" s="180"/>
      <c r="W508" s="179"/>
      <c r="X508" s="180"/>
      <c r="Y508" s="179"/>
      <c r="Z508" s="179"/>
      <c r="AA508" s="179"/>
      <c r="AB508" s="180"/>
      <c r="AC508" s="180"/>
      <c r="AD508" s="180"/>
      <c r="AE508" s="179"/>
      <c r="AF508" s="256"/>
    </row>
    <row r="509" spans="1:32" s="223" customFormat="1" ht="15" customHeight="1">
      <c r="A509" s="160" t="s">
        <v>535</v>
      </c>
      <c r="B509" s="167" t="s">
        <v>770</v>
      </c>
      <c r="C509" s="143">
        <v>220321</v>
      </c>
      <c r="D509" s="206">
        <v>13</v>
      </c>
      <c r="E509" s="178">
        <f t="shared" si="28"/>
        <v>0</v>
      </c>
      <c r="F509" s="195">
        <f t="shared" si="29"/>
        <v>0</v>
      </c>
      <c r="G509" s="179"/>
      <c r="H509" s="180"/>
      <c r="I509" s="179"/>
      <c r="J509" s="180"/>
      <c r="K509" s="179"/>
      <c r="L509" s="179"/>
      <c r="M509" s="179"/>
      <c r="N509" s="180"/>
      <c r="O509" s="180"/>
      <c r="P509" s="180"/>
      <c r="Q509" s="179"/>
      <c r="R509" s="180"/>
      <c r="S509" s="178">
        <f t="shared" si="30"/>
        <v>0</v>
      </c>
      <c r="T509" s="195">
        <f t="shared" si="31"/>
        <v>0</v>
      </c>
      <c r="U509" s="179"/>
      <c r="V509" s="180"/>
      <c r="W509" s="179"/>
      <c r="X509" s="180"/>
      <c r="Y509" s="179"/>
      <c r="Z509" s="179"/>
      <c r="AA509" s="179"/>
      <c r="AB509" s="180"/>
      <c r="AC509" s="180"/>
      <c r="AD509" s="180"/>
      <c r="AE509" s="179"/>
      <c r="AF509" s="256"/>
    </row>
    <row r="510" spans="1:32" s="223" customFormat="1" ht="15" customHeight="1">
      <c r="A510" s="160" t="s">
        <v>535</v>
      </c>
      <c r="B510" s="167" t="s">
        <v>771</v>
      </c>
      <c r="C510" s="143">
        <v>220394</v>
      </c>
      <c r="D510" s="206">
        <v>13</v>
      </c>
      <c r="E510" s="178">
        <f t="shared" si="28"/>
        <v>0</v>
      </c>
      <c r="F510" s="195">
        <f t="shared" si="29"/>
        <v>0</v>
      </c>
      <c r="G510" s="179"/>
      <c r="H510" s="180"/>
      <c r="I510" s="179"/>
      <c r="J510" s="180"/>
      <c r="K510" s="179"/>
      <c r="L510" s="179"/>
      <c r="M510" s="179"/>
      <c r="N510" s="180"/>
      <c r="O510" s="180"/>
      <c r="P510" s="180"/>
      <c r="Q510" s="179"/>
      <c r="R510" s="180"/>
      <c r="S510" s="178">
        <f t="shared" si="30"/>
        <v>0</v>
      </c>
      <c r="T510" s="195">
        <f t="shared" si="31"/>
        <v>0</v>
      </c>
      <c r="U510" s="179"/>
      <c r="V510" s="180"/>
      <c r="W510" s="179"/>
      <c r="X510" s="180"/>
      <c r="Y510" s="179"/>
      <c r="Z510" s="179"/>
      <c r="AA510" s="179"/>
      <c r="AB510" s="180"/>
      <c r="AC510" s="180"/>
      <c r="AD510" s="180"/>
      <c r="AE510" s="179"/>
      <c r="AF510" s="256"/>
    </row>
    <row r="511" spans="1:32" s="223" customFormat="1" ht="15" customHeight="1">
      <c r="A511" s="160" t="s">
        <v>535</v>
      </c>
      <c r="B511" s="167" t="s">
        <v>772</v>
      </c>
      <c r="C511" s="143">
        <v>221616</v>
      </c>
      <c r="D511" s="206">
        <v>13</v>
      </c>
      <c r="E511" s="178">
        <f t="shared" si="28"/>
        <v>0</v>
      </c>
      <c r="F511" s="195">
        <f t="shared" si="29"/>
        <v>0</v>
      </c>
      <c r="G511" s="179"/>
      <c r="H511" s="180"/>
      <c r="I511" s="179"/>
      <c r="J511" s="180"/>
      <c r="K511" s="179"/>
      <c r="L511" s="179"/>
      <c r="M511" s="179"/>
      <c r="N511" s="180"/>
      <c r="O511" s="180"/>
      <c r="P511" s="180"/>
      <c r="Q511" s="179"/>
      <c r="R511" s="180"/>
      <c r="S511" s="178">
        <f t="shared" si="30"/>
        <v>0</v>
      </c>
      <c r="T511" s="195">
        <f t="shared" si="31"/>
        <v>0</v>
      </c>
      <c r="U511" s="179"/>
      <c r="V511" s="180"/>
      <c r="W511" s="179"/>
      <c r="X511" s="180"/>
      <c r="Y511" s="179"/>
      <c r="Z511" s="179"/>
      <c r="AA511" s="179"/>
      <c r="AB511" s="180"/>
      <c r="AC511" s="180"/>
      <c r="AD511" s="180"/>
      <c r="AE511" s="179"/>
      <c r="AF511" s="256"/>
    </row>
    <row r="512" spans="1:32" s="223" customFormat="1" ht="15" customHeight="1">
      <c r="A512" s="160" t="s">
        <v>535</v>
      </c>
      <c r="B512" s="167" t="s">
        <v>773</v>
      </c>
      <c r="C512" s="143">
        <v>221625</v>
      </c>
      <c r="D512" s="206">
        <v>13</v>
      </c>
      <c r="E512" s="178">
        <f t="shared" si="28"/>
        <v>0</v>
      </c>
      <c r="F512" s="195">
        <f t="shared" si="29"/>
        <v>0</v>
      </c>
      <c r="G512" s="179"/>
      <c r="H512" s="180"/>
      <c r="I512" s="179"/>
      <c r="J512" s="180"/>
      <c r="K512" s="179"/>
      <c r="L512" s="179"/>
      <c r="M512" s="179"/>
      <c r="N512" s="180"/>
      <c r="O512" s="180"/>
      <c r="P512" s="180"/>
      <c r="Q512" s="179"/>
      <c r="R512" s="180"/>
      <c r="S512" s="178">
        <f t="shared" si="30"/>
        <v>0</v>
      </c>
      <c r="T512" s="195">
        <f t="shared" si="31"/>
        <v>0</v>
      </c>
      <c r="U512" s="179"/>
      <c r="V512" s="180"/>
      <c r="W512" s="179"/>
      <c r="X512" s="180"/>
      <c r="Y512" s="179"/>
      <c r="Z512" s="179"/>
      <c r="AA512" s="179"/>
      <c r="AB512" s="180"/>
      <c r="AC512" s="180"/>
      <c r="AD512" s="180"/>
      <c r="AE512" s="179"/>
      <c r="AF512" s="256"/>
    </row>
    <row r="513" spans="1:32" s="223" customFormat="1" ht="15" customHeight="1">
      <c r="A513" s="160" t="s">
        <v>535</v>
      </c>
      <c r="B513" s="167" t="s">
        <v>774</v>
      </c>
      <c r="C513" s="143">
        <v>220640</v>
      </c>
      <c r="D513" s="206">
        <v>13</v>
      </c>
      <c r="E513" s="178">
        <f t="shared" si="28"/>
        <v>0</v>
      </c>
      <c r="F513" s="195">
        <f t="shared" si="29"/>
        <v>0</v>
      </c>
      <c r="G513" s="179"/>
      <c r="H513" s="180"/>
      <c r="I513" s="179"/>
      <c r="J513" s="180"/>
      <c r="K513" s="179"/>
      <c r="L513" s="179"/>
      <c r="M513" s="179"/>
      <c r="N513" s="180"/>
      <c r="O513" s="180"/>
      <c r="P513" s="180"/>
      <c r="Q513" s="179"/>
      <c r="R513" s="180"/>
      <c r="S513" s="178">
        <f t="shared" si="30"/>
        <v>0</v>
      </c>
      <c r="T513" s="195">
        <f t="shared" si="31"/>
        <v>0</v>
      </c>
      <c r="U513" s="179"/>
      <c r="V513" s="180"/>
      <c r="W513" s="179"/>
      <c r="X513" s="180"/>
      <c r="Y513" s="179"/>
      <c r="Z513" s="179"/>
      <c r="AA513" s="179"/>
      <c r="AB513" s="180"/>
      <c r="AC513" s="180"/>
      <c r="AD513" s="180"/>
      <c r="AE513" s="179"/>
      <c r="AF513" s="256"/>
    </row>
    <row r="514" spans="1:32" s="223" customFormat="1" ht="15" customHeight="1">
      <c r="A514" s="160" t="s">
        <v>535</v>
      </c>
      <c r="B514" s="167" t="s">
        <v>775</v>
      </c>
      <c r="C514" s="143">
        <v>220756</v>
      </c>
      <c r="D514" s="206">
        <v>13</v>
      </c>
      <c r="E514" s="178">
        <f t="shared" si="28"/>
        <v>0</v>
      </c>
      <c r="F514" s="195">
        <f t="shared" si="29"/>
        <v>0</v>
      </c>
      <c r="G514" s="179"/>
      <c r="H514" s="180"/>
      <c r="I514" s="179"/>
      <c r="J514" s="180"/>
      <c r="K514" s="179"/>
      <c r="L514" s="179"/>
      <c r="M514" s="179"/>
      <c r="N514" s="180"/>
      <c r="O514" s="180"/>
      <c r="P514" s="180"/>
      <c r="Q514" s="179"/>
      <c r="R514" s="180"/>
      <c r="S514" s="178">
        <f t="shared" si="30"/>
        <v>0</v>
      </c>
      <c r="T514" s="195">
        <f t="shared" si="31"/>
        <v>0</v>
      </c>
      <c r="U514" s="179"/>
      <c r="V514" s="180"/>
      <c r="W514" s="179"/>
      <c r="X514" s="180"/>
      <c r="Y514" s="179"/>
      <c r="Z514" s="179"/>
      <c r="AA514" s="179"/>
      <c r="AB514" s="180"/>
      <c r="AC514" s="180"/>
      <c r="AD514" s="180"/>
      <c r="AE514" s="179"/>
      <c r="AF514" s="256"/>
    </row>
    <row r="515" spans="1:32" s="223" customFormat="1" ht="15" customHeight="1">
      <c r="A515" s="160" t="s">
        <v>535</v>
      </c>
      <c r="B515" s="167" t="s">
        <v>776</v>
      </c>
      <c r="C515" s="143">
        <v>221607</v>
      </c>
      <c r="D515" s="206">
        <v>13</v>
      </c>
      <c r="E515" s="178">
        <f t="shared" si="28"/>
        <v>0</v>
      </c>
      <c r="F515" s="195">
        <f t="shared" si="29"/>
        <v>0</v>
      </c>
      <c r="G515" s="179"/>
      <c r="H515" s="180"/>
      <c r="I515" s="179"/>
      <c r="J515" s="180"/>
      <c r="K515" s="179"/>
      <c r="L515" s="179"/>
      <c r="M515" s="179"/>
      <c r="N515" s="180"/>
      <c r="O515" s="180"/>
      <c r="P515" s="180"/>
      <c r="Q515" s="179"/>
      <c r="R515" s="180"/>
      <c r="S515" s="178">
        <f t="shared" si="30"/>
        <v>0</v>
      </c>
      <c r="T515" s="195">
        <f t="shared" si="31"/>
        <v>0</v>
      </c>
      <c r="U515" s="179"/>
      <c r="V515" s="180"/>
      <c r="W515" s="179"/>
      <c r="X515" s="180"/>
      <c r="Y515" s="179"/>
      <c r="Z515" s="179"/>
      <c r="AA515" s="179"/>
      <c r="AB515" s="180"/>
      <c r="AC515" s="180"/>
      <c r="AD515" s="180"/>
      <c r="AE515" s="179"/>
      <c r="AF515" s="256"/>
    </row>
    <row r="516" spans="1:32" s="223" customFormat="1" ht="15" customHeight="1">
      <c r="A516" s="160" t="s">
        <v>535</v>
      </c>
      <c r="B516" s="167" t="s">
        <v>777</v>
      </c>
      <c r="C516" s="143">
        <v>221050</v>
      </c>
      <c r="D516" s="206">
        <v>13</v>
      </c>
      <c r="E516" s="178">
        <f t="shared" si="28"/>
        <v>0</v>
      </c>
      <c r="F516" s="195">
        <f t="shared" si="29"/>
        <v>0</v>
      </c>
      <c r="G516" s="179"/>
      <c r="H516" s="180"/>
      <c r="I516" s="179"/>
      <c r="J516" s="180"/>
      <c r="K516" s="179"/>
      <c r="L516" s="179"/>
      <c r="M516" s="179"/>
      <c r="N516" s="180"/>
      <c r="O516" s="180"/>
      <c r="P516" s="180"/>
      <c r="Q516" s="179"/>
      <c r="R516" s="180"/>
      <c r="S516" s="178">
        <f t="shared" si="30"/>
        <v>0</v>
      </c>
      <c r="T516" s="195">
        <f t="shared" si="31"/>
        <v>0</v>
      </c>
      <c r="U516" s="179"/>
      <c r="V516" s="180"/>
      <c r="W516" s="179"/>
      <c r="X516" s="180"/>
      <c r="Y516" s="179"/>
      <c r="Z516" s="179"/>
      <c r="AA516" s="179"/>
      <c r="AB516" s="180"/>
      <c r="AC516" s="180"/>
      <c r="AD516" s="180"/>
      <c r="AE516" s="179"/>
      <c r="AF516" s="256"/>
    </row>
    <row r="517" spans="1:32" s="223" customFormat="1" ht="15" customHeight="1">
      <c r="A517" s="160" t="s">
        <v>535</v>
      </c>
      <c r="B517" s="167" t="s">
        <v>778</v>
      </c>
      <c r="C517" s="143">
        <v>221102</v>
      </c>
      <c r="D517" s="206">
        <v>13</v>
      </c>
      <c r="E517" s="178">
        <f t="shared" si="28"/>
        <v>0</v>
      </c>
      <c r="F517" s="195">
        <f t="shared" si="29"/>
        <v>0</v>
      </c>
      <c r="G517" s="179"/>
      <c r="H517" s="180"/>
      <c r="I517" s="179"/>
      <c r="J517" s="180"/>
      <c r="K517" s="179"/>
      <c r="L517" s="179"/>
      <c r="M517" s="179"/>
      <c r="N517" s="180"/>
      <c r="O517" s="180"/>
      <c r="P517" s="180"/>
      <c r="Q517" s="179"/>
      <c r="R517" s="180"/>
      <c r="S517" s="178">
        <f t="shared" si="30"/>
        <v>0</v>
      </c>
      <c r="T517" s="195">
        <f t="shared" si="31"/>
        <v>0</v>
      </c>
      <c r="U517" s="179"/>
      <c r="V517" s="180"/>
      <c r="W517" s="179"/>
      <c r="X517" s="180"/>
      <c r="Y517" s="179"/>
      <c r="Z517" s="179"/>
      <c r="AA517" s="179"/>
      <c r="AB517" s="180"/>
      <c r="AC517" s="180"/>
      <c r="AD517" s="180"/>
      <c r="AE517" s="179"/>
      <c r="AF517" s="256"/>
    </row>
    <row r="518" spans="1:32" s="223" customFormat="1" ht="15" customHeight="1">
      <c r="A518" s="160" t="s">
        <v>535</v>
      </c>
      <c r="B518" s="167" t="s">
        <v>779</v>
      </c>
      <c r="C518" s="143">
        <v>248925</v>
      </c>
      <c r="D518" s="206">
        <v>13</v>
      </c>
      <c r="E518" s="178">
        <f t="shared" si="28"/>
        <v>0</v>
      </c>
      <c r="F518" s="195">
        <f t="shared" si="29"/>
        <v>0</v>
      </c>
      <c r="G518" s="179"/>
      <c r="H518" s="180"/>
      <c r="I518" s="179"/>
      <c r="J518" s="180"/>
      <c r="K518" s="179"/>
      <c r="L518" s="179"/>
      <c r="M518" s="179"/>
      <c r="N518" s="180"/>
      <c r="O518" s="180"/>
      <c r="P518" s="180"/>
      <c r="Q518" s="179"/>
      <c r="R518" s="180"/>
      <c r="S518" s="178">
        <f t="shared" si="30"/>
        <v>0</v>
      </c>
      <c r="T518" s="195">
        <f t="shared" si="31"/>
        <v>0</v>
      </c>
      <c r="U518" s="179"/>
      <c r="V518" s="180"/>
      <c r="W518" s="179"/>
      <c r="X518" s="180"/>
      <c r="Y518" s="179"/>
      <c r="Z518" s="179"/>
      <c r="AA518" s="179"/>
      <c r="AB518" s="180"/>
      <c r="AC518" s="180"/>
      <c r="AD518" s="180"/>
      <c r="AE518" s="179"/>
      <c r="AF518" s="256"/>
    </row>
    <row r="519" spans="1:32" s="223" customFormat="1" ht="15" customHeight="1">
      <c r="A519" s="160" t="s">
        <v>535</v>
      </c>
      <c r="B519" s="167" t="s">
        <v>780</v>
      </c>
      <c r="C519" s="143">
        <v>221236</v>
      </c>
      <c r="D519" s="206">
        <v>13</v>
      </c>
      <c r="E519" s="178">
        <f aca="true" t="shared" si="32" ref="E519:E582">SUM(G519,I519,K519,L519,M519,Q519)</f>
        <v>0</v>
      </c>
      <c r="F519" s="195">
        <f aca="true" t="shared" si="33" ref="F519:F582">SUM(H519,J519,N519,O519,P519,R519)</f>
        <v>0</v>
      </c>
      <c r="G519" s="179"/>
      <c r="H519" s="180"/>
      <c r="I519" s="179"/>
      <c r="J519" s="180"/>
      <c r="K519" s="179"/>
      <c r="L519" s="179"/>
      <c r="M519" s="179"/>
      <c r="N519" s="180"/>
      <c r="O519" s="180"/>
      <c r="P519" s="180"/>
      <c r="Q519" s="179"/>
      <c r="R519" s="180"/>
      <c r="S519" s="178">
        <f aca="true" t="shared" si="34" ref="S519:S582">SUM(U519,W519,Y519,Z519,AA519,AE519)</f>
        <v>0</v>
      </c>
      <c r="T519" s="195">
        <f aca="true" t="shared" si="35" ref="T519:T582">SUM(V519,X519,AB519,AC519,AD519,AF519)</f>
        <v>0</v>
      </c>
      <c r="U519" s="179"/>
      <c r="V519" s="180"/>
      <c r="W519" s="179"/>
      <c r="X519" s="180"/>
      <c r="Y519" s="179"/>
      <c r="Z519" s="179"/>
      <c r="AA519" s="179"/>
      <c r="AB519" s="180"/>
      <c r="AC519" s="180"/>
      <c r="AD519" s="180"/>
      <c r="AE519" s="179"/>
      <c r="AF519" s="256"/>
    </row>
    <row r="520" spans="1:32" s="223" customFormat="1" ht="15" customHeight="1">
      <c r="A520" s="160" t="s">
        <v>535</v>
      </c>
      <c r="B520" s="167" t="s">
        <v>781</v>
      </c>
      <c r="C520" s="143">
        <v>221582</v>
      </c>
      <c r="D520" s="206">
        <v>13</v>
      </c>
      <c r="E520" s="178">
        <f t="shared" si="32"/>
        <v>0</v>
      </c>
      <c r="F520" s="195">
        <f t="shared" si="33"/>
        <v>0</v>
      </c>
      <c r="G520" s="179"/>
      <c r="H520" s="180"/>
      <c r="I520" s="179"/>
      <c r="J520" s="180"/>
      <c r="K520" s="179"/>
      <c r="L520" s="179"/>
      <c r="M520" s="179"/>
      <c r="N520" s="180"/>
      <c r="O520" s="180"/>
      <c r="P520" s="180"/>
      <c r="Q520" s="179"/>
      <c r="R520" s="180"/>
      <c r="S520" s="178">
        <f t="shared" si="34"/>
        <v>0</v>
      </c>
      <c r="T520" s="195">
        <f t="shared" si="35"/>
        <v>0</v>
      </c>
      <c r="U520" s="179"/>
      <c r="V520" s="180"/>
      <c r="W520" s="179"/>
      <c r="X520" s="180"/>
      <c r="Y520" s="179"/>
      <c r="Z520" s="179"/>
      <c r="AA520" s="179"/>
      <c r="AB520" s="180"/>
      <c r="AC520" s="180"/>
      <c r="AD520" s="180"/>
      <c r="AE520" s="179"/>
      <c r="AF520" s="256"/>
    </row>
    <row r="521" spans="1:32" s="223" customFormat="1" ht="15" customHeight="1">
      <c r="A521" s="160" t="s">
        <v>535</v>
      </c>
      <c r="B521" s="167" t="s">
        <v>782</v>
      </c>
      <c r="C521" s="143">
        <v>221281</v>
      </c>
      <c r="D521" s="206">
        <v>13</v>
      </c>
      <c r="E521" s="178">
        <f t="shared" si="32"/>
        <v>0</v>
      </c>
      <c r="F521" s="195">
        <f t="shared" si="33"/>
        <v>0</v>
      </c>
      <c r="G521" s="179"/>
      <c r="H521" s="180"/>
      <c r="I521" s="179"/>
      <c r="J521" s="180"/>
      <c r="K521" s="179"/>
      <c r="L521" s="179"/>
      <c r="M521" s="179"/>
      <c r="N521" s="180"/>
      <c r="O521" s="180"/>
      <c r="P521" s="180"/>
      <c r="Q521" s="179"/>
      <c r="R521" s="180"/>
      <c r="S521" s="178">
        <f t="shared" si="34"/>
        <v>0</v>
      </c>
      <c r="T521" s="195">
        <f t="shared" si="35"/>
        <v>0</v>
      </c>
      <c r="U521" s="179"/>
      <c r="V521" s="180"/>
      <c r="W521" s="179"/>
      <c r="X521" s="180"/>
      <c r="Y521" s="179"/>
      <c r="Z521" s="179"/>
      <c r="AA521" s="179"/>
      <c r="AB521" s="180"/>
      <c r="AC521" s="180"/>
      <c r="AD521" s="180"/>
      <c r="AE521" s="179"/>
      <c r="AF521" s="256"/>
    </row>
    <row r="522" spans="1:32" s="223" customFormat="1" ht="15" customHeight="1">
      <c r="A522" s="160" t="s">
        <v>535</v>
      </c>
      <c r="B522" s="167" t="s">
        <v>783</v>
      </c>
      <c r="C522" s="143">
        <v>221333</v>
      </c>
      <c r="D522" s="206">
        <v>13</v>
      </c>
      <c r="E522" s="178">
        <f t="shared" si="32"/>
        <v>0</v>
      </c>
      <c r="F522" s="195">
        <f t="shared" si="33"/>
        <v>0</v>
      </c>
      <c r="G522" s="179"/>
      <c r="H522" s="180"/>
      <c r="I522" s="179"/>
      <c r="J522" s="180"/>
      <c r="K522" s="179"/>
      <c r="L522" s="179"/>
      <c r="M522" s="179"/>
      <c r="N522" s="180"/>
      <c r="O522" s="180"/>
      <c r="P522" s="180"/>
      <c r="Q522" s="179"/>
      <c r="R522" s="180"/>
      <c r="S522" s="178">
        <f t="shared" si="34"/>
        <v>0</v>
      </c>
      <c r="T522" s="195">
        <f t="shared" si="35"/>
        <v>0</v>
      </c>
      <c r="U522" s="179"/>
      <c r="V522" s="180"/>
      <c r="W522" s="179"/>
      <c r="X522" s="180"/>
      <c r="Y522" s="179"/>
      <c r="Z522" s="179"/>
      <c r="AA522" s="179"/>
      <c r="AB522" s="180"/>
      <c r="AC522" s="180"/>
      <c r="AD522" s="180"/>
      <c r="AE522" s="179"/>
      <c r="AF522" s="256"/>
    </row>
    <row r="523" spans="1:32" s="223" customFormat="1" ht="15" customHeight="1">
      <c r="A523" s="160" t="s">
        <v>535</v>
      </c>
      <c r="B523" s="167" t="s">
        <v>784</v>
      </c>
      <c r="C523" s="143">
        <v>221388</v>
      </c>
      <c r="D523" s="206">
        <v>13</v>
      </c>
      <c r="E523" s="178">
        <f t="shared" si="32"/>
        <v>0</v>
      </c>
      <c r="F523" s="195">
        <f t="shared" si="33"/>
        <v>0</v>
      </c>
      <c r="G523" s="179"/>
      <c r="H523" s="180"/>
      <c r="I523" s="179"/>
      <c r="J523" s="180"/>
      <c r="K523" s="179"/>
      <c r="L523" s="179"/>
      <c r="M523" s="179"/>
      <c r="N523" s="180"/>
      <c r="O523" s="180"/>
      <c r="P523" s="180"/>
      <c r="Q523" s="179"/>
      <c r="R523" s="180"/>
      <c r="S523" s="178">
        <f t="shared" si="34"/>
        <v>0</v>
      </c>
      <c r="T523" s="195">
        <f t="shared" si="35"/>
        <v>0</v>
      </c>
      <c r="U523" s="179"/>
      <c r="V523" s="180"/>
      <c r="W523" s="179"/>
      <c r="X523" s="180"/>
      <c r="Y523" s="179"/>
      <c r="Z523" s="179"/>
      <c r="AA523" s="179"/>
      <c r="AB523" s="180"/>
      <c r="AC523" s="180"/>
      <c r="AD523" s="180"/>
      <c r="AE523" s="179"/>
      <c r="AF523" s="256"/>
    </row>
    <row r="524" spans="1:32" s="223" customFormat="1" ht="15" customHeight="1">
      <c r="A524" s="160" t="s">
        <v>535</v>
      </c>
      <c r="B524" s="167" t="s">
        <v>785</v>
      </c>
      <c r="C524" s="143">
        <v>221494</v>
      </c>
      <c r="D524" s="206">
        <v>13</v>
      </c>
      <c r="E524" s="178">
        <f t="shared" si="32"/>
        <v>0</v>
      </c>
      <c r="F524" s="195">
        <f t="shared" si="33"/>
        <v>0</v>
      </c>
      <c r="G524" s="179"/>
      <c r="H524" s="180"/>
      <c r="I524" s="179"/>
      <c r="J524" s="180"/>
      <c r="K524" s="179"/>
      <c r="L524" s="179"/>
      <c r="M524" s="179"/>
      <c r="N524" s="180"/>
      <c r="O524" s="180"/>
      <c r="P524" s="180"/>
      <c r="Q524" s="179"/>
      <c r="R524" s="180"/>
      <c r="S524" s="178">
        <f t="shared" si="34"/>
        <v>0</v>
      </c>
      <c r="T524" s="195">
        <f t="shared" si="35"/>
        <v>0</v>
      </c>
      <c r="U524" s="179"/>
      <c r="V524" s="180"/>
      <c r="W524" s="179"/>
      <c r="X524" s="180"/>
      <c r="Y524" s="179"/>
      <c r="Z524" s="179"/>
      <c r="AA524" s="179"/>
      <c r="AB524" s="180"/>
      <c r="AC524" s="180"/>
      <c r="AD524" s="180"/>
      <c r="AE524" s="179"/>
      <c r="AF524" s="256"/>
    </row>
    <row r="525" spans="1:32" s="223" customFormat="1" ht="15" customHeight="1">
      <c r="A525" s="160" t="s">
        <v>535</v>
      </c>
      <c r="B525" s="167" t="s">
        <v>786</v>
      </c>
      <c r="C525" s="143">
        <v>221634</v>
      </c>
      <c r="D525" s="206">
        <v>13</v>
      </c>
      <c r="E525" s="178">
        <f t="shared" si="32"/>
        <v>0</v>
      </c>
      <c r="F525" s="195">
        <f t="shared" si="33"/>
        <v>0</v>
      </c>
      <c r="G525" s="179"/>
      <c r="H525" s="180"/>
      <c r="I525" s="179"/>
      <c r="J525" s="180"/>
      <c r="K525" s="179"/>
      <c r="L525" s="179"/>
      <c r="M525" s="179"/>
      <c r="N525" s="180"/>
      <c r="O525" s="180"/>
      <c r="P525" s="180"/>
      <c r="Q525" s="179"/>
      <c r="R525" s="180"/>
      <c r="S525" s="178">
        <f t="shared" si="34"/>
        <v>0</v>
      </c>
      <c r="T525" s="195">
        <f t="shared" si="35"/>
        <v>0</v>
      </c>
      <c r="U525" s="179"/>
      <c r="V525" s="180"/>
      <c r="W525" s="179"/>
      <c r="X525" s="180"/>
      <c r="Y525" s="179"/>
      <c r="Z525" s="179"/>
      <c r="AA525" s="179"/>
      <c r="AB525" s="180"/>
      <c r="AC525" s="180"/>
      <c r="AD525" s="180"/>
      <c r="AE525" s="179"/>
      <c r="AF525" s="256"/>
    </row>
    <row r="526" spans="1:32" s="223" customFormat="1" ht="15" customHeight="1">
      <c r="A526" s="162" t="s">
        <v>215</v>
      </c>
      <c r="B526" s="162" t="s">
        <v>216</v>
      </c>
      <c r="C526" s="32">
        <v>228723</v>
      </c>
      <c r="D526" s="207">
        <v>1</v>
      </c>
      <c r="E526" s="178">
        <f t="shared" si="32"/>
        <v>1003597</v>
      </c>
      <c r="F526" s="195">
        <f t="shared" si="33"/>
        <v>986566</v>
      </c>
      <c r="G526" s="201">
        <v>998857</v>
      </c>
      <c r="H526" s="202">
        <v>974288</v>
      </c>
      <c r="I526" s="201">
        <v>4083</v>
      </c>
      <c r="J526" s="202">
        <v>4598</v>
      </c>
      <c r="K526" s="201">
        <v>657</v>
      </c>
      <c r="L526" s="179">
        <v>0</v>
      </c>
      <c r="M526" s="201">
        <v>0</v>
      </c>
      <c r="N526" s="202">
        <v>6417</v>
      </c>
      <c r="O526" s="202">
        <v>3</v>
      </c>
      <c r="P526" s="202">
        <v>1260</v>
      </c>
      <c r="Q526" s="179"/>
      <c r="R526" s="180"/>
      <c r="S526" s="178">
        <f t="shared" si="34"/>
        <v>150837</v>
      </c>
      <c r="T526" s="195">
        <f t="shared" si="35"/>
        <v>151287</v>
      </c>
      <c r="U526" s="201">
        <v>143852</v>
      </c>
      <c r="V526" s="202">
        <v>141922</v>
      </c>
      <c r="W526" s="201">
        <v>3083</v>
      </c>
      <c r="X526" s="202">
        <v>3229</v>
      </c>
      <c r="Y526" s="201">
        <v>2651</v>
      </c>
      <c r="Z526" s="179">
        <v>828</v>
      </c>
      <c r="AA526" s="201">
        <v>423</v>
      </c>
      <c r="AB526" s="202">
        <v>4474</v>
      </c>
      <c r="AC526" s="202">
        <v>780</v>
      </c>
      <c r="AD526" s="202">
        <v>882</v>
      </c>
      <c r="AE526" s="179"/>
      <c r="AF526" s="256"/>
    </row>
    <row r="527" spans="1:32" s="223" customFormat="1" ht="15" customHeight="1">
      <c r="A527" s="162" t="s">
        <v>215</v>
      </c>
      <c r="B527" s="162" t="s">
        <v>217</v>
      </c>
      <c r="C527" s="32">
        <v>229115</v>
      </c>
      <c r="D527" s="207">
        <v>1</v>
      </c>
      <c r="E527" s="178">
        <f t="shared" si="32"/>
        <v>657813</v>
      </c>
      <c r="F527" s="195">
        <f t="shared" si="33"/>
        <v>666493</v>
      </c>
      <c r="G527" s="201">
        <v>643071</v>
      </c>
      <c r="H527" s="202">
        <v>659056</v>
      </c>
      <c r="I527" s="201">
        <v>689</v>
      </c>
      <c r="J527" s="202">
        <v>2249</v>
      </c>
      <c r="K527" s="201">
        <v>11675</v>
      </c>
      <c r="L527" s="179">
        <v>2290</v>
      </c>
      <c r="M527" s="201">
        <v>88</v>
      </c>
      <c r="N527" s="202">
        <v>4619</v>
      </c>
      <c r="O527" s="202">
        <v>569</v>
      </c>
      <c r="P527" s="202">
        <v>0</v>
      </c>
      <c r="Q527" s="179"/>
      <c r="R527" s="180"/>
      <c r="S527" s="178">
        <f t="shared" si="34"/>
        <v>102021</v>
      </c>
      <c r="T527" s="195">
        <f t="shared" si="35"/>
        <v>102232</v>
      </c>
      <c r="U527" s="201">
        <v>95183</v>
      </c>
      <c r="V527" s="202">
        <v>95106</v>
      </c>
      <c r="W527" s="201">
        <v>919</v>
      </c>
      <c r="X527" s="202">
        <v>1259</v>
      </c>
      <c r="Y527" s="201">
        <v>4303</v>
      </c>
      <c r="Z527" s="179">
        <v>959</v>
      </c>
      <c r="AA527" s="201">
        <v>657</v>
      </c>
      <c r="AB527" s="202">
        <v>4536</v>
      </c>
      <c r="AC527" s="202">
        <v>1147</v>
      </c>
      <c r="AD527" s="202">
        <v>184</v>
      </c>
      <c r="AE527" s="179"/>
      <c r="AF527" s="256"/>
    </row>
    <row r="528" spans="1:32" s="223" customFormat="1" ht="15" customHeight="1">
      <c r="A528" s="162" t="s">
        <v>215</v>
      </c>
      <c r="B528" s="162" t="s">
        <v>218</v>
      </c>
      <c r="C528" s="32">
        <v>225511</v>
      </c>
      <c r="D528" s="207">
        <v>1</v>
      </c>
      <c r="E528" s="178">
        <f t="shared" si="32"/>
        <v>681664</v>
      </c>
      <c r="F528" s="195">
        <f t="shared" si="33"/>
        <v>674736</v>
      </c>
      <c r="G528" s="201">
        <v>643948</v>
      </c>
      <c r="H528" s="202">
        <v>626524</v>
      </c>
      <c r="I528" s="201">
        <v>3595</v>
      </c>
      <c r="J528" s="202">
        <v>3162</v>
      </c>
      <c r="K528" s="201">
        <v>15053</v>
      </c>
      <c r="L528" s="179">
        <v>645</v>
      </c>
      <c r="M528" s="201">
        <v>18423</v>
      </c>
      <c r="N528" s="202">
        <v>23762</v>
      </c>
      <c r="O528" s="202">
        <v>318</v>
      </c>
      <c r="P528" s="202">
        <v>20970</v>
      </c>
      <c r="Q528" s="179"/>
      <c r="R528" s="180"/>
      <c r="S528" s="178">
        <f t="shared" si="34"/>
        <v>165569</v>
      </c>
      <c r="T528" s="195">
        <f t="shared" si="35"/>
        <v>165080</v>
      </c>
      <c r="U528" s="201">
        <v>156574</v>
      </c>
      <c r="V528" s="202">
        <v>156078</v>
      </c>
      <c r="W528" s="201">
        <v>4522</v>
      </c>
      <c r="X528" s="202">
        <v>3869</v>
      </c>
      <c r="Y528" s="201">
        <v>3092</v>
      </c>
      <c r="Z528" s="179">
        <v>396</v>
      </c>
      <c r="AA528" s="201">
        <v>985</v>
      </c>
      <c r="AB528" s="202">
        <v>4071</v>
      </c>
      <c r="AC528" s="202">
        <v>159</v>
      </c>
      <c r="AD528" s="202">
        <v>903</v>
      </c>
      <c r="AE528" s="179"/>
      <c r="AF528" s="256"/>
    </row>
    <row r="529" spans="1:32" s="223" customFormat="1" ht="15" customHeight="1">
      <c r="A529" s="162" t="s">
        <v>215</v>
      </c>
      <c r="B529" s="162" t="s">
        <v>219</v>
      </c>
      <c r="C529" s="32">
        <v>227216</v>
      </c>
      <c r="D529" s="207">
        <v>1</v>
      </c>
      <c r="E529" s="178">
        <f t="shared" si="32"/>
        <v>653124</v>
      </c>
      <c r="F529" s="195">
        <f t="shared" si="33"/>
        <v>659897</v>
      </c>
      <c r="G529" s="201">
        <v>612417</v>
      </c>
      <c r="H529" s="202">
        <v>609779</v>
      </c>
      <c r="I529" s="201">
        <v>11658</v>
      </c>
      <c r="J529" s="202">
        <v>12289</v>
      </c>
      <c r="K529" s="201">
        <v>28651</v>
      </c>
      <c r="L529" s="179">
        <v>398</v>
      </c>
      <c r="M529" s="201">
        <v>0</v>
      </c>
      <c r="N529" s="202">
        <v>37272</v>
      </c>
      <c r="O529" s="202">
        <v>557</v>
      </c>
      <c r="P529" s="202">
        <v>0</v>
      </c>
      <c r="Q529" s="179"/>
      <c r="R529" s="180"/>
      <c r="S529" s="178">
        <f t="shared" si="34"/>
        <v>102594</v>
      </c>
      <c r="T529" s="195">
        <f t="shared" si="35"/>
        <v>98558.5</v>
      </c>
      <c r="U529" s="201">
        <v>69070</v>
      </c>
      <c r="V529" s="202">
        <v>66977.5</v>
      </c>
      <c r="W529" s="201">
        <v>6159</v>
      </c>
      <c r="X529" s="202">
        <v>6384</v>
      </c>
      <c r="Y529" s="201">
        <v>25468</v>
      </c>
      <c r="Z529" s="179">
        <v>1897</v>
      </c>
      <c r="AA529" s="201">
        <v>0</v>
      </c>
      <c r="AB529" s="202">
        <v>23746</v>
      </c>
      <c r="AC529" s="202">
        <v>1451</v>
      </c>
      <c r="AD529" s="202">
        <v>0</v>
      </c>
      <c r="AE529" s="179"/>
      <c r="AF529" s="256"/>
    </row>
    <row r="530" spans="1:32" s="223" customFormat="1" ht="15" customHeight="1">
      <c r="A530" s="162" t="s">
        <v>215</v>
      </c>
      <c r="B530" s="162" t="s">
        <v>220</v>
      </c>
      <c r="C530" s="32">
        <v>228778</v>
      </c>
      <c r="D530" s="207">
        <v>1</v>
      </c>
      <c r="E530" s="178">
        <f t="shared" si="32"/>
        <v>1060667</v>
      </c>
      <c r="F530" s="195">
        <f t="shared" si="33"/>
        <v>1028935</v>
      </c>
      <c r="G530" s="201">
        <v>1058777</v>
      </c>
      <c r="H530" s="202">
        <f>1026082+12</f>
        <v>1026094</v>
      </c>
      <c r="I530" s="201">
        <v>1890</v>
      </c>
      <c r="J530" s="202">
        <v>2841</v>
      </c>
      <c r="K530" s="201">
        <v>0</v>
      </c>
      <c r="L530" s="179">
        <v>0</v>
      </c>
      <c r="M530" s="201">
        <v>0</v>
      </c>
      <c r="N530" s="202">
        <v>0</v>
      </c>
      <c r="O530" s="202">
        <v>0</v>
      </c>
      <c r="P530" s="202">
        <v>0</v>
      </c>
      <c r="Q530" s="179"/>
      <c r="R530" s="180"/>
      <c r="S530" s="178">
        <f t="shared" si="34"/>
        <v>275578</v>
      </c>
      <c r="T530" s="195">
        <f t="shared" si="35"/>
        <v>281188</v>
      </c>
      <c r="U530" s="201">
        <v>275488</v>
      </c>
      <c r="V530" s="202">
        <v>280930</v>
      </c>
      <c r="W530" s="201">
        <v>90</v>
      </c>
      <c r="X530" s="202">
        <v>258</v>
      </c>
      <c r="Y530" s="201">
        <v>0</v>
      </c>
      <c r="Z530" s="179">
        <v>0</v>
      </c>
      <c r="AA530" s="201">
        <v>0</v>
      </c>
      <c r="AB530" s="202">
        <v>0</v>
      </c>
      <c r="AC530" s="202">
        <v>0</v>
      </c>
      <c r="AD530" s="202">
        <v>0</v>
      </c>
      <c r="AE530" s="179"/>
      <c r="AF530" s="256"/>
    </row>
    <row r="531" spans="1:32" s="223" customFormat="1" ht="15" customHeight="1">
      <c r="A531" s="162" t="s">
        <v>215</v>
      </c>
      <c r="B531" s="162" t="s">
        <v>221</v>
      </c>
      <c r="C531" s="32">
        <v>229179</v>
      </c>
      <c r="D531" s="207">
        <v>2</v>
      </c>
      <c r="E531" s="178">
        <f t="shared" si="32"/>
        <v>141387</v>
      </c>
      <c r="F531" s="195">
        <f t="shared" si="33"/>
        <v>153486</v>
      </c>
      <c r="G531" s="201">
        <v>134091</v>
      </c>
      <c r="H531" s="202">
        <v>144134</v>
      </c>
      <c r="I531" s="201">
        <v>1030</v>
      </c>
      <c r="J531" s="202">
        <v>726</v>
      </c>
      <c r="K531" s="201">
        <v>5687</v>
      </c>
      <c r="L531" s="179">
        <v>579</v>
      </c>
      <c r="M531" s="201">
        <v>0</v>
      </c>
      <c r="N531" s="202">
        <v>8626</v>
      </c>
      <c r="O531" s="202">
        <v>0</v>
      </c>
      <c r="P531" s="202">
        <v>0</v>
      </c>
      <c r="Q531" s="179"/>
      <c r="R531" s="180"/>
      <c r="S531" s="178">
        <f t="shared" si="34"/>
        <v>69087</v>
      </c>
      <c r="T531" s="195">
        <f t="shared" si="35"/>
        <v>82547</v>
      </c>
      <c r="U531" s="201">
        <v>46804</v>
      </c>
      <c r="V531" s="202">
        <v>52191</v>
      </c>
      <c r="W531" s="201">
        <v>4170</v>
      </c>
      <c r="X531" s="202">
        <v>3965</v>
      </c>
      <c r="Y531" s="201">
        <v>16329</v>
      </c>
      <c r="Z531" s="179">
        <v>1784</v>
      </c>
      <c r="AA531" s="201">
        <v>0</v>
      </c>
      <c r="AB531" s="202">
        <v>23598</v>
      </c>
      <c r="AC531" s="202">
        <v>2793</v>
      </c>
      <c r="AD531" s="202">
        <v>0</v>
      </c>
      <c r="AE531" s="179"/>
      <c r="AF531" s="256"/>
    </row>
    <row r="532" spans="1:32" s="223" customFormat="1" ht="15" customHeight="1">
      <c r="A532" s="162" t="s">
        <v>215</v>
      </c>
      <c r="B532" s="162" t="s">
        <v>222</v>
      </c>
      <c r="C532" s="32">
        <v>228769</v>
      </c>
      <c r="D532" s="207">
        <v>2</v>
      </c>
      <c r="E532" s="178">
        <f t="shared" si="32"/>
        <v>473407</v>
      </c>
      <c r="F532" s="195">
        <f t="shared" si="33"/>
        <v>488859</v>
      </c>
      <c r="G532" s="201">
        <v>459647</v>
      </c>
      <c r="H532" s="202">
        <v>474766</v>
      </c>
      <c r="I532" s="201">
        <v>3877</v>
      </c>
      <c r="J532" s="202">
        <v>4307</v>
      </c>
      <c r="K532" s="201">
        <v>9868</v>
      </c>
      <c r="L532" s="179">
        <v>0</v>
      </c>
      <c r="M532" s="201">
        <v>15</v>
      </c>
      <c r="N532" s="202">
        <v>9693</v>
      </c>
      <c r="O532" s="202">
        <v>93</v>
      </c>
      <c r="P532" s="202">
        <v>0</v>
      </c>
      <c r="Q532" s="179"/>
      <c r="R532" s="180"/>
      <c r="S532" s="178">
        <f t="shared" si="34"/>
        <v>101207</v>
      </c>
      <c r="T532" s="195">
        <f t="shared" si="35"/>
        <v>104476</v>
      </c>
      <c r="U532" s="201">
        <v>93184</v>
      </c>
      <c r="V532" s="202">
        <v>95869</v>
      </c>
      <c r="W532" s="201">
        <v>1782</v>
      </c>
      <c r="X532" s="202">
        <v>1368</v>
      </c>
      <c r="Y532" s="201">
        <v>5776</v>
      </c>
      <c r="Z532" s="179">
        <v>0</v>
      </c>
      <c r="AA532" s="201">
        <v>465</v>
      </c>
      <c r="AB532" s="202">
        <v>6638</v>
      </c>
      <c r="AC532" s="202">
        <v>57</v>
      </c>
      <c r="AD532" s="202">
        <v>544</v>
      </c>
      <c r="AE532" s="179"/>
      <c r="AF532" s="256"/>
    </row>
    <row r="533" spans="1:32" s="223" customFormat="1" ht="15" customHeight="1">
      <c r="A533" s="162" t="s">
        <v>215</v>
      </c>
      <c r="B533" s="162" t="s">
        <v>223</v>
      </c>
      <c r="C533" s="32">
        <v>228787</v>
      </c>
      <c r="D533" s="207">
        <v>2</v>
      </c>
      <c r="E533" s="178">
        <f t="shared" si="32"/>
        <v>223831</v>
      </c>
      <c r="F533" s="195">
        <f t="shared" si="33"/>
        <v>231022</v>
      </c>
      <c r="G533" s="201">
        <v>222182</v>
      </c>
      <c r="H533" s="202">
        <v>229954</v>
      </c>
      <c r="I533" s="201">
        <v>300</v>
      </c>
      <c r="J533" s="202">
        <v>134</v>
      </c>
      <c r="K533" s="201">
        <v>485</v>
      </c>
      <c r="L533" s="179">
        <v>0</v>
      </c>
      <c r="M533" s="201">
        <v>864</v>
      </c>
      <c r="N533" s="202">
        <v>439</v>
      </c>
      <c r="O533" s="202">
        <v>0</v>
      </c>
      <c r="P533" s="202">
        <v>495</v>
      </c>
      <c r="Q533" s="179"/>
      <c r="R533" s="180"/>
      <c r="S533" s="178">
        <f t="shared" si="34"/>
        <v>82166</v>
      </c>
      <c r="T533" s="195">
        <f t="shared" si="35"/>
        <v>82801</v>
      </c>
      <c r="U533" s="201">
        <v>76664</v>
      </c>
      <c r="V533" s="202">
        <v>77993</v>
      </c>
      <c r="W533" s="201">
        <v>939</v>
      </c>
      <c r="X533" s="202">
        <v>639</v>
      </c>
      <c r="Y533" s="201">
        <v>3321</v>
      </c>
      <c r="Z533" s="179">
        <v>0</v>
      </c>
      <c r="AA533" s="201">
        <v>1242</v>
      </c>
      <c r="AB533" s="202">
        <v>3698</v>
      </c>
      <c r="AC533" s="202">
        <v>0</v>
      </c>
      <c r="AD533" s="202">
        <v>471</v>
      </c>
      <c r="AE533" s="179"/>
      <c r="AF533" s="256"/>
    </row>
    <row r="534" spans="1:32" s="223" customFormat="1" ht="15" customHeight="1">
      <c r="A534" s="162" t="s">
        <v>215</v>
      </c>
      <c r="B534" s="162" t="s">
        <v>224</v>
      </c>
      <c r="C534" s="32">
        <v>222831</v>
      </c>
      <c r="D534" s="207">
        <v>3</v>
      </c>
      <c r="E534" s="178">
        <f t="shared" si="32"/>
        <v>155794</v>
      </c>
      <c r="F534" s="195">
        <f t="shared" si="33"/>
        <v>153053</v>
      </c>
      <c r="G534" s="201">
        <v>153751</v>
      </c>
      <c r="H534" s="202">
        <v>150750</v>
      </c>
      <c r="I534" s="201">
        <v>1143</v>
      </c>
      <c r="J534" s="202">
        <v>897</v>
      </c>
      <c r="K534" s="201">
        <v>900</v>
      </c>
      <c r="L534" s="179">
        <v>0</v>
      </c>
      <c r="M534" s="201">
        <v>0</v>
      </c>
      <c r="N534" s="202">
        <v>1289</v>
      </c>
      <c r="O534" s="202">
        <v>0</v>
      </c>
      <c r="P534" s="202">
        <v>117</v>
      </c>
      <c r="Q534" s="179"/>
      <c r="R534" s="180"/>
      <c r="S534" s="178">
        <f t="shared" si="34"/>
        <v>7465</v>
      </c>
      <c r="T534" s="195">
        <f t="shared" si="35"/>
        <v>7336</v>
      </c>
      <c r="U534" s="201">
        <v>7390</v>
      </c>
      <c r="V534" s="202">
        <v>7243</v>
      </c>
      <c r="W534" s="201">
        <v>0</v>
      </c>
      <c r="X534" s="202">
        <v>0</v>
      </c>
      <c r="Y534" s="201">
        <v>75</v>
      </c>
      <c r="Z534" s="179">
        <v>0</v>
      </c>
      <c r="AA534" s="201">
        <v>0</v>
      </c>
      <c r="AB534" s="202">
        <v>93</v>
      </c>
      <c r="AC534" s="202">
        <v>0</v>
      </c>
      <c r="AD534" s="202">
        <v>0</v>
      </c>
      <c r="AE534" s="179"/>
      <c r="AF534" s="256"/>
    </row>
    <row r="535" spans="1:32" s="223" customFormat="1" ht="15" customHeight="1">
      <c r="A535" s="162" t="s">
        <v>215</v>
      </c>
      <c r="B535" s="162" t="s">
        <v>225</v>
      </c>
      <c r="C535" s="32">
        <v>226091</v>
      </c>
      <c r="D535" s="207">
        <v>3</v>
      </c>
      <c r="E535" s="178">
        <f t="shared" si="32"/>
        <v>223983</v>
      </c>
      <c r="F535" s="195">
        <f t="shared" si="33"/>
        <v>233619</v>
      </c>
      <c r="G535" s="201">
        <v>211854</v>
      </c>
      <c r="H535" s="202">
        <v>223342</v>
      </c>
      <c r="I535" s="201">
        <v>4242</v>
      </c>
      <c r="J535" s="202">
        <v>2528</v>
      </c>
      <c r="K535" s="201">
        <v>1737</v>
      </c>
      <c r="L535" s="179">
        <v>1785</v>
      </c>
      <c r="M535" s="201">
        <v>4365</v>
      </c>
      <c r="N535" s="202">
        <v>1857</v>
      </c>
      <c r="O535" s="202">
        <v>1608</v>
      </c>
      <c r="P535" s="202">
        <v>4284</v>
      </c>
      <c r="Q535" s="179"/>
      <c r="R535" s="180"/>
      <c r="S535" s="178">
        <f t="shared" si="34"/>
        <v>26027</v>
      </c>
      <c r="T535" s="195">
        <f t="shared" si="35"/>
        <v>24765</v>
      </c>
      <c r="U535" s="201">
        <v>25667</v>
      </c>
      <c r="V535" s="202">
        <v>24519</v>
      </c>
      <c r="W535" s="201">
        <v>24</v>
      </c>
      <c r="X535" s="202">
        <v>9</v>
      </c>
      <c r="Y535" s="201">
        <v>150</v>
      </c>
      <c r="Z535" s="179">
        <v>141</v>
      </c>
      <c r="AA535" s="201">
        <v>45</v>
      </c>
      <c r="AB535" s="202">
        <v>111</v>
      </c>
      <c r="AC535" s="202">
        <v>63</v>
      </c>
      <c r="AD535" s="202">
        <v>63</v>
      </c>
      <c r="AE535" s="179"/>
      <c r="AF535" s="256"/>
    </row>
    <row r="536" spans="1:32" s="223" customFormat="1" ht="15" customHeight="1">
      <c r="A536" s="162" t="s">
        <v>215</v>
      </c>
      <c r="B536" s="162" t="s">
        <v>226</v>
      </c>
      <c r="C536" s="32">
        <v>226833</v>
      </c>
      <c r="D536" s="207">
        <v>3</v>
      </c>
      <c r="E536" s="178">
        <f t="shared" si="32"/>
        <v>147906</v>
      </c>
      <c r="F536" s="195">
        <f t="shared" si="33"/>
        <v>149110</v>
      </c>
      <c r="G536" s="201">
        <v>133239</v>
      </c>
      <c r="H536" s="202">
        <v>133640</v>
      </c>
      <c r="I536" s="201">
        <v>3546</v>
      </c>
      <c r="J536" s="202">
        <v>3163</v>
      </c>
      <c r="K536" s="201">
        <v>10299</v>
      </c>
      <c r="L536" s="179">
        <v>54</v>
      </c>
      <c r="M536" s="201">
        <v>768</v>
      </c>
      <c r="N536" s="202">
        <v>11185</v>
      </c>
      <c r="O536" s="202">
        <v>66</v>
      </c>
      <c r="P536" s="202">
        <v>1056</v>
      </c>
      <c r="Q536" s="179"/>
      <c r="R536" s="180"/>
      <c r="S536" s="178">
        <f t="shared" si="34"/>
        <v>10129</v>
      </c>
      <c r="T536" s="195">
        <f t="shared" si="35"/>
        <v>9571</v>
      </c>
      <c r="U536" s="201">
        <v>7834</v>
      </c>
      <c r="V536" s="202">
        <v>7121</v>
      </c>
      <c r="W536" s="201">
        <v>846</v>
      </c>
      <c r="X536" s="202">
        <v>531</v>
      </c>
      <c r="Y536" s="201">
        <v>1287</v>
      </c>
      <c r="Z536" s="179">
        <v>162</v>
      </c>
      <c r="AA536" s="201">
        <v>0</v>
      </c>
      <c r="AB536" s="202">
        <v>1622</v>
      </c>
      <c r="AC536" s="202">
        <v>297</v>
      </c>
      <c r="AD536" s="202">
        <v>0</v>
      </c>
      <c r="AE536" s="179"/>
      <c r="AF536" s="256"/>
    </row>
    <row r="537" spans="1:32" s="223" customFormat="1" ht="15" customHeight="1">
      <c r="A537" s="162" t="s">
        <v>215</v>
      </c>
      <c r="B537" s="162" t="s">
        <v>227</v>
      </c>
      <c r="C537" s="32">
        <v>227526</v>
      </c>
      <c r="D537" s="207">
        <v>3</v>
      </c>
      <c r="E537" s="178">
        <f t="shared" si="32"/>
        <v>170032</v>
      </c>
      <c r="F537" s="195">
        <f t="shared" si="33"/>
        <v>181229</v>
      </c>
      <c r="G537" s="201">
        <v>162087</v>
      </c>
      <c r="H537" s="202">
        <v>173878</v>
      </c>
      <c r="I537" s="201">
        <v>6715</v>
      </c>
      <c r="J537" s="202">
        <v>6004</v>
      </c>
      <c r="K537" s="201">
        <v>868</v>
      </c>
      <c r="L537" s="179">
        <v>362</v>
      </c>
      <c r="M537" s="201">
        <v>0</v>
      </c>
      <c r="N537" s="202">
        <v>670</v>
      </c>
      <c r="O537" s="202">
        <v>677</v>
      </c>
      <c r="P537" s="202">
        <v>0</v>
      </c>
      <c r="Q537" s="179"/>
      <c r="R537" s="180"/>
      <c r="S537" s="178">
        <f t="shared" si="34"/>
        <v>33245</v>
      </c>
      <c r="T537" s="195">
        <f t="shared" si="35"/>
        <v>36865</v>
      </c>
      <c r="U537" s="201">
        <v>24016</v>
      </c>
      <c r="V537" s="202">
        <v>27054</v>
      </c>
      <c r="W537" s="201">
        <v>8776</v>
      </c>
      <c r="X537" s="202">
        <v>9232</v>
      </c>
      <c r="Y537" s="201">
        <v>453</v>
      </c>
      <c r="Z537" s="179">
        <v>0</v>
      </c>
      <c r="AA537" s="201">
        <v>0</v>
      </c>
      <c r="AB537" s="202">
        <v>579</v>
      </c>
      <c r="AC537" s="202">
        <v>0</v>
      </c>
      <c r="AD537" s="202">
        <v>0</v>
      </c>
      <c r="AE537" s="179"/>
      <c r="AF537" s="256"/>
    </row>
    <row r="538" spans="1:32" s="223" customFormat="1" ht="15" customHeight="1">
      <c r="A538" s="162" t="s">
        <v>215</v>
      </c>
      <c r="B538" s="162" t="s">
        <v>228</v>
      </c>
      <c r="C538" s="32">
        <v>227881</v>
      </c>
      <c r="D538" s="207">
        <v>3</v>
      </c>
      <c r="E538" s="178">
        <f t="shared" si="32"/>
        <v>325627</v>
      </c>
      <c r="F538" s="195">
        <f t="shared" si="33"/>
        <v>338331</v>
      </c>
      <c r="G538" s="201">
        <v>307567</v>
      </c>
      <c r="H538" s="202">
        <v>318480</v>
      </c>
      <c r="I538" s="201">
        <v>12816</v>
      </c>
      <c r="J538" s="202">
        <v>13825</v>
      </c>
      <c r="K538" s="201">
        <v>4971</v>
      </c>
      <c r="L538" s="179">
        <v>273</v>
      </c>
      <c r="M538" s="201">
        <v>0</v>
      </c>
      <c r="N538" s="202">
        <v>5738</v>
      </c>
      <c r="O538" s="202">
        <v>288</v>
      </c>
      <c r="P538" s="202">
        <v>0</v>
      </c>
      <c r="Q538" s="179"/>
      <c r="R538" s="180"/>
      <c r="S538" s="178">
        <f t="shared" si="34"/>
        <v>29219</v>
      </c>
      <c r="T538" s="195">
        <f t="shared" si="35"/>
        <v>30312</v>
      </c>
      <c r="U538" s="201">
        <v>17474</v>
      </c>
      <c r="V538" s="202">
        <v>16971</v>
      </c>
      <c r="W538" s="201">
        <v>9816</v>
      </c>
      <c r="X538" s="202">
        <v>11574</v>
      </c>
      <c r="Y538" s="201">
        <v>1260</v>
      </c>
      <c r="Z538" s="179">
        <v>669</v>
      </c>
      <c r="AA538" s="201">
        <v>0</v>
      </c>
      <c r="AB538" s="202">
        <v>1146</v>
      </c>
      <c r="AC538" s="202">
        <v>621</v>
      </c>
      <c r="AD538" s="202">
        <v>0</v>
      </c>
      <c r="AE538" s="179"/>
      <c r="AF538" s="256"/>
    </row>
    <row r="539" spans="1:32" s="223" customFormat="1" ht="15" customHeight="1">
      <c r="A539" s="162" t="s">
        <v>215</v>
      </c>
      <c r="B539" s="162" t="s">
        <v>229</v>
      </c>
      <c r="C539" s="32">
        <v>228431</v>
      </c>
      <c r="D539" s="207">
        <v>3</v>
      </c>
      <c r="E539" s="178">
        <f t="shared" si="32"/>
        <v>287464</v>
      </c>
      <c r="F539" s="195">
        <f t="shared" si="33"/>
        <v>278099</v>
      </c>
      <c r="G539" s="201">
        <v>281489</v>
      </c>
      <c r="H539" s="202">
        <v>270095</v>
      </c>
      <c r="I539" s="201">
        <v>672</v>
      </c>
      <c r="J539" s="202">
        <v>1777</v>
      </c>
      <c r="K539" s="201">
        <v>5177</v>
      </c>
      <c r="L539" s="179">
        <v>126</v>
      </c>
      <c r="M539" s="201">
        <v>0</v>
      </c>
      <c r="N539" s="202">
        <v>6088</v>
      </c>
      <c r="O539" s="202">
        <v>139</v>
      </c>
      <c r="P539" s="202">
        <v>0</v>
      </c>
      <c r="Q539" s="179"/>
      <c r="R539" s="180"/>
      <c r="S539" s="178">
        <f t="shared" si="34"/>
        <v>27509</v>
      </c>
      <c r="T539" s="195">
        <f t="shared" si="35"/>
        <v>28186</v>
      </c>
      <c r="U539" s="201">
        <v>18172</v>
      </c>
      <c r="V539" s="202">
        <v>19005</v>
      </c>
      <c r="W539" s="201">
        <v>5063</v>
      </c>
      <c r="X539" s="202">
        <v>4058</v>
      </c>
      <c r="Y539" s="201">
        <v>3554</v>
      </c>
      <c r="Z539" s="179">
        <v>441</v>
      </c>
      <c r="AA539" s="201">
        <v>279</v>
      </c>
      <c r="AB539" s="202">
        <v>4588</v>
      </c>
      <c r="AC539" s="202">
        <v>334</v>
      </c>
      <c r="AD539" s="202">
        <v>201</v>
      </c>
      <c r="AE539" s="179"/>
      <c r="AF539" s="256"/>
    </row>
    <row r="540" spans="1:32" s="223" customFormat="1" ht="15" customHeight="1">
      <c r="A540" s="162" t="s">
        <v>215</v>
      </c>
      <c r="B540" s="162" t="s">
        <v>230</v>
      </c>
      <c r="C540" s="32">
        <v>228501</v>
      </c>
      <c r="D540" s="207">
        <v>3</v>
      </c>
      <c r="E540" s="178">
        <f t="shared" si="32"/>
        <v>45885</v>
      </c>
      <c r="F540" s="195">
        <f t="shared" si="33"/>
        <v>43454</v>
      </c>
      <c r="G540" s="201">
        <v>43780</v>
      </c>
      <c r="H540" s="202">
        <v>41780</v>
      </c>
      <c r="I540" s="201">
        <v>213</v>
      </c>
      <c r="J540" s="202">
        <v>0</v>
      </c>
      <c r="K540" s="201">
        <v>1356</v>
      </c>
      <c r="L540" s="179">
        <v>260</v>
      </c>
      <c r="M540" s="201">
        <v>276</v>
      </c>
      <c r="N540" s="202">
        <v>1259</v>
      </c>
      <c r="O540" s="202">
        <v>208</v>
      </c>
      <c r="P540" s="202">
        <v>207</v>
      </c>
      <c r="Q540" s="179"/>
      <c r="R540" s="180"/>
      <c r="S540" s="178">
        <f t="shared" si="34"/>
        <v>8201</v>
      </c>
      <c r="T540" s="195">
        <f t="shared" si="35"/>
        <v>8031</v>
      </c>
      <c r="U540" s="201">
        <v>7244</v>
      </c>
      <c r="V540" s="202">
        <v>7410</v>
      </c>
      <c r="W540" s="201">
        <v>285</v>
      </c>
      <c r="X540" s="202">
        <v>204</v>
      </c>
      <c r="Y540" s="201">
        <v>387</v>
      </c>
      <c r="Z540" s="179">
        <v>48</v>
      </c>
      <c r="AA540" s="201">
        <v>237</v>
      </c>
      <c r="AB540" s="202">
        <v>252</v>
      </c>
      <c r="AC540" s="202">
        <v>132</v>
      </c>
      <c r="AD540" s="202">
        <v>33</v>
      </c>
      <c r="AE540" s="179"/>
      <c r="AF540" s="256"/>
    </row>
    <row r="541" spans="1:32" s="223" customFormat="1" ht="15" customHeight="1">
      <c r="A541" s="162" t="s">
        <v>215</v>
      </c>
      <c r="B541" s="162" t="s">
        <v>231</v>
      </c>
      <c r="C541" s="32">
        <v>228529</v>
      </c>
      <c r="D541" s="207">
        <v>3</v>
      </c>
      <c r="E541" s="178">
        <f t="shared" si="32"/>
        <v>201881</v>
      </c>
      <c r="F541" s="195">
        <f t="shared" si="33"/>
        <v>206261</v>
      </c>
      <c r="G541" s="201">
        <v>168059</v>
      </c>
      <c r="H541" s="202">
        <v>170798</v>
      </c>
      <c r="I541" s="201">
        <v>27418</v>
      </c>
      <c r="J541" s="202">
        <v>27915</v>
      </c>
      <c r="K541" s="201">
        <v>4524</v>
      </c>
      <c r="L541" s="179">
        <v>1880</v>
      </c>
      <c r="M541" s="201">
        <v>0</v>
      </c>
      <c r="N541" s="202">
        <v>5349</v>
      </c>
      <c r="O541" s="202">
        <v>2160</v>
      </c>
      <c r="P541" s="202">
        <v>39</v>
      </c>
      <c r="Q541" s="179"/>
      <c r="R541" s="180"/>
      <c r="S541" s="178">
        <f t="shared" si="34"/>
        <v>20751</v>
      </c>
      <c r="T541" s="195">
        <f t="shared" si="35"/>
        <v>22636</v>
      </c>
      <c r="U541" s="201">
        <v>7633</v>
      </c>
      <c r="V541" s="202">
        <v>7849</v>
      </c>
      <c r="W541" s="201">
        <v>10592</v>
      </c>
      <c r="X541" s="202">
        <v>11244</v>
      </c>
      <c r="Y541" s="201">
        <v>2319</v>
      </c>
      <c r="Z541" s="179">
        <v>207</v>
      </c>
      <c r="AA541" s="201">
        <v>0</v>
      </c>
      <c r="AB541" s="202">
        <v>3225</v>
      </c>
      <c r="AC541" s="202">
        <v>318</v>
      </c>
      <c r="AD541" s="202">
        <v>0</v>
      </c>
      <c r="AE541" s="179"/>
      <c r="AF541" s="256"/>
    </row>
    <row r="542" spans="1:32" s="223" customFormat="1" ht="15" customHeight="1">
      <c r="A542" s="162" t="s">
        <v>215</v>
      </c>
      <c r="B542" s="162" t="s">
        <v>787</v>
      </c>
      <c r="C542" s="32">
        <v>224554</v>
      </c>
      <c r="D542" s="207">
        <v>3</v>
      </c>
      <c r="E542" s="178">
        <f t="shared" si="32"/>
        <v>144503</v>
      </c>
      <c r="F542" s="195">
        <f t="shared" si="33"/>
        <v>147636</v>
      </c>
      <c r="G542" s="201">
        <v>128389</v>
      </c>
      <c r="H542" s="202">
        <v>127000</v>
      </c>
      <c r="I542" s="201">
        <v>12368</v>
      </c>
      <c r="J542" s="202">
        <v>14418</v>
      </c>
      <c r="K542" s="201">
        <v>3116</v>
      </c>
      <c r="L542" s="179">
        <v>630</v>
      </c>
      <c r="M542" s="201">
        <v>0</v>
      </c>
      <c r="N542" s="202">
        <v>5273</v>
      </c>
      <c r="O542" s="202">
        <v>945</v>
      </c>
      <c r="P542" s="202">
        <v>0</v>
      </c>
      <c r="Q542" s="179"/>
      <c r="R542" s="180"/>
      <c r="S542" s="178">
        <f t="shared" si="34"/>
        <v>50774</v>
      </c>
      <c r="T542" s="195">
        <f t="shared" si="35"/>
        <v>51728</v>
      </c>
      <c r="U542" s="201">
        <v>21284</v>
      </c>
      <c r="V542" s="202">
        <v>20460</v>
      </c>
      <c r="W542" s="201">
        <v>23397</v>
      </c>
      <c r="X542" s="202">
        <v>23696</v>
      </c>
      <c r="Y542" s="201">
        <v>3855</v>
      </c>
      <c r="Z542" s="179">
        <v>2238</v>
      </c>
      <c r="AA542" s="201">
        <v>0</v>
      </c>
      <c r="AB542" s="202">
        <v>4950</v>
      </c>
      <c r="AC542" s="202">
        <v>2622</v>
      </c>
      <c r="AD542" s="202">
        <v>0</v>
      </c>
      <c r="AE542" s="179"/>
      <c r="AF542" s="256"/>
    </row>
    <row r="543" spans="1:32" s="223" customFormat="1" ht="15" customHeight="1">
      <c r="A543" s="162" t="s">
        <v>215</v>
      </c>
      <c r="B543" s="162" t="s">
        <v>232</v>
      </c>
      <c r="C543" s="32">
        <v>224147</v>
      </c>
      <c r="D543" s="207">
        <v>3</v>
      </c>
      <c r="E543" s="178">
        <f t="shared" si="32"/>
        <v>175848</v>
      </c>
      <c r="F543" s="195">
        <f t="shared" si="33"/>
        <v>181740</v>
      </c>
      <c r="G543" s="201">
        <v>174134</v>
      </c>
      <c r="H543" s="202">
        <f>179263+321</f>
        <v>179584</v>
      </c>
      <c r="I543" s="201">
        <v>159</v>
      </c>
      <c r="J543" s="202">
        <v>0</v>
      </c>
      <c r="K543" s="201">
        <v>1555</v>
      </c>
      <c r="L543" s="179">
        <v>0</v>
      </c>
      <c r="M543" s="201">
        <v>0</v>
      </c>
      <c r="N543" s="202">
        <v>2156</v>
      </c>
      <c r="O543" s="202">
        <v>0</v>
      </c>
      <c r="P543" s="202">
        <v>0</v>
      </c>
      <c r="Q543" s="179"/>
      <c r="R543" s="180"/>
      <c r="S543" s="178">
        <f t="shared" si="34"/>
        <v>23175</v>
      </c>
      <c r="T543" s="195">
        <f t="shared" si="35"/>
        <v>25001</v>
      </c>
      <c r="U543" s="201">
        <v>21846</v>
      </c>
      <c r="V543" s="202">
        <v>22282</v>
      </c>
      <c r="W543" s="201">
        <v>1140</v>
      </c>
      <c r="X543" s="202">
        <v>285</v>
      </c>
      <c r="Y543" s="201">
        <v>183</v>
      </c>
      <c r="Z543" s="179">
        <v>6</v>
      </c>
      <c r="AA543" s="201">
        <v>0</v>
      </c>
      <c r="AB543" s="202">
        <v>2257</v>
      </c>
      <c r="AC543" s="202">
        <v>57</v>
      </c>
      <c r="AD543" s="202">
        <v>120</v>
      </c>
      <c r="AE543" s="179"/>
      <c r="AF543" s="256"/>
    </row>
    <row r="544" spans="1:32" s="223" customFormat="1" ht="15" customHeight="1">
      <c r="A544" s="162" t="s">
        <v>215</v>
      </c>
      <c r="B544" s="162" t="s">
        <v>233</v>
      </c>
      <c r="C544" s="32">
        <v>228705</v>
      </c>
      <c r="D544" s="207">
        <v>3</v>
      </c>
      <c r="E544" s="178">
        <f t="shared" si="32"/>
        <v>147560</v>
      </c>
      <c r="F544" s="195">
        <f t="shared" si="33"/>
        <v>146504</v>
      </c>
      <c r="G544" s="201">
        <v>134011</v>
      </c>
      <c r="H544" s="202">
        <v>130103</v>
      </c>
      <c r="I544" s="201">
        <v>12324</v>
      </c>
      <c r="J544" s="202">
        <v>15115</v>
      </c>
      <c r="K544" s="201">
        <v>798</v>
      </c>
      <c r="L544" s="179">
        <v>427</v>
      </c>
      <c r="M544" s="201">
        <v>0</v>
      </c>
      <c r="N544" s="202">
        <v>627</v>
      </c>
      <c r="O544" s="202">
        <v>602</v>
      </c>
      <c r="P544" s="202">
        <v>57</v>
      </c>
      <c r="Q544" s="179"/>
      <c r="R544" s="180"/>
      <c r="S544" s="178">
        <f t="shared" si="34"/>
        <v>22464</v>
      </c>
      <c r="T544" s="195">
        <f t="shared" si="35"/>
        <v>26341</v>
      </c>
      <c r="U544" s="201">
        <v>17643</v>
      </c>
      <c r="V544" s="202">
        <v>21268</v>
      </c>
      <c r="W544" s="201">
        <v>2427</v>
      </c>
      <c r="X544" s="202">
        <v>2640</v>
      </c>
      <c r="Y544" s="201">
        <v>1455</v>
      </c>
      <c r="Z544" s="179">
        <v>846</v>
      </c>
      <c r="AA544" s="201">
        <v>93</v>
      </c>
      <c r="AB544" s="202">
        <v>1806</v>
      </c>
      <c r="AC544" s="202">
        <v>609</v>
      </c>
      <c r="AD544" s="202">
        <v>18</v>
      </c>
      <c r="AE544" s="179"/>
      <c r="AF544" s="256"/>
    </row>
    <row r="545" spans="1:32" s="223" customFormat="1" ht="15" customHeight="1">
      <c r="A545" s="162" t="s">
        <v>215</v>
      </c>
      <c r="B545" s="162" t="s">
        <v>234</v>
      </c>
      <c r="C545" s="32">
        <v>229063</v>
      </c>
      <c r="D545" s="207">
        <v>3</v>
      </c>
      <c r="E545" s="178">
        <f t="shared" si="32"/>
        <v>232225</v>
      </c>
      <c r="F545" s="195">
        <f t="shared" si="33"/>
        <v>248987</v>
      </c>
      <c r="G545" s="201">
        <v>232099</v>
      </c>
      <c r="H545" s="202">
        <v>248657</v>
      </c>
      <c r="I545" s="201">
        <v>126</v>
      </c>
      <c r="J545" s="202">
        <v>330</v>
      </c>
      <c r="K545" s="201">
        <v>0</v>
      </c>
      <c r="L545" s="179">
        <v>0</v>
      </c>
      <c r="M545" s="201">
        <v>0</v>
      </c>
      <c r="N545" s="202">
        <v>0</v>
      </c>
      <c r="O545" s="202">
        <v>0</v>
      </c>
      <c r="P545" s="202">
        <v>0</v>
      </c>
      <c r="Q545" s="179"/>
      <c r="R545" s="180"/>
      <c r="S545" s="178">
        <f t="shared" si="34"/>
        <v>43391</v>
      </c>
      <c r="T545" s="195">
        <f t="shared" si="35"/>
        <v>47224</v>
      </c>
      <c r="U545" s="201">
        <v>42798</v>
      </c>
      <c r="V545" s="202">
        <f>46638+11</f>
        <v>46649</v>
      </c>
      <c r="W545" s="201">
        <v>542</v>
      </c>
      <c r="X545" s="202">
        <v>575</v>
      </c>
      <c r="Y545" s="201">
        <v>0</v>
      </c>
      <c r="Z545" s="179">
        <v>0</v>
      </c>
      <c r="AA545" s="201">
        <v>51</v>
      </c>
      <c r="AB545" s="202">
        <v>0</v>
      </c>
      <c r="AC545" s="202">
        <v>0</v>
      </c>
      <c r="AD545" s="202">
        <v>0</v>
      </c>
      <c r="AE545" s="179"/>
      <c r="AF545" s="256"/>
    </row>
    <row r="546" spans="1:32" s="223" customFormat="1" ht="15" customHeight="1">
      <c r="A546" s="162" t="s">
        <v>215</v>
      </c>
      <c r="B546" s="144" t="s">
        <v>536</v>
      </c>
      <c r="C546" s="32">
        <v>228459</v>
      </c>
      <c r="D546" s="207">
        <v>3</v>
      </c>
      <c r="E546" s="178">
        <f t="shared" si="32"/>
        <v>602273</v>
      </c>
      <c r="F546" s="195">
        <f t="shared" si="33"/>
        <v>612820</v>
      </c>
      <c r="G546" s="201">
        <v>585643</v>
      </c>
      <c r="H546" s="202">
        <v>590888</v>
      </c>
      <c r="I546" s="201">
        <v>13183</v>
      </c>
      <c r="J546" s="202">
        <v>17542</v>
      </c>
      <c r="K546" s="201">
        <v>2663</v>
      </c>
      <c r="L546" s="179">
        <v>72</v>
      </c>
      <c r="M546" s="201">
        <v>712</v>
      </c>
      <c r="N546" s="202">
        <v>3450</v>
      </c>
      <c r="O546" s="202">
        <v>234</v>
      </c>
      <c r="P546" s="202">
        <v>706</v>
      </c>
      <c r="Q546" s="179"/>
      <c r="R546" s="180"/>
      <c r="S546" s="178">
        <f t="shared" si="34"/>
        <v>64851</v>
      </c>
      <c r="T546" s="195">
        <f t="shared" si="35"/>
        <v>67125</v>
      </c>
      <c r="U546" s="201">
        <v>48267</v>
      </c>
      <c r="V546" s="202">
        <v>50139</v>
      </c>
      <c r="W546" s="201">
        <v>11610</v>
      </c>
      <c r="X546" s="202">
        <v>12279</v>
      </c>
      <c r="Y546" s="201">
        <v>3927</v>
      </c>
      <c r="Z546" s="179">
        <v>993</v>
      </c>
      <c r="AA546" s="201">
        <v>54</v>
      </c>
      <c r="AB546" s="202">
        <v>3789</v>
      </c>
      <c r="AC546" s="202">
        <v>846</v>
      </c>
      <c r="AD546" s="202">
        <v>72</v>
      </c>
      <c r="AE546" s="179"/>
      <c r="AF546" s="256"/>
    </row>
    <row r="547" spans="1:32" s="223" customFormat="1" ht="15" customHeight="1">
      <c r="A547" s="162" t="s">
        <v>215</v>
      </c>
      <c r="B547" s="162" t="s">
        <v>235</v>
      </c>
      <c r="C547" s="32">
        <v>225414</v>
      </c>
      <c r="D547" s="207">
        <v>3</v>
      </c>
      <c r="E547" s="178">
        <f t="shared" si="32"/>
        <v>93538</v>
      </c>
      <c r="F547" s="195">
        <f t="shared" si="33"/>
        <v>95349</v>
      </c>
      <c r="G547" s="201">
        <v>88849</v>
      </c>
      <c r="H547" s="202">
        <v>90531</v>
      </c>
      <c r="I547" s="201">
        <v>3648</v>
      </c>
      <c r="J547" s="202">
        <v>3327</v>
      </c>
      <c r="K547" s="201">
        <v>1041</v>
      </c>
      <c r="L547" s="179">
        <v>0</v>
      </c>
      <c r="M547" s="201">
        <v>0</v>
      </c>
      <c r="N547" s="202">
        <v>1491</v>
      </c>
      <c r="O547" s="202">
        <v>0</v>
      </c>
      <c r="P547" s="202">
        <v>0</v>
      </c>
      <c r="Q547" s="179"/>
      <c r="R547" s="180"/>
      <c r="S547" s="178">
        <f t="shared" si="34"/>
        <v>54045</v>
      </c>
      <c r="T547" s="195">
        <f t="shared" si="35"/>
        <v>55217</v>
      </c>
      <c r="U547" s="201">
        <v>45471</v>
      </c>
      <c r="V547" s="202">
        <v>44877</v>
      </c>
      <c r="W547" s="201">
        <v>4239</v>
      </c>
      <c r="X547" s="202">
        <v>5109</v>
      </c>
      <c r="Y547" s="201">
        <v>4335</v>
      </c>
      <c r="Z547" s="179">
        <v>0</v>
      </c>
      <c r="AA547" s="201">
        <v>0</v>
      </c>
      <c r="AB547" s="202">
        <v>5231</v>
      </c>
      <c r="AC547" s="202">
        <v>0</v>
      </c>
      <c r="AD547" s="202">
        <v>0</v>
      </c>
      <c r="AE547" s="179"/>
      <c r="AF547" s="256"/>
    </row>
    <row r="548" spans="1:32" s="223" customFormat="1" ht="15" customHeight="1">
      <c r="A548" s="162" t="s">
        <v>215</v>
      </c>
      <c r="B548" s="162" t="s">
        <v>236</v>
      </c>
      <c r="C548" s="32">
        <v>228796</v>
      </c>
      <c r="D548" s="207">
        <v>3</v>
      </c>
      <c r="E548" s="178">
        <f t="shared" si="32"/>
        <v>370170</v>
      </c>
      <c r="F548" s="195">
        <f t="shared" si="33"/>
        <v>378366</v>
      </c>
      <c r="G548" s="201">
        <v>363758</v>
      </c>
      <c r="H548" s="202">
        <v>372783</v>
      </c>
      <c r="I548" s="201">
        <v>5548</v>
      </c>
      <c r="J548" s="202">
        <v>4509</v>
      </c>
      <c r="K548" s="201">
        <v>132</v>
      </c>
      <c r="L548" s="179">
        <v>0</v>
      </c>
      <c r="M548" s="201">
        <v>732</v>
      </c>
      <c r="N548" s="202">
        <v>0</v>
      </c>
      <c r="O548" s="202">
        <v>0</v>
      </c>
      <c r="P548" s="202">
        <v>1074</v>
      </c>
      <c r="Q548" s="179"/>
      <c r="R548" s="180"/>
      <c r="S548" s="178">
        <f t="shared" si="34"/>
        <v>45463</v>
      </c>
      <c r="T548" s="195">
        <f t="shared" si="35"/>
        <v>46090</v>
      </c>
      <c r="U548" s="201">
        <v>43720</v>
      </c>
      <c r="V548" s="202">
        <v>43767</v>
      </c>
      <c r="W548" s="201">
        <v>912</v>
      </c>
      <c r="X548" s="202">
        <v>1390</v>
      </c>
      <c r="Y548" s="201">
        <v>219</v>
      </c>
      <c r="Z548" s="179">
        <v>0</v>
      </c>
      <c r="AA548" s="201">
        <v>612</v>
      </c>
      <c r="AB548" s="202">
        <v>258</v>
      </c>
      <c r="AC548" s="202">
        <v>0</v>
      </c>
      <c r="AD548" s="202">
        <v>675</v>
      </c>
      <c r="AE548" s="179"/>
      <c r="AF548" s="256"/>
    </row>
    <row r="549" spans="1:32" s="223" customFormat="1" ht="15" customHeight="1">
      <c r="A549" s="162" t="s">
        <v>215</v>
      </c>
      <c r="B549" s="162" t="s">
        <v>237</v>
      </c>
      <c r="C549" s="32">
        <v>229027</v>
      </c>
      <c r="D549" s="207">
        <v>3</v>
      </c>
      <c r="E549" s="178">
        <f t="shared" si="32"/>
        <v>515323</v>
      </c>
      <c r="F549" s="195">
        <f t="shared" si="33"/>
        <v>553918</v>
      </c>
      <c r="G549" s="201">
        <v>513405</v>
      </c>
      <c r="H549" s="202">
        <v>547787</v>
      </c>
      <c r="I549" s="201">
        <v>3</v>
      </c>
      <c r="J549" s="202">
        <v>295</v>
      </c>
      <c r="K549" s="201">
        <v>0</v>
      </c>
      <c r="L549" s="179">
        <v>1915</v>
      </c>
      <c r="M549" s="201">
        <v>0</v>
      </c>
      <c r="N549" s="202">
        <v>4203</v>
      </c>
      <c r="O549" s="202">
        <v>1464</v>
      </c>
      <c r="P549" s="202">
        <v>169</v>
      </c>
      <c r="Q549" s="179"/>
      <c r="R549" s="180"/>
      <c r="S549" s="178">
        <f t="shared" si="34"/>
        <v>47372</v>
      </c>
      <c r="T549" s="195">
        <f t="shared" si="35"/>
        <v>51796</v>
      </c>
      <c r="U549" s="201">
        <v>46757</v>
      </c>
      <c r="V549" s="202">
        <v>50761</v>
      </c>
      <c r="W549" s="201">
        <v>111</v>
      </c>
      <c r="X549" s="202">
        <v>477</v>
      </c>
      <c r="Y549" s="201">
        <v>273</v>
      </c>
      <c r="Z549" s="179">
        <v>231</v>
      </c>
      <c r="AA549" s="201">
        <v>0</v>
      </c>
      <c r="AB549" s="202">
        <v>477</v>
      </c>
      <c r="AC549" s="202">
        <v>81</v>
      </c>
      <c r="AD549" s="202">
        <v>0</v>
      </c>
      <c r="AE549" s="179"/>
      <c r="AF549" s="256"/>
    </row>
    <row r="550" spans="1:32" s="223" customFormat="1" ht="15" customHeight="1">
      <c r="A550" s="162" t="s">
        <v>215</v>
      </c>
      <c r="B550" s="162" t="s">
        <v>238</v>
      </c>
      <c r="C550" s="32">
        <v>228802</v>
      </c>
      <c r="D550" s="207">
        <v>3</v>
      </c>
      <c r="E550" s="178">
        <f t="shared" si="32"/>
        <v>90948</v>
      </c>
      <c r="F550" s="195">
        <f t="shared" si="33"/>
        <v>102750</v>
      </c>
      <c r="G550" s="201">
        <v>83664</v>
      </c>
      <c r="H550" s="202">
        <v>92437</v>
      </c>
      <c r="I550" s="201">
        <v>0</v>
      </c>
      <c r="J550" s="202">
        <v>0</v>
      </c>
      <c r="K550" s="201">
        <v>1475</v>
      </c>
      <c r="L550" s="179">
        <v>5662</v>
      </c>
      <c r="M550" s="201">
        <v>147</v>
      </c>
      <c r="N550" s="202">
        <v>1558</v>
      </c>
      <c r="O550" s="202">
        <v>8752</v>
      </c>
      <c r="P550" s="202">
        <v>3</v>
      </c>
      <c r="Q550" s="179"/>
      <c r="R550" s="180"/>
      <c r="S550" s="178">
        <f t="shared" si="34"/>
        <v>13396</v>
      </c>
      <c r="T550" s="195">
        <f t="shared" si="35"/>
        <v>14157</v>
      </c>
      <c r="U550" s="201">
        <v>10993</v>
      </c>
      <c r="V550" s="202">
        <v>11289</v>
      </c>
      <c r="W550" s="201">
        <v>0</v>
      </c>
      <c r="X550" s="202">
        <v>0</v>
      </c>
      <c r="Y550" s="201">
        <v>1725</v>
      </c>
      <c r="Z550" s="179">
        <v>678</v>
      </c>
      <c r="AA550" s="201">
        <v>0</v>
      </c>
      <c r="AB550" s="202">
        <v>2028</v>
      </c>
      <c r="AC550" s="202">
        <v>609</v>
      </c>
      <c r="AD550" s="202">
        <v>231</v>
      </c>
      <c r="AE550" s="179"/>
      <c r="AF550" s="256"/>
    </row>
    <row r="551" spans="1:32" s="223" customFormat="1" ht="15" customHeight="1">
      <c r="A551" s="162" t="s">
        <v>215</v>
      </c>
      <c r="B551" s="162" t="s">
        <v>239</v>
      </c>
      <c r="C551" s="32">
        <v>227368</v>
      </c>
      <c r="D551" s="207">
        <v>3</v>
      </c>
      <c r="E551" s="178">
        <f t="shared" si="32"/>
        <v>365887</v>
      </c>
      <c r="F551" s="195">
        <f t="shared" si="33"/>
        <v>391070</v>
      </c>
      <c r="G551" s="201">
        <v>360890</v>
      </c>
      <c r="H551" s="202">
        <v>383572</v>
      </c>
      <c r="I551" s="201">
        <v>1851</v>
      </c>
      <c r="J551" s="202">
        <v>2007</v>
      </c>
      <c r="K551" s="201">
        <v>2648</v>
      </c>
      <c r="L551" s="179">
        <v>498</v>
      </c>
      <c r="M551" s="201">
        <v>0</v>
      </c>
      <c r="N551" s="202">
        <v>5077</v>
      </c>
      <c r="O551" s="202">
        <v>414</v>
      </c>
      <c r="P551" s="202">
        <v>0</v>
      </c>
      <c r="Q551" s="179"/>
      <c r="R551" s="180"/>
      <c r="S551" s="178">
        <f t="shared" si="34"/>
        <v>29408</v>
      </c>
      <c r="T551" s="195">
        <f t="shared" si="35"/>
        <v>32663</v>
      </c>
      <c r="U551" s="201">
        <v>28424</v>
      </c>
      <c r="V551" s="202">
        <v>31247</v>
      </c>
      <c r="W551" s="201">
        <v>0</v>
      </c>
      <c r="X551" s="202">
        <v>144</v>
      </c>
      <c r="Y551" s="201">
        <v>426</v>
      </c>
      <c r="Z551" s="179">
        <v>558</v>
      </c>
      <c r="AA551" s="201">
        <v>0</v>
      </c>
      <c r="AB551" s="202">
        <v>1272</v>
      </c>
      <c r="AC551" s="202">
        <v>0</v>
      </c>
      <c r="AD551" s="202">
        <v>0</v>
      </c>
      <c r="AE551" s="179"/>
      <c r="AF551" s="256"/>
    </row>
    <row r="552" spans="1:32" s="223" customFormat="1" ht="15" customHeight="1">
      <c r="A552" s="162" t="s">
        <v>215</v>
      </c>
      <c r="B552" s="162" t="s">
        <v>240</v>
      </c>
      <c r="C552" s="32">
        <v>229814</v>
      </c>
      <c r="D552" s="207">
        <v>3</v>
      </c>
      <c r="E552" s="178">
        <f t="shared" si="32"/>
        <v>151759</v>
      </c>
      <c r="F552" s="195">
        <f t="shared" si="33"/>
        <v>154428</v>
      </c>
      <c r="G552" s="201">
        <v>129844</v>
      </c>
      <c r="H552" s="202">
        <v>130131</v>
      </c>
      <c r="I552" s="201">
        <v>449</v>
      </c>
      <c r="J552" s="202">
        <v>318</v>
      </c>
      <c r="K552" s="201">
        <v>21466</v>
      </c>
      <c r="L552" s="179">
        <v>0</v>
      </c>
      <c r="M552" s="201">
        <v>0</v>
      </c>
      <c r="N552" s="202">
        <v>23952</v>
      </c>
      <c r="O552" s="202">
        <v>27</v>
      </c>
      <c r="P552" s="202">
        <v>0</v>
      </c>
      <c r="Q552" s="179"/>
      <c r="R552" s="180"/>
      <c r="S552" s="178">
        <f t="shared" si="34"/>
        <v>20226</v>
      </c>
      <c r="T552" s="195">
        <f t="shared" si="35"/>
        <v>21584</v>
      </c>
      <c r="U552" s="201">
        <v>13275</v>
      </c>
      <c r="V552" s="202">
        <v>14325</v>
      </c>
      <c r="W552" s="201">
        <v>1268</v>
      </c>
      <c r="X552" s="202">
        <v>735</v>
      </c>
      <c r="Y552" s="201">
        <v>5629</v>
      </c>
      <c r="Z552" s="179">
        <v>54</v>
      </c>
      <c r="AA552" s="201">
        <v>0</v>
      </c>
      <c r="AB552" s="202">
        <v>6524</v>
      </c>
      <c r="AC552" s="202">
        <v>0</v>
      </c>
      <c r="AD552" s="202">
        <v>0</v>
      </c>
      <c r="AE552" s="179"/>
      <c r="AF552" s="256"/>
    </row>
    <row r="553" spans="1:32" s="223" customFormat="1" ht="15" customHeight="1">
      <c r="A553" s="162" t="s">
        <v>215</v>
      </c>
      <c r="B553" s="162" t="s">
        <v>241</v>
      </c>
      <c r="C553" s="32">
        <v>226152</v>
      </c>
      <c r="D553" s="207">
        <v>4</v>
      </c>
      <c r="E553" s="178">
        <f t="shared" si="32"/>
        <v>82749</v>
      </c>
      <c r="F553" s="195">
        <f t="shared" si="33"/>
        <v>85312</v>
      </c>
      <c r="G553" s="201">
        <v>82722</v>
      </c>
      <c r="H553" s="202">
        <v>84595</v>
      </c>
      <c r="I553" s="201">
        <v>0</v>
      </c>
      <c r="J553" s="202">
        <v>0</v>
      </c>
      <c r="K553" s="201">
        <v>27</v>
      </c>
      <c r="L553" s="179">
        <v>0</v>
      </c>
      <c r="M553" s="201">
        <v>0</v>
      </c>
      <c r="N553" s="202">
        <v>711</v>
      </c>
      <c r="O553" s="202">
        <v>6</v>
      </c>
      <c r="P553" s="202">
        <v>0</v>
      </c>
      <c r="Q553" s="179"/>
      <c r="R553" s="180"/>
      <c r="S553" s="178">
        <f t="shared" si="34"/>
        <v>10125</v>
      </c>
      <c r="T553" s="195">
        <f t="shared" si="35"/>
        <v>11749</v>
      </c>
      <c r="U553" s="201">
        <v>10125</v>
      </c>
      <c r="V553" s="202">
        <v>11504</v>
      </c>
      <c r="W553" s="201">
        <v>0</v>
      </c>
      <c r="X553" s="202">
        <v>0</v>
      </c>
      <c r="Y553" s="201">
        <v>0</v>
      </c>
      <c r="Z553" s="179">
        <v>0</v>
      </c>
      <c r="AA553" s="201">
        <v>0</v>
      </c>
      <c r="AB553" s="202">
        <v>245</v>
      </c>
      <c r="AC553" s="202">
        <v>0</v>
      </c>
      <c r="AD553" s="202">
        <v>0</v>
      </c>
      <c r="AE553" s="179"/>
      <c r="AF553" s="256"/>
    </row>
    <row r="554" spans="1:32" s="223" customFormat="1" ht="15" customHeight="1">
      <c r="A554" s="162" t="s">
        <v>215</v>
      </c>
      <c r="B554" s="162" t="s">
        <v>242</v>
      </c>
      <c r="C554" s="32">
        <v>224545</v>
      </c>
      <c r="D554" s="207">
        <v>4</v>
      </c>
      <c r="E554" s="178">
        <f t="shared" si="32"/>
        <v>20336</v>
      </c>
      <c r="F554" s="195">
        <f t="shared" si="33"/>
        <v>21584</v>
      </c>
      <c r="G554" s="201">
        <v>16440</v>
      </c>
      <c r="H554" s="202">
        <v>16877</v>
      </c>
      <c r="I554" s="201">
        <v>1575</v>
      </c>
      <c r="J554" s="202">
        <v>2043</v>
      </c>
      <c r="K554" s="201">
        <v>1929</v>
      </c>
      <c r="L554" s="179">
        <v>392</v>
      </c>
      <c r="M554" s="201">
        <v>0</v>
      </c>
      <c r="N554" s="202">
        <v>2259</v>
      </c>
      <c r="O554" s="202">
        <v>405</v>
      </c>
      <c r="P554" s="202">
        <v>0</v>
      </c>
      <c r="Q554" s="179"/>
      <c r="R554" s="180"/>
      <c r="S554" s="178">
        <f t="shared" si="34"/>
        <v>7465</v>
      </c>
      <c r="T554" s="195">
        <f t="shared" si="35"/>
        <v>8772</v>
      </c>
      <c r="U554" s="201">
        <v>5317</v>
      </c>
      <c r="V554" s="202">
        <v>6834</v>
      </c>
      <c r="W554" s="201">
        <v>1071</v>
      </c>
      <c r="X554" s="202">
        <v>609</v>
      </c>
      <c r="Y554" s="201">
        <v>1077</v>
      </c>
      <c r="Z554" s="179">
        <v>0</v>
      </c>
      <c r="AA554" s="201">
        <v>0</v>
      </c>
      <c r="AB554" s="202">
        <v>1329</v>
      </c>
      <c r="AC554" s="202">
        <v>0</v>
      </c>
      <c r="AD554" s="202">
        <v>0</v>
      </c>
      <c r="AE554" s="179"/>
      <c r="AF554" s="256"/>
    </row>
    <row r="555" spans="1:32" s="223" customFormat="1" ht="15" customHeight="1">
      <c r="A555" s="162" t="s">
        <v>215</v>
      </c>
      <c r="B555" s="162" t="s">
        <v>243</v>
      </c>
      <c r="C555" s="32">
        <v>227377</v>
      </c>
      <c r="D555" s="207">
        <v>4</v>
      </c>
      <c r="E555" s="178">
        <f t="shared" si="32"/>
        <v>54591</v>
      </c>
      <c r="F555" s="195">
        <f t="shared" si="33"/>
        <v>56775</v>
      </c>
      <c r="G555" s="201">
        <v>53002</v>
      </c>
      <c r="H555" s="202">
        <v>54263</v>
      </c>
      <c r="I555" s="201">
        <v>138</v>
      </c>
      <c r="J555" s="202">
        <v>569</v>
      </c>
      <c r="K555" s="201">
        <v>995</v>
      </c>
      <c r="L555" s="179">
        <v>0</v>
      </c>
      <c r="M555" s="201">
        <v>456</v>
      </c>
      <c r="N555" s="202">
        <v>1943</v>
      </c>
      <c r="O555" s="202">
        <v>0</v>
      </c>
      <c r="P555" s="202">
        <v>0</v>
      </c>
      <c r="Q555" s="179"/>
      <c r="R555" s="180"/>
      <c r="S555" s="178">
        <f t="shared" si="34"/>
        <v>9200</v>
      </c>
      <c r="T555" s="195">
        <f t="shared" si="35"/>
        <v>10533</v>
      </c>
      <c r="U555" s="201">
        <v>7647</v>
      </c>
      <c r="V555" s="202">
        <v>9219</v>
      </c>
      <c r="W555" s="201">
        <v>99</v>
      </c>
      <c r="X555" s="202">
        <v>156</v>
      </c>
      <c r="Y555" s="201">
        <v>1454</v>
      </c>
      <c r="Z555" s="179">
        <v>0</v>
      </c>
      <c r="AA555" s="201">
        <v>0</v>
      </c>
      <c r="AB555" s="202">
        <v>1146</v>
      </c>
      <c r="AC555" s="202">
        <v>0</v>
      </c>
      <c r="AD555" s="202">
        <v>12</v>
      </c>
      <c r="AE555" s="179"/>
      <c r="AF555" s="256"/>
    </row>
    <row r="556" spans="1:32" s="223" customFormat="1" ht="15" customHeight="1">
      <c r="A556" s="162" t="s">
        <v>215</v>
      </c>
      <c r="B556" s="162" t="s">
        <v>244</v>
      </c>
      <c r="C556" s="32">
        <v>229018</v>
      </c>
      <c r="D556" s="207">
        <v>4</v>
      </c>
      <c r="E556" s="178">
        <f t="shared" si="32"/>
        <v>58638</v>
      </c>
      <c r="F556" s="195">
        <f t="shared" si="33"/>
        <v>64761</v>
      </c>
      <c r="G556" s="201">
        <v>52650</v>
      </c>
      <c r="H556" s="202">
        <v>54275</v>
      </c>
      <c r="I556" s="201">
        <v>0</v>
      </c>
      <c r="J556" s="202">
        <v>1789</v>
      </c>
      <c r="K556" s="201">
        <v>5484</v>
      </c>
      <c r="L556" s="179">
        <v>504</v>
      </c>
      <c r="M556" s="201">
        <v>0</v>
      </c>
      <c r="N556" s="202">
        <v>8247</v>
      </c>
      <c r="O556" s="202">
        <v>450</v>
      </c>
      <c r="P556" s="202">
        <v>0</v>
      </c>
      <c r="Q556" s="179"/>
      <c r="R556" s="180"/>
      <c r="S556" s="178">
        <f t="shared" si="34"/>
        <v>7068</v>
      </c>
      <c r="T556" s="195">
        <f t="shared" si="35"/>
        <v>7715</v>
      </c>
      <c r="U556" s="201">
        <v>5068</v>
      </c>
      <c r="V556" s="202">
        <v>5496</v>
      </c>
      <c r="W556" s="201">
        <v>0</v>
      </c>
      <c r="X556" s="202">
        <v>39</v>
      </c>
      <c r="Y556" s="201">
        <v>1895</v>
      </c>
      <c r="Z556" s="179">
        <v>105</v>
      </c>
      <c r="AA556" s="201">
        <v>0</v>
      </c>
      <c r="AB556" s="202">
        <v>2156</v>
      </c>
      <c r="AC556" s="202">
        <v>24</v>
      </c>
      <c r="AD556" s="202">
        <v>0</v>
      </c>
      <c r="AE556" s="179"/>
      <c r="AF556" s="256"/>
    </row>
    <row r="557" spans="1:32" s="223" customFormat="1" ht="15" customHeight="1">
      <c r="A557" s="162" t="s">
        <v>215</v>
      </c>
      <c r="B557" s="162" t="s">
        <v>245</v>
      </c>
      <c r="C557" s="32" t="s">
        <v>537</v>
      </c>
      <c r="D557" s="207">
        <v>5</v>
      </c>
      <c r="E557" s="178">
        <f t="shared" si="32"/>
        <v>15486</v>
      </c>
      <c r="F557" s="195">
        <f t="shared" si="33"/>
        <v>15063</v>
      </c>
      <c r="G557" s="201">
        <v>14712</v>
      </c>
      <c r="H557" s="202">
        <v>14028</v>
      </c>
      <c r="I557" s="201">
        <v>48</v>
      </c>
      <c r="J557" s="202">
        <v>0</v>
      </c>
      <c r="K557" s="201">
        <v>666</v>
      </c>
      <c r="L557" s="179">
        <v>0</v>
      </c>
      <c r="M557" s="201">
        <v>60</v>
      </c>
      <c r="N557" s="202">
        <v>1035</v>
      </c>
      <c r="O557" s="202">
        <v>0</v>
      </c>
      <c r="P557" s="202">
        <v>0</v>
      </c>
      <c r="Q557" s="179"/>
      <c r="R557" s="180"/>
      <c r="S557" s="178">
        <f t="shared" si="34"/>
        <v>4014</v>
      </c>
      <c r="T557" s="195">
        <f t="shared" si="35"/>
        <v>3825</v>
      </c>
      <c r="U557" s="201">
        <v>3348</v>
      </c>
      <c r="V557" s="202">
        <v>3588</v>
      </c>
      <c r="W557" s="201">
        <v>126</v>
      </c>
      <c r="X557" s="202">
        <v>0</v>
      </c>
      <c r="Y557" s="201">
        <v>120</v>
      </c>
      <c r="Z557" s="179">
        <v>0</v>
      </c>
      <c r="AA557" s="201">
        <v>420</v>
      </c>
      <c r="AB557" s="202">
        <v>237</v>
      </c>
      <c r="AC557" s="202">
        <v>0</v>
      </c>
      <c r="AD557" s="202">
        <v>0</v>
      </c>
      <c r="AE557" s="179"/>
      <c r="AF557" s="256"/>
    </row>
    <row r="558" spans="1:32" s="223" customFormat="1" ht="15" customHeight="1">
      <c r="A558" s="162" t="s">
        <v>215</v>
      </c>
      <c r="B558" s="162" t="s">
        <v>246</v>
      </c>
      <c r="C558" s="32">
        <v>225502</v>
      </c>
      <c r="D558" s="207">
        <v>5</v>
      </c>
      <c r="E558" s="178">
        <f t="shared" si="32"/>
        <v>24813</v>
      </c>
      <c r="F558" s="195">
        <f t="shared" si="33"/>
        <v>25772</v>
      </c>
      <c r="G558" s="201">
        <v>11201</v>
      </c>
      <c r="H558" s="202">
        <v>10455</v>
      </c>
      <c r="I558" s="201">
        <v>4102</v>
      </c>
      <c r="J558" s="202">
        <v>4108</v>
      </c>
      <c r="K558" s="201">
        <v>8514</v>
      </c>
      <c r="L558" s="179">
        <v>996</v>
      </c>
      <c r="M558" s="201">
        <v>0</v>
      </c>
      <c r="N558" s="202">
        <v>10360</v>
      </c>
      <c r="O558" s="202">
        <v>849</v>
      </c>
      <c r="P558" s="202">
        <v>0</v>
      </c>
      <c r="Q558" s="179"/>
      <c r="R558" s="180"/>
      <c r="S558" s="178">
        <f t="shared" si="34"/>
        <v>19517</v>
      </c>
      <c r="T558" s="195">
        <f t="shared" si="35"/>
        <v>18720</v>
      </c>
      <c r="U558" s="201">
        <v>1967</v>
      </c>
      <c r="V558" s="202">
        <v>1932</v>
      </c>
      <c r="W558" s="201">
        <v>5724</v>
      </c>
      <c r="X558" s="202">
        <v>5109</v>
      </c>
      <c r="Y558" s="201">
        <v>10938</v>
      </c>
      <c r="Z558" s="179">
        <v>888</v>
      </c>
      <c r="AA558" s="201">
        <v>0</v>
      </c>
      <c r="AB558" s="202">
        <v>10962</v>
      </c>
      <c r="AC558" s="202">
        <v>717</v>
      </c>
      <c r="AD558" s="202">
        <v>0</v>
      </c>
      <c r="AE558" s="179"/>
      <c r="AF558" s="256"/>
    </row>
    <row r="559" spans="1:32" s="223" customFormat="1" ht="15" customHeight="1">
      <c r="A559" s="162" t="s">
        <v>215</v>
      </c>
      <c r="B559" s="162" t="s">
        <v>247</v>
      </c>
      <c r="C559" s="32">
        <v>228714</v>
      </c>
      <c r="D559" s="207">
        <v>6</v>
      </c>
      <c r="E559" s="178">
        <f t="shared" si="32"/>
        <v>43761</v>
      </c>
      <c r="F559" s="195">
        <f t="shared" si="33"/>
        <v>45218</v>
      </c>
      <c r="G559" s="201">
        <v>43761</v>
      </c>
      <c r="H559" s="202">
        <v>45218</v>
      </c>
      <c r="I559" s="201">
        <v>0</v>
      </c>
      <c r="J559" s="202">
        <v>0</v>
      </c>
      <c r="K559" s="201">
        <v>0</v>
      </c>
      <c r="L559" s="179">
        <v>0</v>
      </c>
      <c r="M559" s="201">
        <v>0</v>
      </c>
      <c r="N559" s="202">
        <v>0</v>
      </c>
      <c r="O559" s="202">
        <v>0</v>
      </c>
      <c r="P559" s="202">
        <v>0</v>
      </c>
      <c r="Q559" s="179"/>
      <c r="R559" s="180"/>
      <c r="S559" s="178">
        <f t="shared" si="34"/>
        <v>494</v>
      </c>
      <c r="T559" s="195">
        <f t="shared" si="35"/>
        <v>538</v>
      </c>
      <c r="U559" s="201">
        <v>494</v>
      </c>
      <c r="V559" s="202">
        <v>538</v>
      </c>
      <c r="W559" s="201">
        <v>0</v>
      </c>
      <c r="X559" s="202">
        <v>0</v>
      </c>
      <c r="Y559" s="201">
        <v>0</v>
      </c>
      <c r="Z559" s="179">
        <v>0</v>
      </c>
      <c r="AA559" s="201">
        <v>0</v>
      </c>
      <c r="AB559" s="202">
        <v>0</v>
      </c>
      <c r="AC559" s="202">
        <v>0</v>
      </c>
      <c r="AD559" s="202">
        <v>0</v>
      </c>
      <c r="AE559" s="179"/>
      <c r="AF559" s="256"/>
    </row>
    <row r="560" spans="1:32" s="223" customFormat="1" ht="15" customHeight="1">
      <c r="A560" s="162" t="s">
        <v>215</v>
      </c>
      <c r="B560" s="162" t="s">
        <v>248</v>
      </c>
      <c r="C560" s="32">
        <v>225432</v>
      </c>
      <c r="D560" s="207">
        <v>6</v>
      </c>
      <c r="E560" s="178">
        <f t="shared" si="32"/>
        <v>234338</v>
      </c>
      <c r="F560" s="195">
        <f t="shared" si="33"/>
        <v>241598</v>
      </c>
      <c r="G560" s="201">
        <v>213187</v>
      </c>
      <c r="H560" s="202">
        <v>217429</v>
      </c>
      <c r="I560" s="201">
        <v>8623</v>
      </c>
      <c r="J560" s="202">
        <v>10051</v>
      </c>
      <c r="K560" s="201">
        <v>7779</v>
      </c>
      <c r="L560" s="179">
        <v>4494</v>
      </c>
      <c r="M560" s="201">
        <v>255</v>
      </c>
      <c r="N560" s="202">
        <v>9534</v>
      </c>
      <c r="O560" s="202">
        <v>4230</v>
      </c>
      <c r="P560" s="202">
        <v>354</v>
      </c>
      <c r="Q560" s="179"/>
      <c r="R560" s="180"/>
      <c r="S560" s="178">
        <f t="shared" si="34"/>
        <v>1899</v>
      </c>
      <c r="T560" s="195">
        <f t="shared" si="35"/>
        <v>2214</v>
      </c>
      <c r="U560" s="201">
        <v>1596</v>
      </c>
      <c r="V560" s="202">
        <v>1989</v>
      </c>
      <c r="W560" s="201">
        <v>291</v>
      </c>
      <c r="X560" s="202">
        <v>219</v>
      </c>
      <c r="Y560" s="201">
        <v>0</v>
      </c>
      <c r="Z560" s="179">
        <v>12</v>
      </c>
      <c r="AA560" s="201">
        <v>0</v>
      </c>
      <c r="AB560" s="202">
        <v>0</v>
      </c>
      <c r="AC560" s="202">
        <v>6</v>
      </c>
      <c r="AD560" s="202">
        <v>0</v>
      </c>
      <c r="AE560" s="179"/>
      <c r="AF560" s="256"/>
    </row>
    <row r="561" spans="1:32" s="223" customFormat="1" ht="15" customHeight="1">
      <c r="A561" s="162" t="s">
        <v>215</v>
      </c>
      <c r="B561" s="162" t="s">
        <v>249</v>
      </c>
      <c r="C561" s="32">
        <v>222576</v>
      </c>
      <c r="D561" s="207">
        <v>8</v>
      </c>
      <c r="E561" s="178">
        <f t="shared" si="32"/>
        <v>183128</v>
      </c>
      <c r="F561" s="195">
        <f t="shared" si="33"/>
        <v>191725</v>
      </c>
      <c r="G561" s="201">
        <v>158846</v>
      </c>
      <c r="H561" s="229">
        <v>161602</v>
      </c>
      <c r="I561" s="201">
        <v>5145</v>
      </c>
      <c r="J561" s="229">
        <v>6413</v>
      </c>
      <c r="K561" s="201">
        <v>14210</v>
      </c>
      <c r="L561" s="179">
        <v>1176</v>
      </c>
      <c r="M561" s="201">
        <v>3751</v>
      </c>
      <c r="N561" s="229">
        <v>20034</v>
      </c>
      <c r="O561" s="202">
        <v>840</v>
      </c>
      <c r="P561" s="229">
        <v>2836</v>
      </c>
      <c r="Q561" s="179"/>
      <c r="R561" s="180"/>
      <c r="S561" s="178">
        <f t="shared" si="34"/>
        <v>0</v>
      </c>
      <c r="T561" s="195">
        <f t="shared" si="35"/>
        <v>0</v>
      </c>
      <c r="U561" s="201"/>
      <c r="V561" s="202"/>
      <c r="W561" s="201"/>
      <c r="X561" s="202"/>
      <c r="Y561" s="201"/>
      <c r="Z561" s="179">
        <v>0</v>
      </c>
      <c r="AA561" s="201"/>
      <c r="AB561" s="202"/>
      <c r="AC561" s="202"/>
      <c r="AD561" s="202"/>
      <c r="AE561" s="179"/>
      <c r="AF561" s="256"/>
    </row>
    <row r="562" spans="1:32" s="223" customFormat="1" ht="15" customHeight="1">
      <c r="A562" s="162" t="s">
        <v>215</v>
      </c>
      <c r="B562" s="162" t="s">
        <v>250</v>
      </c>
      <c r="C562" s="32">
        <v>222992</v>
      </c>
      <c r="D562" s="207">
        <v>8</v>
      </c>
      <c r="E562" s="178">
        <f t="shared" si="32"/>
        <v>578328</v>
      </c>
      <c r="F562" s="195">
        <f t="shared" si="33"/>
        <v>573948</v>
      </c>
      <c r="G562" s="201">
        <v>484224</v>
      </c>
      <c r="H562" s="229">
        <v>477004</v>
      </c>
      <c r="I562" s="201">
        <v>20862</v>
      </c>
      <c r="J562" s="229">
        <v>19812</v>
      </c>
      <c r="K562" s="201">
        <v>25685</v>
      </c>
      <c r="L562" s="179">
        <v>0</v>
      </c>
      <c r="M562" s="201">
        <v>47557</v>
      </c>
      <c r="N562" s="229">
        <v>77132</v>
      </c>
      <c r="O562" s="202">
        <v>0</v>
      </c>
      <c r="P562" s="229"/>
      <c r="Q562" s="179"/>
      <c r="R562" s="180"/>
      <c r="S562" s="178">
        <f t="shared" si="34"/>
        <v>0</v>
      </c>
      <c r="T562" s="195">
        <f t="shared" si="35"/>
        <v>0</v>
      </c>
      <c r="U562" s="201"/>
      <c r="V562" s="202"/>
      <c r="W562" s="201"/>
      <c r="X562" s="202"/>
      <c r="Y562" s="201"/>
      <c r="Z562" s="179">
        <v>0</v>
      </c>
      <c r="AA562" s="201"/>
      <c r="AB562" s="202"/>
      <c r="AC562" s="202"/>
      <c r="AD562" s="202"/>
      <c r="AE562" s="179"/>
      <c r="AF562" s="256"/>
    </row>
    <row r="563" spans="1:32" s="223" customFormat="1" ht="15" customHeight="1">
      <c r="A563" s="162" t="s">
        <v>215</v>
      </c>
      <c r="B563" s="162" t="s">
        <v>251</v>
      </c>
      <c r="C563" s="32">
        <v>223427</v>
      </c>
      <c r="D563" s="207">
        <v>8</v>
      </c>
      <c r="E563" s="178">
        <f t="shared" si="32"/>
        <v>315245</v>
      </c>
      <c r="F563" s="195">
        <f t="shared" si="33"/>
        <v>310899</v>
      </c>
      <c r="G563" s="201">
        <v>65961</v>
      </c>
      <c r="H563" s="229">
        <v>60484</v>
      </c>
      <c r="I563" s="201">
        <v>234704</v>
      </c>
      <c r="J563" s="229">
        <v>232936</v>
      </c>
      <c r="K563" s="201">
        <v>12810</v>
      </c>
      <c r="L563" s="179">
        <v>0</v>
      </c>
      <c r="M563" s="201">
        <v>1770</v>
      </c>
      <c r="N563" s="229">
        <v>16876</v>
      </c>
      <c r="O563" s="202">
        <v>0</v>
      </c>
      <c r="P563" s="229">
        <v>603</v>
      </c>
      <c r="Q563" s="179"/>
      <c r="R563" s="180"/>
      <c r="S563" s="178">
        <f t="shared" si="34"/>
        <v>0</v>
      </c>
      <c r="T563" s="195">
        <f t="shared" si="35"/>
        <v>0</v>
      </c>
      <c r="U563" s="201"/>
      <c r="V563" s="202"/>
      <c r="W563" s="201"/>
      <c r="X563" s="202"/>
      <c r="Y563" s="201"/>
      <c r="Z563" s="179">
        <v>0</v>
      </c>
      <c r="AA563" s="201"/>
      <c r="AB563" s="202"/>
      <c r="AC563" s="202"/>
      <c r="AD563" s="202"/>
      <c r="AE563" s="179"/>
      <c r="AF563" s="256"/>
    </row>
    <row r="564" spans="1:32" s="223" customFormat="1" ht="15" customHeight="1">
      <c r="A564" s="162" t="s">
        <v>215</v>
      </c>
      <c r="B564" s="162" t="s">
        <v>252</v>
      </c>
      <c r="C564" s="32">
        <v>223524</v>
      </c>
      <c r="D564" s="207">
        <v>8</v>
      </c>
      <c r="E564" s="178">
        <f t="shared" si="32"/>
        <v>190981</v>
      </c>
      <c r="F564" s="195">
        <f t="shared" si="33"/>
        <v>190373</v>
      </c>
      <c r="G564" s="201">
        <v>176043</v>
      </c>
      <c r="H564" s="229">
        <v>168069</v>
      </c>
      <c r="I564" s="201"/>
      <c r="J564" s="229"/>
      <c r="K564" s="201">
        <v>9575</v>
      </c>
      <c r="L564" s="179">
        <v>0</v>
      </c>
      <c r="M564" s="201">
        <v>5363</v>
      </c>
      <c r="N564" s="229">
        <v>14088</v>
      </c>
      <c r="O564" s="202">
        <v>0</v>
      </c>
      <c r="P564" s="229">
        <v>8216</v>
      </c>
      <c r="Q564" s="179"/>
      <c r="R564" s="180"/>
      <c r="S564" s="178">
        <f t="shared" si="34"/>
        <v>0</v>
      </c>
      <c r="T564" s="195">
        <f t="shared" si="35"/>
        <v>0</v>
      </c>
      <c r="U564" s="201"/>
      <c r="V564" s="202"/>
      <c r="W564" s="201"/>
      <c r="X564" s="202"/>
      <c r="Y564" s="201"/>
      <c r="Z564" s="179">
        <v>0</v>
      </c>
      <c r="AA564" s="201"/>
      <c r="AB564" s="202"/>
      <c r="AC564" s="202"/>
      <c r="AD564" s="202"/>
      <c r="AE564" s="179"/>
      <c r="AF564" s="256"/>
    </row>
    <row r="565" spans="1:32" s="223" customFormat="1" ht="15" customHeight="1">
      <c r="A565" s="162" t="s">
        <v>215</v>
      </c>
      <c r="B565" s="162" t="s">
        <v>253</v>
      </c>
      <c r="C565" s="32">
        <v>223816</v>
      </c>
      <c r="D565" s="207">
        <v>8</v>
      </c>
      <c r="E565" s="178">
        <f t="shared" si="32"/>
        <v>233928</v>
      </c>
      <c r="F565" s="195">
        <f t="shared" si="33"/>
        <v>233883</v>
      </c>
      <c r="G565" s="201">
        <v>124260</v>
      </c>
      <c r="H565" s="229">
        <v>116943</v>
      </c>
      <c r="I565" s="201">
        <v>69408</v>
      </c>
      <c r="J565" s="229">
        <v>66038</v>
      </c>
      <c r="K565" s="201">
        <v>39432</v>
      </c>
      <c r="L565" s="179">
        <v>828</v>
      </c>
      <c r="M565" s="201"/>
      <c r="N565" s="229">
        <v>49939</v>
      </c>
      <c r="O565" s="202">
        <v>963</v>
      </c>
      <c r="P565" s="229"/>
      <c r="Q565" s="179"/>
      <c r="R565" s="180"/>
      <c r="S565" s="178">
        <f t="shared" si="34"/>
        <v>0</v>
      </c>
      <c r="T565" s="195">
        <f t="shared" si="35"/>
        <v>0</v>
      </c>
      <c r="U565" s="201"/>
      <c r="V565" s="202"/>
      <c r="W565" s="201"/>
      <c r="X565" s="202"/>
      <c r="Y565" s="201"/>
      <c r="Z565" s="179">
        <v>0</v>
      </c>
      <c r="AA565" s="201"/>
      <c r="AB565" s="202"/>
      <c r="AC565" s="202"/>
      <c r="AD565" s="202"/>
      <c r="AE565" s="179"/>
      <c r="AF565" s="256"/>
    </row>
    <row r="566" spans="1:32" s="223" customFormat="1" ht="15" customHeight="1">
      <c r="A566" s="162" t="s">
        <v>215</v>
      </c>
      <c r="B566" s="162" t="s">
        <v>254</v>
      </c>
      <c r="C566" s="32">
        <v>247834</v>
      </c>
      <c r="D566" s="207">
        <v>8</v>
      </c>
      <c r="E566" s="178">
        <f t="shared" si="32"/>
        <v>325913</v>
      </c>
      <c r="F566" s="195">
        <f t="shared" si="33"/>
        <v>349374</v>
      </c>
      <c r="G566" s="201">
        <v>301363</v>
      </c>
      <c r="H566" s="229">
        <v>321780</v>
      </c>
      <c r="I566" s="201">
        <v>2470</v>
      </c>
      <c r="J566" s="229">
        <v>2729</v>
      </c>
      <c r="K566" s="201">
        <v>15444</v>
      </c>
      <c r="L566" s="179">
        <v>357</v>
      </c>
      <c r="M566" s="201">
        <v>6279</v>
      </c>
      <c r="N566" s="229">
        <v>16224</v>
      </c>
      <c r="O566" s="202">
        <v>321</v>
      </c>
      <c r="P566" s="229">
        <v>8320</v>
      </c>
      <c r="Q566" s="179"/>
      <c r="R566" s="180"/>
      <c r="S566" s="178">
        <f t="shared" si="34"/>
        <v>0</v>
      </c>
      <c r="T566" s="195">
        <f t="shared" si="35"/>
        <v>0</v>
      </c>
      <c r="U566" s="201"/>
      <c r="V566" s="202"/>
      <c r="W566" s="201"/>
      <c r="X566" s="202"/>
      <c r="Y566" s="201"/>
      <c r="Z566" s="179">
        <v>0</v>
      </c>
      <c r="AA566" s="201"/>
      <c r="AB566" s="202"/>
      <c r="AC566" s="202"/>
      <c r="AD566" s="202"/>
      <c r="AE566" s="179"/>
      <c r="AF566" s="256"/>
    </row>
    <row r="567" spans="1:32" s="223" customFormat="1" ht="15" customHeight="1">
      <c r="A567" s="162" t="s">
        <v>215</v>
      </c>
      <c r="B567" s="162" t="s">
        <v>255</v>
      </c>
      <c r="C567" s="32">
        <v>224350</v>
      </c>
      <c r="D567" s="207">
        <v>8</v>
      </c>
      <c r="E567" s="178">
        <f t="shared" si="32"/>
        <v>223061</v>
      </c>
      <c r="F567" s="195">
        <f t="shared" si="33"/>
        <v>221792</v>
      </c>
      <c r="G567" s="201">
        <v>202370</v>
      </c>
      <c r="H567" s="229">
        <v>199124</v>
      </c>
      <c r="I567" s="201">
        <v>2370</v>
      </c>
      <c r="J567" s="229">
        <v>2237</v>
      </c>
      <c r="K567" s="201">
        <v>14489</v>
      </c>
      <c r="L567" s="179">
        <v>0</v>
      </c>
      <c r="M567" s="201">
        <v>3832</v>
      </c>
      <c r="N567" s="229">
        <v>17635</v>
      </c>
      <c r="O567" s="202">
        <v>87</v>
      </c>
      <c r="P567" s="229">
        <v>2709</v>
      </c>
      <c r="Q567" s="179"/>
      <c r="R567" s="180"/>
      <c r="S567" s="178">
        <f t="shared" si="34"/>
        <v>0</v>
      </c>
      <c r="T567" s="195">
        <f t="shared" si="35"/>
        <v>0</v>
      </c>
      <c r="U567" s="201"/>
      <c r="V567" s="202"/>
      <c r="W567" s="201"/>
      <c r="X567" s="202"/>
      <c r="Y567" s="201"/>
      <c r="Z567" s="179">
        <v>0</v>
      </c>
      <c r="AA567" s="201"/>
      <c r="AB567" s="202"/>
      <c r="AC567" s="202"/>
      <c r="AD567" s="202"/>
      <c r="AE567" s="179"/>
      <c r="AF567" s="256"/>
    </row>
    <row r="568" spans="1:32" s="223" customFormat="1" ht="15" customHeight="1">
      <c r="A568" s="162" t="s">
        <v>215</v>
      </c>
      <c r="B568" s="162" t="s">
        <v>256</v>
      </c>
      <c r="C568" s="32">
        <v>224572</v>
      </c>
      <c r="D568" s="207">
        <v>8</v>
      </c>
      <c r="E568" s="178">
        <f t="shared" si="32"/>
        <v>195988</v>
      </c>
      <c r="F568" s="195">
        <f t="shared" si="33"/>
        <v>187438</v>
      </c>
      <c r="G568" s="201">
        <v>171105</v>
      </c>
      <c r="H568" s="229">
        <v>166916</v>
      </c>
      <c r="I568" s="201"/>
      <c r="J568" s="229"/>
      <c r="K568" s="201">
        <v>16077</v>
      </c>
      <c r="L568" s="179">
        <v>0</v>
      </c>
      <c r="M568" s="201">
        <v>8806</v>
      </c>
      <c r="N568" s="229">
        <v>11903</v>
      </c>
      <c r="O568" s="202">
        <v>0</v>
      </c>
      <c r="P568" s="229">
        <v>8619</v>
      </c>
      <c r="Q568" s="179"/>
      <c r="R568" s="180"/>
      <c r="S568" s="178">
        <f t="shared" si="34"/>
        <v>0</v>
      </c>
      <c r="T568" s="195">
        <f t="shared" si="35"/>
        <v>0</v>
      </c>
      <c r="U568" s="201"/>
      <c r="V568" s="202"/>
      <c r="W568" s="201"/>
      <c r="X568" s="202"/>
      <c r="Y568" s="201"/>
      <c r="Z568" s="179">
        <v>0</v>
      </c>
      <c r="AA568" s="201"/>
      <c r="AB568" s="202"/>
      <c r="AC568" s="202"/>
      <c r="AD568" s="202"/>
      <c r="AE568" s="179"/>
      <c r="AF568" s="256"/>
    </row>
    <row r="569" spans="1:32" s="223" customFormat="1" ht="15" customHeight="1">
      <c r="A569" s="162" t="s">
        <v>215</v>
      </c>
      <c r="B569" s="162" t="s">
        <v>257</v>
      </c>
      <c r="C569" s="32">
        <v>224642</v>
      </c>
      <c r="D569" s="207">
        <v>8</v>
      </c>
      <c r="E569" s="178">
        <f t="shared" si="32"/>
        <v>449699</v>
      </c>
      <c r="F569" s="195">
        <f t="shared" si="33"/>
        <v>489142</v>
      </c>
      <c r="G569" s="201">
        <v>433070</v>
      </c>
      <c r="H569" s="229">
        <v>472346</v>
      </c>
      <c r="I569" s="201">
        <v>3432</v>
      </c>
      <c r="J569" s="229">
        <v>397</v>
      </c>
      <c r="K569" s="201">
        <v>9809</v>
      </c>
      <c r="L569" s="179">
        <v>1078</v>
      </c>
      <c r="M569" s="201">
        <v>2310</v>
      </c>
      <c r="N569" s="229">
        <v>12839</v>
      </c>
      <c r="O569" s="202">
        <v>826</v>
      </c>
      <c r="P569" s="229">
        <v>2734</v>
      </c>
      <c r="Q569" s="179"/>
      <c r="R569" s="180"/>
      <c r="S569" s="178">
        <f t="shared" si="34"/>
        <v>0</v>
      </c>
      <c r="T569" s="195">
        <f t="shared" si="35"/>
        <v>0</v>
      </c>
      <c r="U569" s="201"/>
      <c r="V569" s="202"/>
      <c r="W569" s="201"/>
      <c r="X569" s="202"/>
      <c r="Y569" s="201"/>
      <c r="Z569" s="179">
        <v>0</v>
      </c>
      <c r="AA569" s="201"/>
      <c r="AB569" s="202"/>
      <c r="AC569" s="202"/>
      <c r="AD569" s="202"/>
      <c r="AE569" s="179"/>
      <c r="AF569" s="256"/>
    </row>
    <row r="570" spans="1:32" s="223" customFormat="1" ht="15" customHeight="1">
      <c r="A570" s="162" t="s">
        <v>215</v>
      </c>
      <c r="B570" s="162" t="s">
        <v>258</v>
      </c>
      <c r="C570" s="32">
        <v>225423</v>
      </c>
      <c r="D570" s="207">
        <v>8</v>
      </c>
      <c r="E570" s="178">
        <f t="shared" si="32"/>
        <v>768685</v>
      </c>
      <c r="F570" s="195">
        <f t="shared" si="33"/>
        <v>780516</v>
      </c>
      <c r="G570" s="201">
        <v>515342</v>
      </c>
      <c r="H570" s="229">
        <v>518781</v>
      </c>
      <c r="I570" s="201">
        <v>196123</v>
      </c>
      <c r="J570" s="229">
        <v>196366</v>
      </c>
      <c r="K570" s="201">
        <v>53480</v>
      </c>
      <c r="L570" s="179">
        <v>0</v>
      </c>
      <c r="M570" s="201">
        <v>3740</v>
      </c>
      <c r="N570" s="229">
        <v>62006</v>
      </c>
      <c r="O570" s="202">
        <v>0</v>
      </c>
      <c r="P570" s="229">
        <v>3363</v>
      </c>
      <c r="Q570" s="179"/>
      <c r="R570" s="180"/>
      <c r="S570" s="178">
        <f t="shared" si="34"/>
        <v>0</v>
      </c>
      <c r="T570" s="195">
        <f t="shared" si="35"/>
        <v>0</v>
      </c>
      <c r="U570" s="201"/>
      <c r="V570" s="202"/>
      <c r="W570" s="201"/>
      <c r="X570" s="202"/>
      <c r="Y570" s="201"/>
      <c r="Z570" s="179">
        <v>0</v>
      </c>
      <c r="AA570" s="201"/>
      <c r="AB570" s="202"/>
      <c r="AC570" s="202"/>
      <c r="AD570" s="202"/>
      <c r="AE570" s="179"/>
      <c r="AF570" s="256"/>
    </row>
    <row r="571" spans="1:32" s="223" customFormat="1" ht="15" customHeight="1">
      <c r="A571" s="162" t="s">
        <v>215</v>
      </c>
      <c r="B571" s="162" t="s">
        <v>259</v>
      </c>
      <c r="C571" s="32">
        <v>226134</v>
      </c>
      <c r="D571" s="207">
        <v>8</v>
      </c>
      <c r="E571" s="178">
        <f t="shared" si="32"/>
        <v>159706</v>
      </c>
      <c r="F571" s="195">
        <f t="shared" si="33"/>
        <v>161099</v>
      </c>
      <c r="G571" s="201">
        <v>148649</v>
      </c>
      <c r="H571" s="229">
        <v>145958</v>
      </c>
      <c r="I571" s="201"/>
      <c r="J571" s="229">
        <v>12</v>
      </c>
      <c r="K571" s="201">
        <v>10880</v>
      </c>
      <c r="L571" s="179">
        <v>96</v>
      </c>
      <c r="M571" s="201">
        <v>81</v>
      </c>
      <c r="N571" s="229">
        <v>14946</v>
      </c>
      <c r="O571" s="202">
        <v>180</v>
      </c>
      <c r="P571" s="229">
        <v>3</v>
      </c>
      <c r="Q571" s="179"/>
      <c r="R571" s="180"/>
      <c r="S571" s="178">
        <f t="shared" si="34"/>
        <v>0</v>
      </c>
      <c r="T571" s="195">
        <f t="shared" si="35"/>
        <v>0</v>
      </c>
      <c r="U571" s="201"/>
      <c r="V571" s="202"/>
      <c r="W571" s="201"/>
      <c r="X571" s="202"/>
      <c r="Y571" s="201"/>
      <c r="Z571" s="179">
        <v>0</v>
      </c>
      <c r="AA571" s="201"/>
      <c r="AB571" s="202"/>
      <c r="AC571" s="202"/>
      <c r="AD571" s="202"/>
      <c r="AE571" s="179"/>
      <c r="AF571" s="256"/>
    </row>
    <row r="572" spans="1:32" s="223" customFormat="1" ht="15" customHeight="1">
      <c r="A572" s="162" t="s">
        <v>215</v>
      </c>
      <c r="B572" s="162" t="s">
        <v>280</v>
      </c>
      <c r="C572" s="32">
        <v>226578</v>
      </c>
      <c r="D572" s="207">
        <v>8</v>
      </c>
      <c r="E572" s="178">
        <f t="shared" si="32"/>
        <v>159606</v>
      </c>
      <c r="F572" s="195">
        <f t="shared" si="33"/>
        <v>166623</v>
      </c>
      <c r="G572" s="201">
        <v>142095</v>
      </c>
      <c r="H572" s="229">
        <v>146379</v>
      </c>
      <c r="I572" s="201">
        <v>3014</v>
      </c>
      <c r="J572" s="229">
        <v>3009</v>
      </c>
      <c r="K572" s="201">
        <v>12270</v>
      </c>
      <c r="L572" s="179">
        <v>937</v>
      </c>
      <c r="M572" s="201">
        <v>1290</v>
      </c>
      <c r="N572" s="229">
        <v>15606</v>
      </c>
      <c r="O572" s="202">
        <v>987</v>
      </c>
      <c r="P572" s="229">
        <v>642</v>
      </c>
      <c r="Q572" s="179"/>
      <c r="R572" s="180"/>
      <c r="S572" s="178">
        <f t="shared" si="34"/>
        <v>0</v>
      </c>
      <c r="T572" s="195">
        <f t="shared" si="35"/>
        <v>0</v>
      </c>
      <c r="U572" s="201"/>
      <c r="V572" s="202"/>
      <c r="W572" s="201"/>
      <c r="X572" s="202"/>
      <c r="Y572" s="201"/>
      <c r="Z572" s="179">
        <v>0</v>
      </c>
      <c r="AA572" s="201"/>
      <c r="AB572" s="202"/>
      <c r="AC572" s="202"/>
      <c r="AD572" s="202"/>
      <c r="AE572" s="179"/>
      <c r="AF572" s="256"/>
    </row>
    <row r="573" spans="1:32" s="223" customFormat="1" ht="15" customHeight="1">
      <c r="A573" s="162" t="s">
        <v>215</v>
      </c>
      <c r="B573" s="162" t="s">
        <v>260</v>
      </c>
      <c r="C573" s="32">
        <v>227182</v>
      </c>
      <c r="D573" s="207">
        <v>8</v>
      </c>
      <c r="E573" s="178">
        <f t="shared" si="32"/>
        <v>651442</v>
      </c>
      <c r="F573" s="195">
        <f t="shared" si="33"/>
        <v>685108</v>
      </c>
      <c r="G573" s="201">
        <v>599807</v>
      </c>
      <c r="H573" s="229">
        <v>616624</v>
      </c>
      <c r="I573" s="201">
        <v>874</v>
      </c>
      <c r="J573" s="229">
        <v>929</v>
      </c>
      <c r="K573" s="201">
        <v>46634</v>
      </c>
      <c r="L573" s="179">
        <v>12</v>
      </c>
      <c r="M573" s="201">
        <v>4115</v>
      </c>
      <c r="N573" s="229">
        <v>63278</v>
      </c>
      <c r="O573" s="202">
        <v>0</v>
      </c>
      <c r="P573" s="229">
        <v>4277</v>
      </c>
      <c r="Q573" s="179"/>
      <c r="R573" s="180"/>
      <c r="S573" s="178">
        <f t="shared" si="34"/>
        <v>0</v>
      </c>
      <c r="T573" s="195">
        <f t="shared" si="35"/>
        <v>0</v>
      </c>
      <c r="U573" s="201"/>
      <c r="V573" s="202"/>
      <c r="W573" s="201"/>
      <c r="X573" s="202"/>
      <c r="Y573" s="201"/>
      <c r="Z573" s="179">
        <v>0</v>
      </c>
      <c r="AA573" s="201"/>
      <c r="AB573" s="202"/>
      <c r="AC573" s="202"/>
      <c r="AD573" s="202"/>
      <c r="AE573" s="179"/>
      <c r="AF573" s="256"/>
    </row>
    <row r="574" spans="1:32" s="223" customFormat="1" ht="15" customHeight="1">
      <c r="A574" s="162" t="s">
        <v>215</v>
      </c>
      <c r="B574" s="162" t="s">
        <v>261</v>
      </c>
      <c r="C574" s="32">
        <v>227191</v>
      </c>
      <c r="D574" s="207">
        <v>8</v>
      </c>
      <c r="E574" s="178">
        <f t="shared" si="32"/>
        <v>161877</v>
      </c>
      <c r="F574" s="195">
        <f t="shared" si="33"/>
        <v>156125</v>
      </c>
      <c r="G574" s="201">
        <v>148336</v>
      </c>
      <c r="H574" s="229">
        <v>139853</v>
      </c>
      <c r="I574" s="201">
        <v>9</v>
      </c>
      <c r="J574" s="229"/>
      <c r="K574" s="201">
        <v>10479</v>
      </c>
      <c r="L574" s="179">
        <v>0</v>
      </c>
      <c r="M574" s="201">
        <v>3053</v>
      </c>
      <c r="N574" s="229">
        <v>12941</v>
      </c>
      <c r="O574" s="202">
        <v>0</v>
      </c>
      <c r="P574" s="229">
        <v>3331</v>
      </c>
      <c r="Q574" s="179"/>
      <c r="R574" s="180"/>
      <c r="S574" s="178">
        <f t="shared" si="34"/>
        <v>0</v>
      </c>
      <c r="T574" s="195">
        <f t="shared" si="35"/>
        <v>0</v>
      </c>
      <c r="U574" s="201"/>
      <c r="V574" s="202"/>
      <c r="W574" s="201"/>
      <c r="X574" s="202"/>
      <c r="Y574" s="201"/>
      <c r="Z574" s="179">
        <v>0</v>
      </c>
      <c r="AA574" s="201"/>
      <c r="AB574" s="202"/>
      <c r="AC574" s="202"/>
      <c r="AD574" s="202"/>
      <c r="AE574" s="179"/>
      <c r="AF574" s="256"/>
    </row>
    <row r="575" spans="1:32" s="223" customFormat="1" ht="15" customHeight="1">
      <c r="A575" s="162" t="s">
        <v>215</v>
      </c>
      <c r="B575" s="162" t="s">
        <v>262</v>
      </c>
      <c r="C575" s="32">
        <v>227766</v>
      </c>
      <c r="D575" s="207">
        <v>8</v>
      </c>
      <c r="E575" s="178">
        <f t="shared" si="32"/>
        <v>265805</v>
      </c>
      <c r="F575" s="195">
        <f t="shared" si="33"/>
        <v>275845</v>
      </c>
      <c r="G575" s="201">
        <v>254279</v>
      </c>
      <c r="H575" s="229">
        <v>261272</v>
      </c>
      <c r="I575" s="201"/>
      <c r="J575" s="229"/>
      <c r="K575" s="201">
        <v>5895</v>
      </c>
      <c r="L575" s="179">
        <v>0</v>
      </c>
      <c r="M575" s="201">
        <v>5631</v>
      </c>
      <c r="N575" s="229">
        <v>8708</v>
      </c>
      <c r="O575" s="202">
        <v>0</v>
      </c>
      <c r="P575" s="229">
        <v>5865</v>
      </c>
      <c r="Q575" s="179"/>
      <c r="R575" s="180"/>
      <c r="S575" s="178">
        <f t="shared" si="34"/>
        <v>0</v>
      </c>
      <c r="T575" s="195">
        <f t="shared" si="35"/>
        <v>0</v>
      </c>
      <c r="U575" s="201"/>
      <c r="V575" s="202"/>
      <c r="W575" s="201"/>
      <c r="X575" s="202"/>
      <c r="Y575" s="201"/>
      <c r="Z575" s="179">
        <v>0</v>
      </c>
      <c r="AA575" s="201"/>
      <c r="AB575" s="202"/>
      <c r="AC575" s="202"/>
      <c r="AD575" s="202"/>
      <c r="AE575" s="179"/>
      <c r="AF575" s="256"/>
    </row>
    <row r="576" spans="1:32" s="223" customFormat="1" ht="15" customHeight="1">
      <c r="A576" s="162" t="s">
        <v>215</v>
      </c>
      <c r="B576" s="162" t="s">
        <v>263</v>
      </c>
      <c r="C576" s="32">
        <v>227924</v>
      </c>
      <c r="D576" s="207">
        <v>8</v>
      </c>
      <c r="E576" s="178">
        <f t="shared" si="32"/>
        <v>442393</v>
      </c>
      <c r="F576" s="195">
        <f t="shared" si="33"/>
        <v>440959</v>
      </c>
      <c r="G576" s="201">
        <v>394453</v>
      </c>
      <c r="H576" s="229">
        <v>388534</v>
      </c>
      <c r="I576" s="201">
        <v>5854</v>
      </c>
      <c r="J576" s="229">
        <v>6170</v>
      </c>
      <c r="K576" s="201">
        <v>34613</v>
      </c>
      <c r="L576" s="179">
        <v>90</v>
      </c>
      <c r="M576" s="201">
        <v>7383</v>
      </c>
      <c r="N576" s="229">
        <v>38685</v>
      </c>
      <c r="O576" s="202">
        <v>152</v>
      </c>
      <c r="P576" s="229">
        <v>7418</v>
      </c>
      <c r="Q576" s="179"/>
      <c r="R576" s="180"/>
      <c r="S576" s="178">
        <f t="shared" si="34"/>
        <v>0</v>
      </c>
      <c r="T576" s="195">
        <f t="shared" si="35"/>
        <v>0</v>
      </c>
      <c r="U576" s="201"/>
      <c r="V576" s="202"/>
      <c r="W576" s="201"/>
      <c r="X576" s="202"/>
      <c r="Y576" s="201"/>
      <c r="Z576" s="179">
        <v>0</v>
      </c>
      <c r="AA576" s="201"/>
      <c r="AB576" s="202"/>
      <c r="AC576" s="202"/>
      <c r="AD576" s="202"/>
      <c r="AE576" s="179"/>
      <c r="AF576" s="256"/>
    </row>
    <row r="577" spans="1:32" s="223" customFormat="1" ht="15" customHeight="1">
      <c r="A577" s="162" t="s">
        <v>215</v>
      </c>
      <c r="B577" s="162" t="s">
        <v>538</v>
      </c>
      <c r="C577" s="32">
        <v>227979</v>
      </c>
      <c r="D577" s="207">
        <v>8</v>
      </c>
      <c r="E577" s="178">
        <f t="shared" si="32"/>
        <v>461929</v>
      </c>
      <c r="F577" s="195">
        <f t="shared" si="33"/>
        <v>476311</v>
      </c>
      <c r="G577" s="201">
        <v>442986</v>
      </c>
      <c r="H577" s="229">
        <v>446004</v>
      </c>
      <c r="I577" s="201">
        <v>678</v>
      </c>
      <c r="J577" s="229">
        <v>1913</v>
      </c>
      <c r="K577" s="201">
        <v>16873</v>
      </c>
      <c r="L577" s="179">
        <v>0</v>
      </c>
      <c r="M577" s="201">
        <v>1392</v>
      </c>
      <c r="N577" s="229">
        <v>26496</v>
      </c>
      <c r="O577" s="202">
        <v>192</v>
      </c>
      <c r="P577" s="229">
        <v>1706</v>
      </c>
      <c r="Q577" s="179"/>
      <c r="R577" s="180"/>
      <c r="S577" s="178">
        <f t="shared" si="34"/>
        <v>0</v>
      </c>
      <c r="T577" s="195">
        <f t="shared" si="35"/>
        <v>0</v>
      </c>
      <c r="U577" s="201"/>
      <c r="V577" s="202"/>
      <c r="W577" s="201"/>
      <c r="X577" s="202"/>
      <c r="Y577" s="201"/>
      <c r="Z577" s="179">
        <v>0</v>
      </c>
      <c r="AA577" s="201"/>
      <c r="AB577" s="202"/>
      <c r="AC577" s="202"/>
      <c r="AD577" s="202"/>
      <c r="AE577" s="179"/>
      <c r="AF577" s="256"/>
    </row>
    <row r="578" spans="1:32" s="223" customFormat="1" ht="15" customHeight="1">
      <c r="A578" s="162" t="s">
        <v>215</v>
      </c>
      <c r="B578" s="162" t="s">
        <v>264</v>
      </c>
      <c r="C578" s="32">
        <v>228158</v>
      </c>
      <c r="D578" s="207">
        <v>8</v>
      </c>
      <c r="E578" s="178">
        <f t="shared" si="32"/>
        <v>200670</v>
      </c>
      <c r="F578" s="195">
        <f t="shared" si="33"/>
        <v>205336</v>
      </c>
      <c r="G578" s="201">
        <v>104851</v>
      </c>
      <c r="H578" s="229">
        <v>106103</v>
      </c>
      <c r="I578" s="201">
        <v>83253</v>
      </c>
      <c r="J578" s="229">
        <v>83904</v>
      </c>
      <c r="K578" s="201">
        <v>10364</v>
      </c>
      <c r="L578" s="179">
        <v>810</v>
      </c>
      <c r="M578" s="201">
        <v>1392</v>
      </c>
      <c r="N578" s="229">
        <v>15329</v>
      </c>
      <c r="O578" s="202">
        <v>0</v>
      </c>
      <c r="P578" s="229"/>
      <c r="Q578" s="179"/>
      <c r="R578" s="180"/>
      <c r="S578" s="178">
        <f t="shared" si="34"/>
        <v>0</v>
      </c>
      <c r="T578" s="195">
        <f t="shared" si="35"/>
        <v>0</v>
      </c>
      <c r="U578" s="201"/>
      <c r="V578" s="202"/>
      <c r="W578" s="201"/>
      <c r="X578" s="202"/>
      <c r="Y578" s="201"/>
      <c r="Z578" s="179">
        <v>0</v>
      </c>
      <c r="AA578" s="201"/>
      <c r="AB578" s="202"/>
      <c r="AC578" s="202"/>
      <c r="AD578" s="202"/>
      <c r="AE578" s="179"/>
      <c r="AF578" s="256"/>
    </row>
    <row r="579" spans="1:32" s="223" customFormat="1" ht="15" customHeight="1">
      <c r="A579" s="162" t="s">
        <v>215</v>
      </c>
      <c r="B579" s="162" t="s">
        <v>788</v>
      </c>
      <c r="C579" s="32">
        <v>409315</v>
      </c>
      <c r="D579" s="207">
        <v>8</v>
      </c>
      <c r="E579" s="178">
        <f t="shared" si="32"/>
        <v>310137</v>
      </c>
      <c r="F579" s="195">
        <f t="shared" si="33"/>
        <v>325898</v>
      </c>
      <c r="G579" s="201">
        <v>295623</v>
      </c>
      <c r="H579" s="229">
        <v>308068</v>
      </c>
      <c r="I579" s="201"/>
      <c r="J579" s="229"/>
      <c r="K579" s="201">
        <v>13457</v>
      </c>
      <c r="L579" s="179">
        <v>613</v>
      </c>
      <c r="M579" s="201">
        <v>444</v>
      </c>
      <c r="N579" s="229">
        <v>16759</v>
      </c>
      <c r="O579" s="202">
        <v>510</v>
      </c>
      <c r="P579" s="229">
        <v>561</v>
      </c>
      <c r="Q579" s="179"/>
      <c r="R579" s="180"/>
      <c r="S579" s="178">
        <f t="shared" si="34"/>
        <v>0</v>
      </c>
      <c r="T579" s="195">
        <f t="shared" si="35"/>
        <v>0</v>
      </c>
      <c r="U579" s="201"/>
      <c r="V579" s="202"/>
      <c r="W579" s="201"/>
      <c r="X579" s="202"/>
      <c r="Y579" s="201"/>
      <c r="Z579" s="179">
        <v>0</v>
      </c>
      <c r="AA579" s="201"/>
      <c r="AB579" s="202"/>
      <c r="AC579" s="202"/>
      <c r="AD579" s="202"/>
      <c r="AE579" s="179"/>
      <c r="AF579" s="256"/>
    </row>
    <row r="580" spans="1:32" s="223" customFormat="1" ht="15" customHeight="1">
      <c r="A580" s="162" t="s">
        <v>215</v>
      </c>
      <c r="B580" s="162" t="s">
        <v>265</v>
      </c>
      <c r="C580" s="32">
        <v>227854</v>
      </c>
      <c r="D580" s="207">
        <v>8</v>
      </c>
      <c r="E580" s="178">
        <f t="shared" si="32"/>
        <v>212499</v>
      </c>
      <c r="F580" s="195">
        <f t="shared" si="33"/>
        <v>228625</v>
      </c>
      <c r="G580" s="201">
        <v>197636</v>
      </c>
      <c r="H580" s="229">
        <v>211098</v>
      </c>
      <c r="I580" s="201">
        <v>3495</v>
      </c>
      <c r="J580" s="229">
        <v>3158</v>
      </c>
      <c r="K580" s="201">
        <v>8308</v>
      </c>
      <c r="L580" s="179">
        <v>0</v>
      </c>
      <c r="M580" s="201">
        <v>3060</v>
      </c>
      <c r="N580" s="229">
        <v>10349</v>
      </c>
      <c r="O580" s="202">
        <v>0</v>
      </c>
      <c r="P580" s="229">
        <v>4020</v>
      </c>
      <c r="Q580" s="179"/>
      <c r="R580" s="180"/>
      <c r="S580" s="178">
        <f t="shared" si="34"/>
        <v>0</v>
      </c>
      <c r="T580" s="195">
        <f t="shared" si="35"/>
        <v>0</v>
      </c>
      <c r="U580" s="201"/>
      <c r="V580" s="202"/>
      <c r="W580" s="201"/>
      <c r="X580" s="202"/>
      <c r="Y580" s="201"/>
      <c r="Z580" s="179">
        <v>0</v>
      </c>
      <c r="AA580" s="201"/>
      <c r="AB580" s="202"/>
      <c r="AC580" s="202"/>
      <c r="AD580" s="202"/>
      <c r="AE580" s="179"/>
      <c r="AF580" s="256"/>
    </row>
    <row r="581" spans="1:32" s="223" customFormat="1" ht="15" customHeight="1">
      <c r="A581" s="162" t="s">
        <v>215</v>
      </c>
      <c r="B581" s="162" t="s">
        <v>539</v>
      </c>
      <c r="C581" s="32">
        <v>228547</v>
      </c>
      <c r="D581" s="207">
        <v>8</v>
      </c>
      <c r="E581" s="178">
        <f t="shared" si="32"/>
        <v>654353</v>
      </c>
      <c r="F581" s="195">
        <f t="shared" si="33"/>
        <v>651084</v>
      </c>
      <c r="G581" s="201">
        <v>596246</v>
      </c>
      <c r="H581" s="229">
        <v>593437</v>
      </c>
      <c r="I581" s="201"/>
      <c r="J581" s="229">
        <v>69</v>
      </c>
      <c r="K581" s="201">
        <v>30061</v>
      </c>
      <c r="L581" s="179">
        <v>0</v>
      </c>
      <c r="M581" s="201">
        <v>28046</v>
      </c>
      <c r="N581" s="229">
        <v>28877</v>
      </c>
      <c r="O581" s="202">
        <v>137</v>
      </c>
      <c r="P581" s="229">
        <v>28564</v>
      </c>
      <c r="Q581" s="179"/>
      <c r="R581" s="180"/>
      <c r="S581" s="178">
        <f t="shared" si="34"/>
        <v>0</v>
      </c>
      <c r="T581" s="195">
        <f t="shared" si="35"/>
        <v>0</v>
      </c>
      <c r="U581" s="201"/>
      <c r="V581" s="202"/>
      <c r="W581" s="201"/>
      <c r="X581" s="202"/>
      <c r="Y581" s="201"/>
      <c r="Z581" s="179">
        <v>0</v>
      </c>
      <c r="AA581" s="201"/>
      <c r="AB581" s="202"/>
      <c r="AC581" s="202"/>
      <c r="AD581" s="202"/>
      <c r="AE581" s="179"/>
      <c r="AF581" s="256"/>
    </row>
    <row r="582" spans="1:32" s="223" customFormat="1" ht="15" customHeight="1">
      <c r="A582" s="162" t="s">
        <v>215</v>
      </c>
      <c r="B582" s="162" t="s">
        <v>266</v>
      </c>
      <c r="C582" s="32">
        <v>229072</v>
      </c>
      <c r="D582" s="207">
        <v>8</v>
      </c>
      <c r="E582" s="178">
        <f t="shared" si="32"/>
        <v>171995</v>
      </c>
      <c r="F582" s="195">
        <f t="shared" si="33"/>
        <v>182949</v>
      </c>
      <c r="G582" s="201">
        <v>169329</v>
      </c>
      <c r="H582" s="229">
        <v>180835</v>
      </c>
      <c r="I582" s="201">
        <v>1645</v>
      </c>
      <c r="J582" s="229">
        <v>1343</v>
      </c>
      <c r="K582" s="201">
        <v>706</v>
      </c>
      <c r="L582" s="179">
        <v>0</v>
      </c>
      <c r="M582" s="201">
        <v>315</v>
      </c>
      <c r="N582" s="229">
        <v>621</v>
      </c>
      <c r="O582" s="202">
        <v>0</v>
      </c>
      <c r="P582" s="229">
        <v>150</v>
      </c>
      <c r="Q582" s="179"/>
      <c r="R582" s="180"/>
      <c r="S582" s="178">
        <f t="shared" si="34"/>
        <v>0</v>
      </c>
      <c r="T582" s="195">
        <f t="shared" si="35"/>
        <v>0</v>
      </c>
      <c r="U582" s="201"/>
      <c r="V582" s="202"/>
      <c r="W582" s="201"/>
      <c r="X582" s="202"/>
      <c r="Y582" s="201"/>
      <c r="Z582" s="179">
        <v>0</v>
      </c>
      <c r="AA582" s="201"/>
      <c r="AB582" s="202"/>
      <c r="AC582" s="202"/>
      <c r="AD582" s="202"/>
      <c r="AE582" s="179"/>
      <c r="AF582" s="256"/>
    </row>
    <row r="583" spans="1:32" s="223" customFormat="1" ht="15" customHeight="1">
      <c r="A583" s="162" t="s">
        <v>215</v>
      </c>
      <c r="B583" s="162" t="s">
        <v>267</v>
      </c>
      <c r="C583" s="32">
        <v>229355</v>
      </c>
      <c r="D583" s="207">
        <v>8</v>
      </c>
      <c r="E583" s="178">
        <f aca="true" t="shared" si="36" ref="E583:E646">SUM(G583,I583,K583,L583,M583,Q583)</f>
        <v>215186</v>
      </c>
      <c r="F583" s="195">
        <f aca="true" t="shared" si="37" ref="F583:F646">SUM(H583,J583,N583,O583,P583,R583)</f>
        <v>213198</v>
      </c>
      <c r="G583" s="201">
        <v>184336</v>
      </c>
      <c r="H583" s="229">
        <v>173931</v>
      </c>
      <c r="I583" s="201">
        <v>3056</v>
      </c>
      <c r="J583" s="229">
        <v>5222</v>
      </c>
      <c r="K583" s="201">
        <v>23847</v>
      </c>
      <c r="L583" s="179">
        <v>0</v>
      </c>
      <c r="M583" s="201">
        <v>3947</v>
      </c>
      <c r="N583" s="229">
        <v>30652</v>
      </c>
      <c r="O583" s="202">
        <v>0</v>
      </c>
      <c r="P583" s="229">
        <v>3393</v>
      </c>
      <c r="Q583" s="179"/>
      <c r="R583" s="180"/>
      <c r="S583" s="178">
        <f aca="true" t="shared" si="38" ref="S583:S646">SUM(U583,W583,Y583,Z583,AA583,AE583)</f>
        <v>0</v>
      </c>
      <c r="T583" s="195">
        <f aca="true" t="shared" si="39" ref="T583:T646">SUM(V583,X583,AB583,AC583,AD583,AF583)</f>
        <v>0</v>
      </c>
      <c r="U583" s="201"/>
      <c r="V583" s="202"/>
      <c r="W583" s="201"/>
      <c r="X583" s="202"/>
      <c r="Y583" s="201"/>
      <c r="Z583" s="179">
        <v>0</v>
      </c>
      <c r="AA583" s="201"/>
      <c r="AB583" s="202"/>
      <c r="AC583" s="202"/>
      <c r="AD583" s="202"/>
      <c r="AE583" s="179"/>
      <c r="AF583" s="256"/>
    </row>
    <row r="584" spans="1:32" s="223" customFormat="1" ht="15" customHeight="1">
      <c r="A584" s="162" t="s">
        <v>215</v>
      </c>
      <c r="B584" s="162" t="s">
        <v>268</v>
      </c>
      <c r="C584" s="32">
        <v>222567</v>
      </c>
      <c r="D584" s="207">
        <v>9</v>
      </c>
      <c r="E584" s="178">
        <f t="shared" si="36"/>
        <v>100860</v>
      </c>
      <c r="F584" s="195">
        <f t="shared" si="37"/>
        <v>95165</v>
      </c>
      <c r="G584" s="201">
        <v>75336</v>
      </c>
      <c r="H584" s="229">
        <v>77407</v>
      </c>
      <c r="I584" s="201">
        <v>24867</v>
      </c>
      <c r="J584" s="229">
        <v>17438</v>
      </c>
      <c r="K584" s="201">
        <v>657</v>
      </c>
      <c r="L584" s="179">
        <v>0</v>
      </c>
      <c r="M584" s="201"/>
      <c r="N584" s="229">
        <v>320</v>
      </c>
      <c r="O584" s="202">
        <v>0</v>
      </c>
      <c r="P584" s="229"/>
      <c r="Q584" s="179"/>
      <c r="R584" s="180"/>
      <c r="S584" s="178">
        <f t="shared" si="38"/>
        <v>0</v>
      </c>
      <c r="T584" s="195">
        <f t="shared" si="39"/>
        <v>0</v>
      </c>
      <c r="U584" s="201"/>
      <c r="V584" s="202"/>
      <c r="W584" s="201"/>
      <c r="X584" s="202"/>
      <c r="Y584" s="201"/>
      <c r="Z584" s="179">
        <v>0</v>
      </c>
      <c r="AA584" s="201"/>
      <c r="AB584" s="202"/>
      <c r="AC584" s="202"/>
      <c r="AD584" s="202"/>
      <c r="AE584" s="179"/>
      <c r="AF584" s="256"/>
    </row>
    <row r="585" spans="1:32" s="223" customFormat="1" ht="15" customHeight="1">
      <c r="A585" s="162" t="s">
        <v>215</v>
      </c>
      <c r="B585" s="162" t="s">
        <v>269</v>
      </c>
      <c r="C585" s="32">
        <v>222822</v>
      </c>
      <c r="D585" s="207">
        <v>9</v>
      </c>
      <c r="E585" s="178">
        <f t="shared" si="36"/>
        <v>105265</v>
      </c>
      <c r="F585" s="195">
        <f t="shared" si="37"/>
        <v>104290</v>
      </c>
      <c r="G585" s="201">
        <v>86209</v>
      </c>
      <c r="H585" s="229">
        <v>82894</v>
      </c>
      <c r="I585" s="201">
        <v>13267</v>
      </c>
      <c r="J585" s="229">
        <v>12039</v>
      </c>
      <c r="K585" s="201">
        <v>4691</v>
      </c>
      <c r="L585" s="179">
        <v>852</v>
      </c>
      <c r="M585" s="201">
        <v>246</v>
      </c>
      <c r="N585" s="229">
        <v>6806</v>
      </c>
      <c r="O585" s="202">
        <v>2542</v>
      </c>
      <c r="P585" s="229">
        <v>9</v>
      </c>
      <c r="Q585" s="179"/>
      <c r="R585" s="180"/>
      <c r="S585" s="178">
        <f t="shared" si="38"/>
        <v>0</v>
      </c>
      <c r="T585" s="195">
        <f t="shared" si="39"/>
        <v>0</v>
      </c>
      <c r="U585" s="201"/>
      <c r="V585" s="202"/>
      <c r="W585" s="201"/>
      <c r="X585" s="202"/>
      <c r="Y585" s="201"/>
      <c r="Z585" s="179">
        <v>0</v>
      </c>
      <c r="AA585" s="201"/>
      <c r="AB585" s="202"/>
      <c r="AC585" s="202"/>
      <c r="AD585" s="202"/>
      <c r="AE585" s="179"/>
      <c r="AF585" s="256"/>
    </row>
    <row r="586" spans="1:32" s="223" customFormat="1" ht="15" customHeight="1">
      <c r="A586" s="162" t="s">
        <v>215</v>
      </c>
      <c r="B586" s="162" t="s">
        <v>270</v>
      </c>
      <c r="C586" s="32">
        <v>223506</v>
      </c>
      <c r="D586" s="207">
        <v>9</v>
      </c>
      <c r="E586" s="178">
        <f t="shared" si="36"/>
        <v>67637</v>
      </c>
      <c r="F586" s="195">
        <f t="shared" si="37"/>
        <v>67572</v>
      </c>
      <c r="G586" s="201">
        <v>62214</v>
      </c>
      <c r="H586" s="229">
        <v>61763</v>
      </c>
      <c r="I586" s="201">
        <v>2046</v>
      </c>
      <c r="J586" s="229">
        <v>2120</v>
      </c>
      <c r="K586" s="201">
        <v>2062</v>
      </c>
      <c r="L586" s="179">
        <v>261</v>
      </c>
      <c r="M586" s="201">
        <v>1054</v>
      </c>
      <c r="N586" s="229">
        <v>2804</v>
      </c>
      <c r="O586" s="202">
        <v>240</v>
      </c>
      <c r="P586" s="229">
        <v>645</v>
      </c>
      <c r="Q586" s="179"/>
      <c r="R586" s="180"/>
      <c r="S586" s="178">
        <f t="shared" si="38"/>
        <v>0</v>
      </c>
      <c r="T586" s="195">
        <f t="shared" si="39"/>
        <v>0</v>
      </c>
      <c r="U586" s="201"/>
      <c r="V586" s="202"/>
      <c r="W586" s="201"/>
      <c r="X586" s="202"/>
      <c r="Y586" s="201"/>
      <c r="Z586" s="179">
        <v>0</v>
      </c>
      <c r="AA586" s="201"/>
      <c r="AB586" s="202"/>
      <c r="AC586" s="202"/>
      <c r="AD586" s="202"/>
      <c r="AE586" s="179"/>
      <c r="AF586" s="256"/>
    </row>
    <row r="587" spans="1:32" s="223" customFormat="1" ht="15" customHeight="1">
      <c r="A587" s="162" t="s">
        <v>215</v>
      </c>
      <c r="B587" s="162" t="s">
        <v>271</v>
      </c>
      <c r="C587" s="32">
        <v>223773</v>
      </c>
      <c r="D587" s="207">
        <v>9</v>
      </c>
      <c r="E587" s="178">
        <f t="shared" si="36"/>
        <v>81112</v>
      </c>
      <c r="F587" s="195">
        <f t="shared" si="37"/>
        <v>82466</v>
      </c>
      <c r="G587" s="201">
        <v>69232</v>
      </c>
      <c r="H587" s="229">
        <v>68451</v>
      </c>
      <c r="I587" s="201"/>
      <c r="J587" s="229"/>
      <c r="K587" s="201">
        <v>8835</v>
      </c>
      <c r="L587" s="179">
        <v>0</v>
      </c>
      <c r="M587" s="201">
        <v>3045</v>
      </c>
      <c r="N587" s="229">
        <v>11280</v>
      </c>
      <c r="O587" s="202">
        <v>0</v>
      </c>
      <c r="P587" s="229">
        <v>2735</v>
      </c>
      <c r="Q587" s="179"/>
      <c r="R587" s="180"/>
      <c r="S587" s="178">
        <f t="shared" si="38"/>
        <v>0</v>
      </c>
      <c r="T587" s="195">
        <f t="shared" si="39"/>
        <v>0</v>
      </c>
      <c r="U587" s="201"/>
      <c r="V587" s="202"/>
      <c r="W587" s="201"/>
      <c r="X587" s="202"/>
      <c r="Y587" s="201"/>
      <c r="Z587" s="179">
        <v>0</v>
      </c>
      <c r="AA587" s="201"/>
      <c r="AB587" s="202"/>
      <c r="AC587" s="202"/>
      <c r="AD587" s="202"/>
      <c r="AE587" s="179"/>
      <c r="AF587" s="256"/>
    </row>
    <row r="588" spans="1:32" s="223" customFormat="1" ht="15" customHeight="1">
      <c r="A588" s="162" t="s">
        <v>215</v>
      </c>
      <c r="B588" s="162" t="s">
        <v>298</v>
      </c>
      <c r="C588" s="32">
        <v>223898</v>
      </c>
      <c r="D588" s="207">
        <v>9</v>
      </c>
      <c r="E588" s="178">
        <f t="shared" si="36"/>
        <v>68474</v>
      </c>
      <c r="F588" s="195">
        <f t="shared" si="37"/>
        <v>75801</v>
      </c>
      <c r="G588" s="201">
        <v>17085</v>
      </c>
      <c r="H588" s="229">
        <v>19113</v>
      </c>
      <c r="I588" s="201">
        <v>50816</v>
      </c>
      <c r="J588" s="229">
        <v>55568</v>
      </c>
      <c r="K588" s="201">
        <v>231</v>
      </c>
      <c r="L588" s="179">
        <v>0</v>
      </c>
      <c r="M588" s="201">
        <v>342</v>
      </c>
      <c r="N588" s="229">
        <v>997</v>
      </c>
      <c r="O588" s="202">
        <v>0</v>
      </c>
      <c r="P588" s="229">
        <v>123</v>
      </c>
      <c r="Q588" s="179"/>
      <c r="R588" s="180"/>
      <c r="S588" s="178">
        <f t="shared" si="38"/>
        <v>0</v>
      </c>
      <c r="T588" s="195">
        <f t="shared" si="39"/>
        <v>0</v>
      </c>
      <c r="U588" s="201"/>
      <c r="V588" s="202"/>
      <c r="W588" s="201"/>
      <c r="X588" s="202"/>
      <c r="Y588" s="201"/>
      <c r="Z588" s="179">
        <v>0</v>
      </c>
      <c r="AA588" s="201"/>
      <c r="AB588" s="202"/>
      <c r="AC588" s="202"/>
      <c r="AD588" s="202"/>
      <c r="AE588" s="179"/>
      <c r="AF588" s="256"/>
    </row>
    <row r="589" spans="1:32" s="223" customFormat="1" ht="15" customHeight="1">
      <c r="A589" s="162" t="s">
        <v>215</v>
      </c>
      <c r="B589" s="162" t="s">
        <v>272</v>
      </c>
      <c r="C589" s="32">
        <v>223320</v>
      </c>
      <c r="D589" s="207">
        <v>9</v>
      </c>
      <c r="E589" s="178">
        <f t="shared" si="36"/>
        <v>77747</v>
      </c>
      <c r="F589" s="195">
        <f t="shared" si="37"/>
        <v>78205</v>
      </c>
      <c r="G589" s="201">
        <v>31892</v>
      </c>
      <c r="H589" s="229">
        <v>29854</v>
      </c>
      <c r="I589" s="201">
        <v>37258</v>
      </c>
      <c r="J589" s="229">
        <v>38132</v>
      </c>
      <c r="K589" s="201">
        <v>4936</v>
      </c>
      <c r="L589" s="179">
        <v>3661</v>
      </c>
      <c r="M589" s="201"/>
      <c r="N589" s="229">
        <v>6218</v>
      </c>
      <c r="O589" s="202">
        <v>4001</v>
      </c>
      <c r="P589" s="229"/>
      <c r="Q589" s="179"/>
      <c r="R589" s="180"/>
      <c r="S589" s="178">
        <f t="shared" si="38"/>
        <v>0</v>
      </c>
      <c r="T589" s="195">
        <f t="shared" si="39"/>
        <v>0</v>
      </c>
      <c r="U589" s="201"/>
      <c r="V589" s="202"/>
      <c r="W589" s="201"/>
      <c r="X589" s="202"/>
      <c r="Y589" s="201"/>
      <c r="Z589" s="179">
        <v>0</v>
      </c>
      <c r="AA589" s="201"/>
      <c r="AB589" s="202"/>
      <c r="AC589" s="202"/>
      <c r="AD589" s="202"/>
      <c r="AE589" s="179"/>
      <c r="AF589" s="256"/>
    </row>
    <row r="590" spans="1:32" s="223" customFormat="1" ht="15" customHeight="1">
      <c r="A590" s="162" t="s">
        <v>215</v>
      </c>
      <c r="B590" s="162" t="s">
        <v>273</v>
      </c>
      <c r="C590" s="32">
        <v>226408</v>
      </c>
      <c r="D590" s="207">
        <v>9</v>
      </c>
      <c r="E590" s="178">
        <f t="shared" si="36"/>
        <v>81674</v>
      </c>
      <c r="F590" s="195">
        <f t="shared" si="37"/>
        <v>82268</v>
      </c>
      <c r="G590" s="201">
        <v>75953</v>
      </c>
      <c r="H590" s="229">
        <v>74726</v>
      </c>
      <c r="I590" s="201">
        <v>1507</v>
      </c>
      <c r="J590" s="229">
        <v>1522</v>
      </c>
      <c r="K590" s="201">
        <v>4214</v>
      </c>
      <c r="L590" s="179">
        <v>0</v>
      </c>
      <c r="M590" s="201"/>
      <c r="N590" s="229">
        <v>6020</v>
      </c>
      <c r="O590" s="202">
        <v>0</v>
      </c>
      <c r="P590" s="229"/>
      <c r="Q590" s="179"/>
      <c r="R590" s="180"/>
      <c r="S590" s="178">
        <f t="shared" si="38"/>
        <v>0</v>
      </c>
      <c r="T590" s="195">
        <f t="shared" si="39"/>
        <v>0</v>
      </c>
      <c r="U590" s="201"/>
      <c r="V590" s="202"/>
      <c r="W590" s="201"/>
      <c r="X590" s="202"/>
      <c r="Y590" s="201"/>
      <c r="Z590" s="179">
        <v>0</v>
      </c>
      <c r="AA590" s="201"/>
      <c r="AB590" s="202"/>
      <c r="AC590" s="202"/>
      <c r="AD590" s="202"/>
      <c r="AE590" s="179"/>
      <c r="AF590" s="256"/>
    </row>
    <row r="591" spans="1:32" s="223" customFormat="1" ht="15" customHeight="1">
      <c r="A591" s="162" t="s">
        <v>215</v>
      </c>
      <c r="B591" s="162" t="s">
        <v>274</v>
      </c>
      <c r="C591" s="32">
        <v>224615</v>
      </c>
      <c r="D591" s="207">
        <v>9</v>
      </c>
      <c r="E591" s="178">
        <f t="shared" si="36"/>
        <v>114422</v>
      </c>
      <c r="F591" s="195">
        <f t="shared" si="37"/>
        <v>110401</v>
      </c>
      <c r="G591" s="201">
        <v>109634</v>
      </c>
      <c r="H591" s="229">
        <v>104266</v>
      </c>
      <c r="I591" s="201"/>
      <c r="J591" s="229"/>
      <c r="K591" s="201">
        <v>2242</v>
      </c>
      <c r="L591" s="179">
        <v>0</v>
      </c>
      <c r="M591" s="201">
        <v>2546</v>
      </c>
      <c r="N591" s="229">
        <v>4134</v>
      </c>
      <c r="O591" s="202">
        <v>0</v>
      </c>
      <c r="P591" s="229">
        <v>2001</v>
      </c>
      <c r="Q591" s="179"/>
      <c r="R591" s="180"/>
      <c r="S591" s="178">
        <f t="shared" si="38"/>
        <v>0</v>
      </c>
      <c r="T591" s="195">
        <f t="shared" si="39"/>
        <v>0</v>
      </c>
      <c r="U591" s="201"/>
      <c r="V591" s="202"/>
      <c r="W591" s="201"/>
      <c r="X591" s="202"/>
      <c r="Y591" s="201"/>
      <c r="Z591" s="179">
        <v>0</v>
      </c>
      <c r="AA591" s="201"/>
      <c r="AB591" s="202"/>
      <c r="AC591" s="202"/>
      <c r="AD591" s="202"/>
      <c r="AE591" s="179"/>
      <c r="AF591" s="256"/>
    </row>
    <row r="592" spans="1:32" s="223" customFormat="1" ht="15" customHeight="1">
      <c r="A592" s="162" t="s">
        <v>215</v>
      </c>
      <c r="B592" s="162" t="s">
        <v>275</v>
      </c>
      <c r="C592" s="32">
        <v>225070</v>
      </c>
      <c r="D592" s="207">
        <v>9</v>
      </c>
      <c r="E592" s="178">
        <f t="shared" si="36"/>
        <v>82532</v>
      </c>
      <c r="F592" s="195">
        <f t="shared" si="37"/>
        <v>85193</v>
      </c>
      <c r="G592" s="201">
        <v>64534</v>
      </c>
      <c r="H592" s="229">
        <v>67026</v>
      </c>
      <c r="I592" s="201">
        <v>680</v>
      </c>
      <c r="J592" s="229">
        <v>492</v>
      </c>
      <c r="K592" s="201">
        <v>16271</v>
      </c>
      <c r="L592" s="179">
        <v>708</v>
      </c>
      <c r="M592" s="201">
        <v>339</v>
      </c>
      <c r="N592" s="229">
        <v>16472</v>
      </c>
      <c r="O592" s="202">
        <v>1203</v>
      </c>
      <c r="P592" s="229"/>
      <c r="Q592" s="179"/>
      <c r="R592" s="180"/>
      <c r="S592" s="178">
        <f t="shared" si="38"/>
        <v>0</v>
      </c>
      <c r="T592" s="195">
        <f t="shared" si="39"/>
        <v>0</v>
      </c>
      <c r="U592" s="201"/>
      <c r="V592" s="202"/>
      <c r="W592" s="201"/>
      <c r="X592" s="202"/>
      <c r="Y592" s="201"/>
      <c r="Z592" s="179">
        <v>0</v>
      </c>
      <c r="AA592" s="201"/>
      <c r="AB592" s="202"/>
      <c r="AC592" s="202"/>
      <c r="AD592" s="202"/>
      <c r="AE592" s="179"/>
      <c r="AF592" s="256"/>
    </row>
    <row r="593" spans="1:32" s="223" customFormat="1" ht="15" customHeight="1">
      <c r="A593" s="162" t="s">
        <v>215</v>
      </c>
      <c r="B593" s="162" t="s">
        <v>302</v>
      </c>
      <c r="C593" s="32">
        <v>225371</v>
      </c>
      <c r="D593" s="207">
        <v>9</v>
      </c>
      <c r="E593" s="178">
        <f t="shared" si="36"/>
        <v>68107</v>
      </c>
      <c r="F593" s="195">
        <f t="shared" si="37"/>
        <v>68370</v>
      </c>
      <c r="G593" s="201">
        <v>23535</v>
      </c>
      <c r="H593" s="229">
        <v>21539</v>
      </c>
      <c r="I593" s="201">
        <v>40590</v>
      </c>
      <c r="J593" s="229">
        <v>39792</v>
      </c>
      <c r="K593" s="201">
        <v>2665</v>
      </c>
      <c r="L593" s="179">
        <v>969</v>
      </c>
      <c r="M593" s="201">
        <v>348</v>
      </c>
      <c r="N593" s="229">
        <v>5145</v>
      </c>
      <c r="O593" s="202">
        <v>1468</v>
      </c>
      <c r="P593" s="229">
        <v>426</v>
      </c>
      <c r="Q593" s="179"/>
      <c r="R593" s="180"/>
      <c r="S593" s="178">
        <f t="shared" si="38"/>
        <v>0</v>
      </c>
      <c r="T593" s="195">
        <f t="shared" si="39"/>
        <v>0</v>
      </c>
      <c r="U593" s="201"/>
      <c r="V593" s="202"/>
      <c r="W593" s="201"/>
      <c r="X593" s="202"/>
      <c r="Y593" s="201"/>
      <c r="Z593" s="179">
        <v>0</v>
      </c>
      <c r="AA593" s="201"/>
      <c r="AB593" s="202"/>
      <c r="AC593" s="202"/>
      <c r="AD593" s="202"/>
      <c r="AE593" s="179"/>
      <c r="AF593" s="256"/>
    </row>
    <row r="594" spans="1:32" s="223" customFormat="1" ht="15" customHeight="1">
      <c r="A594" s="162" t="s">
        <v>215</v>
      </c>
      <c r="B594" s="162" t="s">
        <v>276</v>
      </c>
      <c r="C594" s="32">
        <v>225520</v>
      </c>
      <c r="D594" s="207">
        <v>9</v>
      </c>
      <c r="E594" s="178">
        <f t="shared" si="36"/>
        <v>56100</v>
      </c>
      <c r="F594" s="195">
        <f t="shared" si="37"/>
        <v>55611</v>
      </c>
      <c r="G594" s="201">
        <v>25125</v>
      </c>
      <c r="H594" s="229">
        <v>24156</v>
      </c>
      <c r="I594" s="201">
        <v>27725</v>
      </c>
      <c r="J594" s="229">
        <v>25090</v>
      </c>
      <c r="K594" s="201">
        <v>976</v>
      </c>
      <c r="L594" s="179">
        <v>2274</v>
      </c>
      <c r="M594" s="201"/>
      <c r="N594" s="229">
        <v>4474</v>
      </c>
      <c r="O594" s="202">
        <v>1852</v>
      </c>
      <c r="P594" s="229">
        <v>39</v>
      </c>
      <c r="Q594" s="179"/>
      <c r="R594" s="180"/>
      <c r="S594" s="178">
        <f t="shared" si="38"/>
        <v>0</v>
      </c>
      <c r="T594" s="195">
        <f t="shared" si="39"/>
        <v>0</v>
      </c>
      <c r="U594" s="201"/>
      <c r="V594" s="202"/>
      <c r="W594" s="201"/>
      <c r="X594" s="202"/>
      <c r="Y594" s="201"/>
      <c r="Z594" s="179">
        <v>0</v>
      </c>
      <c r="AA594" s="201"/>
      <c r="AB594" s="202"/>
      <c r="AC594" s="202"/>
      <c r="AD594" s="202"/>
      <c r="AE594" s="179"/>
      <c r="AF594" s="256"/>
    </row>
    <row r="595" spans="1:32" s="223" customFormat="1" ht="15" customHeight="1">
      <c r="A595" s="162" t="s">
        <v>215</v>
      </c>
      <c r="B595" s="162" t="s">
        <v>277</v>
      </c>
      <c r="C595" s="32">
        <v>226019</v>
      </c>
      <c r="D595" s="207">
        <v>9</v>
      </c>
      <c r="E595" s="178">
        <f t="shared" si="36"/>
        <v>111873</v>
      </c>
      <c r="F595" s="195">
        <f t="shared" si="37"/>
        <v>114028</v>
      </c>
      <c r="G595" s="201">
        <v>88347</v>
      </c>
      <c r="H595" s="229">
        <v>86684</v>
      </c>
      <c r="I595" s="201">
        <v>20060</v>
      </c>
      <c r="J595" s="229">
        <v>21187</v>
      </c>
      <c r="K595" s="201">
        <v>1938</v>
      </c>
      <c r="L595" s="179">
        <v>295</v>
      </c>
      <c r="M595" s="201">
        <v>1233</v>
      </c>
      <c r="N595" s="229">
        <v>4234</v>
      </c>
      <c r="O595" s="202">
        <v>189</v>
      </c>
      <c r="P595" s="229">
        <v>1734</v>
      </c>
      <c r="Q595" s="179"/>
      <c r="R595" s="180"/>
      <c r="S595" s="178">
        <f t="shared" si="38"/>
        <v>0</v>
      </c>
      <c r="T595" s="195">
        <f t="shared" si="39"/>
        <v>0</v>
      </c>
      <c r="U595" s="201"/>
      <c r="V595" s="202"/>
      <c r="W595" s="201"/>
      <c r="X595" s="202"/>
      <c r="Y595" s="201"/>
      <c r="Z595" s="179">
        <v>0</v>
      </c>
      <c r="AA595" s="201"/>
      <c r="AB595" s="202"/>
      <c r="AC595" s="202"/>
      <c r="AD595" s="202"/>
      <c r="AE595" s="179"/>
      <c r="AF595" s="256"/>
    </row>
    <row r="596" spans="1:32" s="223" customFormat="1" ht="15" customHeight="1">
      <c r="A596" s="162" t="s">
        <v>215</v>
      </c>
      <c r="B596" s="162" t="s">
        <v>278</v>
      </c>
      <c r="C596" s="32">
        <v>226116</v>
      </c>
      <c r="D596" s="207">
        <v>9</v>
      </c>
      <c r="E596" s="178">
        <f t="shared" si="36"/>
        <v>53164</v>
      </c>
      <c r="F596" s="195">
        <f t="shared" si="37"/>
        <v>51607</v>
      </c>
      <c r="G596" s="201">
        <v>46674</v>
      </c>
      <c r="H596" s="229">
        <v>46059</v>
      </c>
      <c r="I596" s="201">
        <v>4989</v>
      </c>
      <c r="J596" s="229">
        <v>3520</v>
      </c>
      <c r="K596" s="201">
        <v>1384</v>
      </c>
      <c r="L596" s="179">
        <v>0</v>
      </c>
      <c r="M596" s="201">
        <v>117</v>
      </c>
      <c r="N596" s="229">
        <v>1899</v>
      </c>
      <c r="O596" s="202">
        <v>0</v>
      </c>
      <c r="P596" s="229">
        <v>129</v>
      </c>
      <c r="Q596" s="179"/>
      <c r="R596" s="180"/>
      <c r="S596" s="178">
        <f t="shared" si="38"/>
        <v>0</v>
      </c>
      <c r="T596" s="195">
        <f t="shared" si="39"/>
        <v>0</v>
      </c>
      <c r="U596" s="201"/>
      <c r="V596" s="202"/>
      <c r="W596" s="201"/>
      <c r="X596" s="202"/>
      <c r="Y596" s="201"/>
      <c r="Z596" s="179">
        <v>0</v>
      </c>
      <c r="AA596" s="201"/>
      <c r="AB596" s="202"/>
      <c r="AC596" s="202"/>
      <c r="AD596" s="202"/>
      <c r="AE596" s="179"/>
      <c r="AF596" s="256"/>
    </row>
    <row r="597" spans="1:32" s="223" customFormat="1" ht="15" customHeight="1">
      <c r="A597" s="162" t="s">
        <v>215</v>
      </c>
      <c r="B597" s="162" t="s">
        <v>279</v>
      </c>
      <c r="C597" s="32">
        <v>226204</v>
      </c>
      <c r="D597" s="207">
        <v>9</v>
      </c>
      <c r="E597" s="178">
        <f t="shared" si="36"/>
        <v>132400</v>
      </c>
      <c r="F597" s="195">
        <f t="shared" si="37"/>
        <v>134062</v>
      </c>
      <c r="G597" s="201">
        <v>103874</v>
      </c>
      <c r="H597" s="229">
        <v>103807</v>
      </c>
      <c r="I597" s="201">
        <v>26120</v>
      </c>
      <c r="J597" s="229">
        <v>28014</v>
      </c>
      <c r="K597" s="201">
        <v>1627</v>
      </c>
      <c r="L597" s="179">
        <v>0</v>
      </c>
      <c r="M597" s="201">
        <v>779</v>
      </c>
      <c r="N597" s="229">
        <v>1987</v>
      </c>
      <c r="O597" s="202">
        <v>0</v>
      </c>
      <c r="P597" s="229">
        <v>254</v>
      </c>
      <c r="Q597" s="179"/>
      <c r="R597" s="180"/>
      <c r="S597" s="178">
        <f t="shared" si="38"/>
        <v>0</v>
      </c>
      <c r="T597" s="195">
        <f t="shared" si="39"/>
        <v>0</v>
      </c>
      <c r="U597" s="201"/>
      <c r="V597" s="202"/>
      <c r="W597" s="201"/>
      <c r="X597" s="202"/>
      <c r="Y597" s="201"/>
      <c r="Z597" s="179">
        <v>0</v>
      </c>
      <c r="AA597" s="201"/>
      <c r="AB597" s="202"/>
      <c r="AC597" s="202"/>
      <c r="AD597" s="202"/>
      <c r="AE597" s="179"/>
      <c r="AF597" s="256"/>
    </row>
    <row r="598" spans="1:32" s="223" customFormat="1" ht="15" customHeight="1">
      <c r="A598" s="162" t="s">
        <v>215</v>
      </c>
      <c r="B598" s="162" t="s">
        <v>281</v>
      </c>
      <c r="C598" s="32">
        <v>226806</v>
      </c>
      <c r="D598" s="207">
        <v>9</v>
      </c>
      <c r="E598" s="178">
        <f t="shared" si="36"/>
        <v>107918</v>
      </c>
      <c r="F598" s="195">
        <f t="shared" si="37"/>
        <v>110664</v>
      </c>
      <c r="G598" s="201">
        <v>89555</v>
      </c>
      <c r="H598" s="229">
        <v>86543</v>
      </c>
      <c r="I598" s="201">
        <v>4931</v>
      </c>
      <c r="J598" s="229">
        <v>5041</v>
      </c>
      <c r="K598" s="201">
        <v>11390</v>
      </c>
      <c r="L598" s="179">
        <v>2042</v>
      </c>
      <c r="M598" s="201"/>
      <c r="N598" s="229">
        <v>16341</v>
      </c>
      <c r="O598" s="202">
        <v>2739</v>
      </c>
      <c r="P598" s="229"/>
      <c r="Q598" s="179"/>
      <c r="R598" s="180"/>
      <c r="S598" s="178">
        <f t="shared" si="38"/>
        <v>0</v>
      </c>
      <c r="T598" s="195">
        <f t="shared" si="39"/>
        <v>0</v>
      </c>
      <c r="U598" s="201"/>
      <c r="V598" s="202"/>
      <c r="W598" s="201"/>
      <c r="X598" s="202"/>
      <c r="Y598" s="201"/>
      <c r="Z598" s="179">
        <v>0</v>
      </c>
      <c r="AA598" s="201"/>
      <c r="AB598" s="202"/>
      <c r="AC598" s="202"/>
      <c r="AD598" s="202"/>
      <c r="AE598" s="179"/>
      <c r="AF598" s="256"/>
    </row>
    <row r="599" spans="1:32" s="223" customFormat="1" ht="15" customHeight="1">
      <c r="A599" s="162" t="s">
        <v>215</v>
      </c>
      <c r="B599" s="162" t="s">
        <v>282</v>
      </c>
      <c r="C599" s="32">
        <v>226930</v>
      </c>
      <c r="D599" s="207">
        <v>9</v>
      </c>
      <c r="E599" s="178">
        <f t="shared" si="36"/>
        <v>115617</v>
      </c>
      <c r="F599" s="195">
        <f t="shared" si="37"/>
        <v>114558</v>
      </c>
      <c r="G599" s="201">
        <v>109268</v>
      </c>
      <c r="H599" s="229">
        <v>107121</v>
      </c>
      <c r="I599" s="201"/>
      <c r="J599" s="229"/>
      <c r="K599" s="201">
        <v>3631</v>
      </c>
      <c r="L599" s="179">
        <v>0</v>
      </c>
      <c r="M599" s="201">
        <v>2718</v>
      </c>
      <c r="N599" s="229">
        <v>4764</v>
      </c>
      <c r="O599" s="202">
        <v>0</v>
      </c>
      <c r="P599" s="229">
        <v>2673</v>
      </c>
      <c r="Q599" s="179"/>
      <c r="R599" s="180"/>
      <c r="S599" s="178">
        <f t="shared" si="38"/>
        <v>0</v>
      </c>
      <c r="T599" s="195">
        <f t="shared" si="39"/>
        <v>0</v>
      </c>
      <c r="U599" s="201"/>
      <c r="V599" s="202"/>
      <c r="W599" s="201"/>
      <c r="X599" s="202"/>
      <c r="Y599" s="201"/>
      <c r="Z599" s="179">
        <v>0</v>
      </c>
      <c r="AA599" s="201"/>
      <c r="AB599" s="202"/>
      <c r="AC599" s="202"/>
      <c r="AD599" s="202"/>
      <c r="AE599" s="179"/>
      <c r="AF599" s="256"/>
    </row>
    <row r="600" spans="1:32" s="223" customFormat="1" ht="15" customHeight="1">
      <c r="A600" s="162" t="s">
        <v>215</v>
      </c>
      <c r="B600" s="162" t="s">
        <v>283</v>
      </c>
      <c r="C600" s="32">
        <v>227146</v>
      </c>
      <c r="D600" s="207">
        <v>9</v>
      </c>
      <c r="E600" s="178">
        <f t="shared" si="36"/>
        <v>125384</v>
      </c>
      <c r="F600" s="195">
        <f t="shared" si="37"/>
        <v>137813</v>
      </c>
      <c r="G600" s="201">
        <v>71453</v>
      </c>
      <c r="H600" s="229">
        <v>66956</v>
      </c>
      <c r="I600" s="201">
        <v>50068</v>
      </c>
      <c r="J600" s="229">
        <v>55975</v>
      </c>
      <c r="K600" s="201">
        <v>972</v>
      </c>
      <c r="L600" s="179">
        <v>0</v>
      </c>
      <c r="M600" s="201">
        <v>2891</v>
      </c>
      <c r="N600" s="229">
        <v>12100</v>
      </c>
      <c r="O600" s="202">
        <v>24</v>
      </c>
      <c r="P600" s="229">
        <v>2758</v>
      </c>
      <c r="Q600" s="179"/>
      <c r="R600" s="180"/>
      <c r="S600" s="178">
        <f t="shared" si="38"/>
        <v>0</v>
      </c>
      <c r="T600" s="195">
        <f t="shared" si="39"/>
        <v>0</v>
      </c>
      <c r="U600" s="201"/>
      <c r="V600" s="202"/>
      <c r="W600" s="201"/>
      <c r="X600" s="202"/>
      <c r="Y600" s="201"/>
      <c r="Z600" s="179">
        <v>0</v>
      </c>
      <c r="AA600" s="201"/>
      <c r="AB600" s="202"/>
      <c r="AC600" s="202"/>
      <c r="AD600" s="202"/>
      <c r="AE600" s="179"/>
      <c r="AF600" s="256"/>
    </row>
    <row r="601" spans="1:32" s="223" customFormat="1" ht="15" customHeight="1">
      <c r="A601" s="162" t="s">
        <v>215</v>
      </c>
      <c r="B601" s="162" t="s">
        <v>284</v>
      </c>
      <c r="C601" s="32">
        <v>224110</v>
      </c>
      <c r="D601" s="207">
        <v>9</v>
      </c>
      <c r="E601" s="178">
        <f t="shared" si="36"/>
        <v>125346</v>
      </c>
      <c r="F601" s="195">
        <f t="shared" si="37"/>
        <v>127728</v>
      </c>
      <c r="G601" s="201">
        <v>32806</v>
      </c>
      <c r="H601" s="229">
        <v>32155</v>
      </c>
      <c r="I601" s="201">
        <v>91029</v>
      </c>
      <c r="J601" s="229">
        <v>92717</v>
      </c>
      <c r="K601" s="201">
        <v>1511</v>
      </c>
      <c r="L601" s="179">
        <v>0</v>
      </c>
      <c r="M601" s="201"/>
      <c r="N601" s="229">
        <v>2848</v>
      </c>
      <c r="O601" s="202">
        <v>0</v>
      </c>
      <c r="P601" s="229">
        <v>8</v>
      </c>
      <c r="Q601" s="179"/>
      <c r="R601" s="180"/>
      <c r="S601" s="178">
        <f t="shared" si="38"/>
        <v>0</v>
      </c>
      <c r="T601" s="195">
        <f t="shared" si="39"/>
        <v>0</v>
      </c>
      <c r="U601" s="201"/>
      <c r="V601" s="202"/>
      <c r="W601" s="201"/>
      <c r="X601" s="202"/>
      <c r="Y601" s="201"/>
      <c r="Z601" s="179">
        <v>0</v>
      </c>
      <c r="AA601" s="201"/>
      <c r="AB601" s="202"/>
      <c r="AC601" s="202"/>
      <c r="AD601" s="202"/>
      <c r="AE601" s="179"/>
      <c r="AF601" s="256"/>
    </row>
    <row r="602" spans="1:32" s="223" customFormat="1" ht="15" customHeight="1">
      <c r="A602" s="162" t="s">
        <v>215</v>
      </c>
      <c r="B602" s="162" t="s">
        <v>285</v>
      </c>
      <c r="C602" s="32">
        <v>420398</v>
      </c>
      <c r="D602" s="207">
        <v>9</v>
      </c>
      <c r="E602" s="178">
        <f t="shared" si="36"/>
        <v>154407</v>
      </c>
      <c r="F602" s="195">
        <f t="shared" si="37"/>
        <v>167421</v>
      </c>
      <c r="G602" s="201">
        <v>144961</v>
      </c>
      <c r="H602" s="229">
        <v>154808</v>
      </c>
      <c r="I602" s="201"/>
      <c r="J602" s="229"/>
      <c r="K602" s="201">
        <v>9446</v>
      </c>
      <c r="L602" s="179">
        <v>0</v>
      </c>
      <c r="M602" s="201"/>
      <c r="N602" s="229">
        <v>12613</v>
      </c>
      <c r="O602" s="202">
        <v>0</v>
      </c>
      <c r="P602" s="229"/>
      <c r="Q602" s="179"/>
      <c r="R602" s="180"/>
      <c r="S602" s="178">
        <f t="shared" si="38"/>
        <v>0</v>
      </c>
      <c r="T602" s="195">
        <f t="shared" si="39"/>
        <v>0</v>
      </c>
      <c r="U602" s="201"/>
      <c r="V602" s="202"/>
      <c r="W602" s="201"/>
      <c r="X602" s="202"/>
      <c r="Y602" s="201"/>
      <c r="Z602" s="179">
        <v>0</v>
      </c>
      <c r="AA602" s="201"/>
      <c r="AB602" s="202"/>
      <c r="AC602" s="202"/>
      <c r="AD602" s="202"/>
      <c r="AE602" s="179"/>
      <c r="AF602" s="256"/>
    </row>
    <row r="603" spans="1:32" s="223" customFormat="1" ht="15" customHeight="1">
      <c r="A603" s="162" t="s">
        <v>215</v>
      </c>
      <c r="B603" s="162" t="s">
        <v>286</v>
      </c>
      <c r="C603" s="32">
        <v>227304</v>
      </c>
      <c r="D603" s="207">
        <v>9</v>
      </c>
      <c r="E603" s="178">
        <f t="shared" si="36"/>
        <v>98952</v>
      </c>
      <c r="F603" s="195">
        <f t="shared" si="37"/>
        <v>93651</v>
      </c>
      <c r="G603" s="201">
        <v>84328</v>
      </c>
      <c r="H603" s="229">
        <v>76686</v>
      </c>
      <c r="I603" s="201">
        <v>6259</v>
      </c>
      <c r="J603" s="229">
        <v>8081</v>
      </c>
      <c r="K603" s="201">
        <v>7348</v>
      </c>
      <c r="L603" s="179">
        <v>702</v>
      </c>
      <c r="M603" s="201">
        <v>315</v>
      </c>
      <c r="N603" s="229">
        <v>8599</v>
      </c>
      <c r="O603" s="202">
        <v>285</v>
      </c>
      <c r="P603" s="229"/>
      <c r="Q603" s="179"/>
      <c r="R603" s="180"/>
      <c r="S603" s="178">
        <f t="shared" si="38"/>
        <v>0</v>
      </c>
      <c r="T603" s="195">
        <f t="shared" si="39"/>
        <v>0</v>
      </c>
      <c r="U603" s="201"/>
      <c r="V603" s="202"/>
      <c r="W603" s="201"/>
      <c r="X603" s="202"/>
      <c r="Y603" s="201"/>
      <c r="Z603" s="179">
        <v>0</v>
      </c>
      <c r="AA603" s="201"/>
      <c r="AB603" s="202"/>
      <c r="AC603" s="202"/>
      <c r="AD603" s="202"/>
      <c r="AE603" s="179"/>
      <c r="AF603" s="256"/>
    </row>
    <row r="604" spans="1:32" s="223" customFormat="1" ht="15" customHeight="1">
      <c r="A604" s="162" t="s">
        <v>215</v>
      </c>
      <c r="B604" s="162" t="s">
        <v>287</v>
      </c>
      <c r="C604" s="32">
        <v>246354</v>
      </c>
      <c r="D604" s="207">
        <v>9</v>
      </c>
      <c r="E604" s="178">
        <f t="shared" si="36"/>
        <v>154041</v>
      </c>
      <c r="F604" s="195">
        <f t="shared" si="37"/>
        <v>159181</v>
      </c>
      <c r="G604" s="201">
        <v>129066</v>
      </c>
      <c r="H604" s="229">
        <v>134252</v>
      </c>
      <c r="I604" s="201">
        <v>7014</v>
      </c>
      <c r="J604" s="229">
        <v>2419</v>
      </c>
      <c r="K604" s="201">
        <v>14682</v>
      </c>
      <c r="L604" s="179">
        <v>534</v>
      </c>
      <c r="M604" s="201">
        <v>2745</v>
      </c>
      <c r="N604" s="229">
        <v>18826</v>
      </c>
      <c r="O604" s="202">
        <v>714</v>
      </c>
      <c r="P604" s="229">
        <v>2970</v>
      </c>
      <c r="Q604" s="179"/>
      <c r="R604" s="180"/>
      <c r="S604" s="178">
        <f t="shared" si="38"/>
        <v>0</v>
      </c>
      <c r="T604" s="195">
        <f t="shared" si="39"/>
        <v>0</v>
      </c>
      <c r="U604" s="201"/>
      <c r="V604" s="202"/>
      <c r="W604" s="201"/>
      <c r="X604" s="202"/>
      <c r="Y604" s="201"/>
      <c r="Z604" s="179">
        <v>0</v>
      </c>
      <c r="AA604" s="201"/>
      <c r="AB604" s="202"/>
      <c r="AC604" s="202"/>
      <c r="AD604" s="202"/>
      <c r="AE604" s="179"/>
      <c r="AF604" s="256"/>
    </row>
    <row r="605" spans="1:32" s="223" customFormat="1" ht="15" customHeight="1">
      <c r="A605" s="162" t="s">
        <v>215</v>
      </c>
      <c r="B605" s="162" t="s">
        <v>288</v>
      </c>
      <c r="C605" s="32">
        <v>227401</v>
      </c>
      <c r="D605" s="207">
        <v>9</v>
      </c>
      <c r="E605" s="178">
        <f t="shared" si="36"/>
        <v>83938</v>
      </c>
      <c r="F605" s="195">
        <f t="shared" si="37"/>
        <v>87215</v>
      </c>
      <c r="G605" s="201">
        <v>50263</v>
      </c>
      <c r="H605" s="229">
        <v>48135</v>
      </c>
      <c r="I605" s="201">
        <v>30808</v>
      </c>
      <c r="J605" s="229">
        <v>31450</v>
      </c>
      <c r="K605" s="201">
        <v>2552</v>
      </c>
      <c r="L605" s="179">
        <v>315</v>
      </c>
      <c r="M605" s="201"/>
      <c r="N605" s="229">
        <v>6849</v>
      </c>
      <c r="O605" s="202">
        <v>781</v>
      </c>
      <c r="P605" s="229"/>
      <c r="Q605" s="179"/>
      <c r="R605" s="180"/>
      <c r="S605" s="178">
        <f t="shared" si="38"/>
        <v>0</v>
      </c>
      <c r="T605" s="195">
        <f t="shared" si="39"/>
        <v>0</v>
      </c>
      <c r="U605" s="201"/>
      <c r="V605" s="202"/>
      <c r="W605" s="201"/>
      <c r="X605" s="202"/>
      <c r="Y605" s="201"/>
      <c r="Z605" s="179">
        <v>0</v>
      </c>
      <c r="AA605" s="201"/>
      <c r="AB605" s="202"/>
      <c r="AC605" s="202"/>
      <c r="AD605" s="202"/>
      <c r="AE605" s="179"/>
      <c r="AF605" s="256"/>
    </row>
    <row r="606" spans="1:32" s="223" customFormat="1" ht="15" customHeight="1">
      <c r="A606" s="162" t="s">
        <v>215</v>
      </c>
      <c r="B606" s="162" t="s">
        <v>289</v>
      </c>
      <c r="C606" s="32">
        <v>228316</v>
      </c>
      <c r="D606" s="207">
        <v>9</v>
      </c>
      <c r="E606" s="178">
        <f t="shared" si="36"/>
        <v>93468</v>
      </c>
      <c r="F606" s="195">
        <f t="shared" si="37"/>
        <v>102090</v>
      </c>
      <c r="G606" s="201">
        <v>35600</v>
      </c>
      <c r="H606" s="229">
        <v>36481</v>
      </c>
      <c r="I606" s="201">
        <v>45572</v>
      </c>
      <c r="J606" s="229">
        <v>51790</v>
      </c>
      <c r="K606" s="201">
        <v>6353</v>
      </c>
      <c r="L606" s="179">
        <v>5638</v>
      </c>
      <c r="M606" s="201">
        <v>305</v>
      </c>
      <c r="N606" s="229">
        <v>5674</v>
      </c>
      <c r="O606" s="202">
        <v>0</v>
      </c>
      <c r="P606" s="229">
        <v>8145</v>
      </c>
      <c r="Q606" s="179"/>
      <c r="R606" s="180"/>
      <c r="S606" s="178">
        <f t="shared" si="38"/>
        <v>0</v>
      </c>
      <c r="T606" s="195">
        <f t="shared" si="39"/>
        <v>0</v>
      </c>
      <c r="U606" s="201"/>
      <c r="V606" s="202"/>
      <c r="W606" s="201"/>
      <c r="X606" s="202"/>
      <c r="Y606" s="201"/>
      <c r="Z606" s="179">
        <v>0</v>
      </c>
      <c r="AA606" s="201"/>
      <c r="AB606" s="202"/>
      <c r="AC606" s="202"/>
      <c r="AD606" s="202"/>
      <c r="AE606" s="179"/>
      <c r="AF606" s="256"/>
    </row>
    <row r="607" spans="1:32" s="223" customFormat="1" ht="15" customHeight="1">
      <c r="A607" s="162" t="s">
        <v>215</v>
      </c>
      <c r="B607" s="162" t="s">
        <v>290</v>
      </c>
      <c r="C607" s="32">
        <v>228608</v>
      </c>
      <c r="D607" s="207">
        <v>9</v>
      </c>
      <c r="E607" s="178">
        <f t="shared" si="36"/>
        <v>76240</v>
      </c>
      <c r="F607" s="195">
        <f t="shared" si="37"/>
        <v>79509</v>
      </c>
      <c r="G607" s="201">
        <v>60375</v>
      </c>
      <c r="H607" s="229">
        <v>60659</v>
      </c>
      <c r="I607" s="201">
        <v>10699</v>
      </c>
      <c r="J607" s="229">
        <v>13532</v>
      </c>
      <c r="K607" s="201">
        <v>3555</v>
      </c>
      <c r="L607" s="179">
        <v>330</v>
      </c>
      <c r="M607" s="201">
        <v>1281</v>
      </c>
      <c r="N607" s="229">
        <v>4106</v>
      </c>
      <c r="O607" s="202">
        <v>318</v>
      </c>
      <c r="P607" s="229">
        <v>894</v>
      </c>
      <c r="Q607" s="179"/>
      <c r="R607" s="180"/>
      <c r="S607" s="178">
        <f t="shared" si="38"/>
        <v>0</v>
      </c>
      <c r="T607" s="195">
        <f t="shared" si="39"/>
        <v>0</v>
      </c>
      <c r="U607" s="201"/>
      <c r="V607" s="202"/>
      <c r="W607" s="201"/>
      <c r="X607" s="202"/>
      <c r="Y607" s="201"/>
      <c r="Z607" s="179">
        <v>0</v>
      </c>
      <c r="AA607" s="201"/>
      <c r="AB607" s="202"/>
      <c r="AC607" s="202"/>
      <c r="AD607" s="202"/>
      <c r="AE607" s="179"/>
      <c r="AF607" s="256"/>
    </row>
    <row r="608" spans="1:32" s="223" customFormat="1" ht="15" customHeight="1">
      <c r="A608" s="162" t="s">
        <v>215</v>
      </c>
      <c r="B608" s="162" t="s">
        <v>291</v>
      </c>
      <c r="C608" s="32">
        <v>228699</v>
      </c>
      <c r="D608" s="207">
        <v>9</v>
      </c>
      <c r="E608" s="178">
        <f t="shared" si="36"/>
        <v>84691</v>
      </c>
      <c r="F608" s="195">
        <f t="shared" si="37"/>
        <v>87915</v>
      </c>
      <c r="G608" s="201">
        <v>77493</v>
      </c>
      <c r="H608" s="229">
        <v>81530</v>
      </c>
      <c r="I608" s="201">
        <v>5291</v>
      </c>
      <c r="J608" s="229">
        <v>4800</v>
      </c>
      <c r="K608" s="201">
        <v>1907</v>
      </c>
      <c r="L608" s="179">
        <v>0</v>
      </c>
      <c r="M608" s="201"/>
      <c r="N608" s="229">
        <v>1585</v>
      </c>
      <c r="O608" s="202">
        <v>0</v>
      </c>
      <c r="P608" s="229"/>
      <c r="Q608" s="179"/>
      <c r="R608" s="180"/>
      <c r="S608" s="178">
        <f t="shared" si="38"/>
        <v>0</v>
      </c>
      <c r="T608" s="195">
        <f t="shared" si="39"/>
        <v>0</v>
      </c>
      <c r="U608" s="201"/>
      <c r="V608" s="202"/>
      <c r="W608" s="201"/>
      <c r="X608" s="202"/>
      <c r="Y608" s="201"/>
      <c r="Z608" s="179">
        <v>0</v>
      </c>
      <c r="AA608" s="201"/>
      <c r="AB608" s="202"/>
      <c r="AC608" s="202"/>
      <c r="AD608" s="202"/>
      <c r="AE608" s="179"/>
      <c r="AF608" s="256"/>
    </row>
    <row r="609" spans="1:32" s="223" customFormat="1" ht="15" customHeight="1">
      <c r="A609" s="162" t="s">
        <v>215</v>
      </c>
      <c r="B609" s="162" t="s">
        <v>292</v>
      </c>
      <c r="C609" s="32">
        <v>229319</v>
      </c>
      <c r="D609" s="207">
        <v>9</v>
      </c>
      <c r="E609" s="178">
        <f t="shared" si="36"/>
        <v>101232</v>
      </c>
      <c r="F609" s="195">
        <f t="shared" si="37"/>
        <v>105095</v>
      </c>
      <c r="G609" s="201">
        <v>96767</v>
      </c>
      <c r="H609" s="229">
        <v>98948</v>
      </c>
      <c r="I609" s="201">
        <v>1987</v>
      </c>
      <c r="J609" s="229">
        <v>2109</v>
      </c>
      <c r="K609" s="201">
        <v>1113</v>
      </c>
      <c r="L609" s="179">
        <v>1365</v>
      </c>
      <c r="M609" s="201"/>
      <c r="N609" s="229">
        <v>2142</v>
      </c>
      <c r="O609" s="202">
        <v>1896</v>
      </c>
      <c r="P609" s="229"/>
      <c r="Q609" s="179"/>
      <c r="R609" s="180"/>
      <c r="S609" s="178">
        <f t="shared" si="38"/>
        <v>0</v>
      </c>
      <c r="T609" s="195">
        <f t="shared" si="39"/>
        <v>0</v>
      </c>
      <c r="U609" s="201"/>
      <c r="V609" s="202"/>
      <c r="W609" s="201"/>
      <c r="X609" s="202"/>
      <c r="Y609" s="201"/>
      <c r="Z609" s="179">
        <v>0</v>
      </c>
      <c r="AA609" s="201"/>
      <c r="AB609" s="202"/>
      <c r="AC609" s="202"/>
      <c r="AD609" s="202"/>
      <c r="AE609" s="179"/>
      <c r="AF609" s="256"/>
    </row>
    <row r="610" spans="1:32" s="223" customFormat="1" ht="15" customHeight="1">
      <c r="A610" s="162" t="s">
        <v>215</v>
      </c>
      <c r="B610" s="162" t="s">
        <v>293</v>
      </c>
      <c r="C610" s="32">
        <v>228680</v>
      </c>
      <c r="D610" s="207">
        <v>9</v>
      </c>
      <c r="E610" s="178">
        <f t="shared" si="36"/>
        <v>130253</v>
      </c>
      <c r="F610" s="195">
        <f t="shared" si="37"/>
        <v>131484</v>
      </c>
      <c r="G610" s="201">
        <v>119787</v>
      </c>
      <c r="H610" s="229">
        <v>119899</v>
      </c>
      <c r="I610" s="201">
        <v>4494</v>
      </c>
      <c r="J610" s="229">
        <v>5691</v>
      </c>
      <c r="K610" s="201">
        <v>5972</v>
      </c>
      <c r="L610" s="179">
        <v>0</v>
      </c>
      <c r="M610" s="201"/>
      <c r="N610" s="229">
        <v>5894</v>
      </c>
      <c r="O610" s="202">
        <v>0</v>
      </c>
      <c r="P610" s="229"/>
      <c r="Q610" s="179"/>
      <c r="R610" s="180"/>
      <c r="S610" s="178">
        <f t="shared" si="38"/>
        <v>0</v>
      </c>
      <c r="T610" s="195">
        <f t="shared" si="39"/>
        <v>0</v>
      </c>
      <c r="U610" s="201"/>
      <c r="V610" s="202"/>
      <c r="W610" s="201"/>
      <c r="X610" s="202"/>
      <c r="Y610" s="201"/>
      <c r="Z610" s="179">
        <v>0</v>
      </c>
      <c r="AA610" s="201"/>
      <c r="AB610" s="202"/>
      <c r="AC610" s="202"/>
      <c r="AD610" s="202"/>
      <c r="AE610" s="179"/>
      <c r="AF610" s="256"/>
    </row>
    <row r="611" spans="1:32" s="223" customFormat="1" ht="15" customHeight="1">
      <c r="A611" s="162" t="s">
        <v>215</v>
      </c>
      <c r="B611" s="162" t="s">
        <v>294</v>
      </c>
      <c r="C611" s="32">
        <v>225308</v>
      </c>
      <c r="D611" s="207">
        <v>9</v>
      </c>
      <c r="E611" s="178">
        <f t="shared" si="36"/>
        <v>131393</v>
      </c>
      <c r="F611" s="195">
        <f t="shared" si="37"/>
        <v>135530</v>
      </c>
      <c r="G611" s="201">
        <v>77492</v>
      </c>
      <c r="H611" s="229">
        <v>78201</v>
      </c>
      <c r="I611" s="201">
        <v>44688</v>
      </c>
      <c r="J611" s="229">
        <v>46466</v>
      </c>
      <c r="K611" s="201">
        <v>5048</v>
      </c>
      <c r="L611" s="179">
        <v>751</v>
      </c>
      <c r="M611" s="201">
        <v>3414</v>
      </c>
      <c r="N611" s="229">
        <v>6392</v>
      </c>
      <c r="O611" s="202">
        <v>2135</v>
      </c>
      <c r="P611" s="229">
        <v>2336</v>
      </c>
      <c r="Q611" s="179"/>
      <c r="R611" s="180"/>
      <c r="S611" s="178">
        <f t="shared" si="38"/>
        <v>0</v>
      </c>
      <c r="T611" s="195">
        <f t="shared" si="39"/>
        <v>0</v>
      </c>
      <c r="U611" s="201"/>
      <c r="V611" s="202"/>
      <c r="W611" s="201"/>
      <c r="X611" s="202"/>
      <c r="Y611" s="201"/>
      <c r="Z611" s="179">
        <v>0</v>
      </c>
      <c r="AA611" s="201"/>
      <c r="AB611" s="202"/>
      <c r="AC611" s="202"/>
      <c r="AD611" s="202"/>
      <c r="AE611" s="179"/>
      <c r="AF611" s="256"/>
    </row>
    <row r="612" spans="1:32" s="223" customFormat="1" ht="15" customHeight="1">
      <c r="A612" s="162" t="s">
        <v>215</v>
      </c>
      <c r="B612" s="162" t="s">
        <v>311</v>
      </c>
      <c r="C612" s="32">
        <v>229504</v>
      </c>
      <c r="D612" s="207">
        <v>9</v>
      </c>
      <c r="E612" s="178">
        <f t="shared" si="36"/>
        <v>60033</v>
      </c>
      <c r="F612" s="195">
        <f t="shared" si="37"/>
        <v>57963</v>
      </c>
      <c r="G612" s="201">
        <v>13979</v>
      </c>
      <c r="H612" s="229">
        <v>13050</v>
      </c>
      <c r="I612" s="201">
        <v>30919</v>
      </c>
      <c r="J612" s="229">
        <v>28583</v>
      </c>
      <c r="K612" s="201">
        <v>9861</v>
      </c>
      <c r="L612" s="179">
        <v>5274</v>
      </c>
      <c r="M612" s="201"/>
      <c r="N612" s="229">
        <v>11026</v>
      </c>
      <c r="O612" s="202">
        <v>5304</v>
      </c>
      <c r="P612" s="229"/>
      <c r="Q612" s="179"/>
      <c r="R612" s="180"/>
      <c r="S612" s="178">
        <f t="shared" si="38"/>
        <v>0</v>
      </c>
      <c r="T612" s="195">
        <f t="shared" si="39"/>
        <v>0</v>
      </c>
      <c r="U612" s="201"/>
      <c r="V612" s="202"/>
      <c r="W612" s="201"/>
      <c r="X612" s="202"/>
      <c r="Y612" s="201"/>
      <c r="Z612" s="179">
        <v>0</v>
      </c>
      <c r="AA612" s="201"/>
      <c r="AB612" s="202"/>
      <c r="AC612" s="202"/>
      <c r="AD612" s="202"/>
      <c r="AE612" s="179"/>
      <c r="AF612" s="256"/>
    </row>
    <row r="613" spans="1:32" s="223" customFormat="1" ht="15" customHeight="1">
      <c r="A613" s="162" t="s">
        <v>215</v>
      </c>
      <c r="B613" s="162" t="s">
        <v>295</v>
      </c>
      <c r="C613" s="32">
        <v>229540</v>
      </c>
      <c r="D613" s="207">
        <v>9</v>
      </c>
      <c r="E613" s="178">
        <f t="shared" si="36"/>
        <v>79538</v>
      </c>
      <c r="F613" s="195">
        <f t="shared" si="37"/>
        <v>79940</v>
      </c>
      <c r="G613" s="201">
        <v>63921</v>
      </c>
      <c r="H613" s="229">
        <v>60603</v>
      </c>
      <c r="I613" s="201">
        <v>3240</v>
      </c>
      <c r="J613" s="229">
        <v>4315</v>
      </c>
      <c r="K613" s="201">
        <v>9296</v>
      </c>
      <c r="L613" s="179">
        <v>3035</v>
      </c>
      <c r="M613" s="201">
        <v>46</v>
      </c>
      <c r="N613" s="229">
        <v>12531</v>
      </c>
      <c r="O613" s="202">
        <v>2442</v>
      </c>
      <c r="P613" s="229">
        <v>49</v>
      </c>
      <c r="Q613" s="179"/>
      <c r="R613" s="180"/>
      <c r="S613" s="178">
        <f t="shared" si="38"/>
        <v>0</v>
      </c>
      <c r="T613" s="195">
        <f t="shared" si="39"/>
        <v>0</v>
      </c>
      <c r="U613" s="201"/>
      <c r="V613" s="202"/>
      <c r="W613" s="201"/>
      <c r="X613" s="202"/>
      <c r="Y613" s="201"/>
      <c r="Z613" s="179">
        <v>0</v>
      </c>
      <c r="AA613" s="201"/>
      <c r="AB613" s="202"/>
      <c r="AC613" s="202"/>
      <c r="AD613" s="202"/>
      <c r="AE613" s="179"/>
      <c r="AF613" s="256"/>
    </row>
    <row r="614" spans="1:32" s="223" customFormat="1" ht="15" customHeight="1">
      <c r="A614" s="162" t="s">
        <v>215</v>
      </c>
      <c r="B614" s="162" t="s">
        <v>296</v>
      </c>
      <c r="C614" s="32">
        <v>229799</v>
      </c>
      <c r="D614" s="207">
        <v>9</v>
      </c>
      <c r="E614" s="178">
        <f t="shared" si="36"/>
        <v>82227</v>
      </c>
      <c r="F614" s="195">
        <f t="shared" si="37"/>
        <v>88726</v>
      </c>
      <c r="G614" s="201">
        <v>66001</v>
      </c>
      <c r="H614" s="229">
        <v>70259</v>
      </c>
      <c r="I614" s="201">
        <v>6432</v>
      </c>
      <c r="J614" s="229">
        <v>6684</v>
      </c>
      <c r="K614" s="201">
        <v>8579</v>
      </c>
      <c r="L614" s="179">
        <v>1185</v>
      </c>
      <c r="M614" s="201">
        <v>30</v>
      </c>
      <c r="N614" s="229">
        <v>10508</v>
      </c>
      <c r="O614" s="202">
        <v>1233</v>
      </c>
      <c r="P614" s="229">
        <v>42</v>
      </c>
      <c r="Q614" s="179"/>
      <c r="R614" s="180"/>
      <c r="S614" s="178">
        <f t="shared" si="38"/>
        <v>0</v>
      </c>
      <c r="T614" s="195">
        <f t="shared" si="39"/>
        <v>0</v>
      </c>
      <c r="U614" s="201"/>
      <c r="V614" s="202"/>
      <c r="W614" s="201"/>
      <c r="X614" s="202"/>
      <c r="Y614" s="201"/>
      <c r="Z614" s="179">
        <v>0</v>
      </c>
      <c r="AA614" s="201"/>
      <c r="AB614" s="202"/>
      <c r="AC614" s="202"/>
      <c r="AD614" s="202"/>
      <c r="AE614" s="179"/>
      <c r="AF614" s="256"/>
    </row>
    <row r="615" spans="1:32" s="223" customFormat="1" ht="15" customHeight="1">
      <c r="A615" s="162" t="s">
        <v>215</v>
      </c>
      <c r="B615" s="162" t="s">
        <v>297</v>
      </c>
      <c r="C615" s="32">
        <v>229841</v>
      </c>
      <c r="D615" s="207">
        <v>9</v>
      </c>
      <c r="E615" s="178">
        <f t="shared" si="36"/>
        <v>125105</v>
      </c>
      <c r="F615" s="195">
        <f t="shared" si="37"/>
        <v>125070</v>
      </c>
      <c r="G615" s="201">
        <v>44569</v>
      </c>
      <c r="H615" s="229">
        <v>43755</v>
      </c>
      <c r="I615" s="201">
        <v>75140</v>
      </c>
      <c r="J615" s="229">
        <v>73939</v>
      </c>
      <c r="K615" s="201">
        <v>3487</v>
      </c>
      <c r="L615" s="179">
        <v>1161</v>
      </c>
      <c r="M615" s="201">
        <v>748</v>
      </c>
      <c r="N615" s="229">
        <v>5048</v>
      </c>
      <c r="O615" s="202">
        <v>1521</v>
      </c>
      <c r="P615" s="229">
        <v>807</v>
      </c>
      <c r="Q615" s="179"/>
      <c r="R615" s="180"/>
      <c r="S615" s="178">
        <f t="shared" si="38"/>
        <v>0</v>
      </c>
      <c r="T615" s="195">
        <f t="shared" si="39"/>
        <v>0</v>
      </c>
      <c r="U615" s="201"/>
      <c r="V615" s="202"/>
      <c r="W615" s="201"/>
      <c r="X615" s="202"/>
      <c r="Y615" s="201"/>
      <c r="Z615" s="179">
        <v>0</v>
      </c>
      <c r="AA615" s="201"/>
      <c r="AB615" s="202"/>
      <c r="AC615" s="202"/>
      <c r="AD615" s="202"/>
      <c r="AE615" s="179"/>
      <c r="AF615" s="256"/>
    </row>
    <row r="616" spans="1:32" s="223" customFormat="1" ht="15" customHeight="1">
      <c r="A616" s="162" t="s">
        <v>215</v>
      </c>
      <c r="B616" s="162" t="s">
        <v>299</v>
      </c>
      <c r="C616" s="32">
        <v>223922</v>
      </c>
      <c r="D616" s="207">
        <v>10</v>
      </c>
      <c r="E616" s="178">
        <f t="shared" si="36"/>
        <v>20230</v>
      </c>
      <c r="F616" s="195">
        <f t="shared" si="37"/>
        <v>21922</v>
      </c>
      <c r="G616" s="201">
        <v>10438</v>
      </c>
      <c r="H616" s="229">
        <v>12124</v>
      </c>
      <c r="I616" s="201">
        <v>7730</v>
      </c>
      <c r="J616" s="229">
        <v>8560</v>
      </c>
      <c r="K616" s="201">
        <v>992</v>
      </c>
      <c r="L616" s="179">
        <v>1013</v>
      </c>
      <c r="M616" s="201">
        <v>57</v>
      </c>
      <c r="N616" s="229">
        <v>660</v>
      </c>
      <c r="O616" s="202">
        <v>312</v>
      </c>
      <c r="P616" s="229">
        <v>266</v>
      </c>
      <c r="Q616" s="179"/>
      <c r="R616" s="180"/>
      <c r="S616" s="178">
        <f t="shared" si="38"/>
        <v>0</v>
      </c>
      <c r="T616" s="195">
        <f t="shared" si="39"/>
        <v>0</v>
      </c>
      <c r="U616" s="201"/>
      <c r="V616" s="202"/>
      <c r="W616" s="201"/>
      <c r="X616" s="202"/>
      <c r="Y616" s="201"/>
      <c r="Z616" s="179">
        <v>0</v>
      </c>
      <c r="AA616" s="201"/>
      <c r="AB616" s="202"/>
      <c r="AC616" s="202"/>
      <c r="AD616" s="202"/>
      <c r="AE616" s="179"/>
      <c r="AF616" s="256"/>
    </row>
    <row r="617" spans="1:32" s="223" customFormat="1" ht="15" customHeight="1">
      <c r="A617" s="162" t="s">
        <v>215</v>
      </c>
      <c r="B617" s="162" t="s">
        <v>300</v>
      </c>
      <c r="C617" s="32">
        <v>224891</v>
      </c>
      <c r="D617" s="207">
        <v>10</v>
      </c>
      <c r="E617" s="178">
        <f t="shared" si="36"/>
        <v>25729</v>
      </c>
      <c r="F617" s="195">
        <f t="shared" si="37"/>
        <v>25765</v>
      </c>
      <c r="G617" s="201">
        <v>20358</v>
      </c>
      <c r="H617" s="229">
        <v>19548</v>
      </c>
      <c r="I617" s="201">
        <v>2216</v>
      </c>
      <c r="J617" s="229">
        <v>2291</v>
      </c>
      <c r="K617" s="201">
        <v>1317</v>
      </c>
      <c r="L617" s="179">
        <v>0</v>
      </c>
      <c r="M617" s="201">
        <v>1838</v>
      </c>
      <c r="N617" s="229">
        <v>2362</v>
      </c>
      <c r="O617" s="202">
        <v>103</v>
      </c>
      <c r="P617" s="229">
        <v>1461</v>
      </c>
      <c r="Q617" s="179"/>
      <c r="R617" s="180"/>
      <c r="S617" s="178">
        <f t="shared" si="38"/>
        <v>0</v>
      </c>
      <c r="T617" s="195">
        <f t="shared" si="39"/>
        <v>0</v>
      </c>
      <c r="U617" s="201"/>
      <c r="V617" s="202"/>
      <c r="W617" s="201"/>
      <c r="X617" s="202"/>
      <c r="Y617" s="201"/>
      <c r="Z617" s="179">
        <v>0</v>
      </c>
      <c r="AA617" s="201"/>
      <c r="AB617" s="202"/>
      <c r="AC617" s="202"/>
      <c r="AD617" s="202"/>
      <c r="AE617" s="179"/>
      <c r="AF617" s="256"/>
    </row>
    <row r="618" spans="1:32" s="223" customFormat="1" ht="15" customHeight="1">
      <c r="A618" s="162" t="s">
        <v>215</v>
      </c>
      <c r="B618" s="162" t="s">
        <v>301</v>
      </c>
      <c r="C618" s="32">
        <v>224961</v>
      </c>
      <c r="D618" s="207">
        <v>10</v>
      </c>
      <c r="E618" s="178">
        <f t="shared" si="36"/>
        <v>42546</v>
      </c>
      <c r="F618" s="195">
        <f t="shared" si="37"/>
        <v>45804</v>
      </c>
      <c r="G618" s="201">
        <v>40272</v>
      </c>
      <c r="H618" s="229">
        <v>44319</v>
      </c>
      <c r="I618" s="201"/>
      <c r="J618" s="229">
        <v>3</v>
      </c>
      <c r="K618" s="201">
        <v>1983</v>
      </c>
      <c r="L618" s="179">
        <v>0</v>
      </c>
      <c r="M618" s="201">
        <v>291</v>
      </c>
      <c r="N618" s="229">
        <v>1482</v>
      </c>
      <c r="O618" s="202">
        <v>0</v>
      </c>
      <c r="P618" s="229"/>
      <c r="Q618" s="179"/>
      <c r="R618" s="180"/>
      <c r="S618" s="178">
        <f t="shared" si="38"/>
        <v>0</v>
      </c>
      <c r="T618" s="195">
        <f t="shared" si="39"/>
        <v>0</v>
      </c>
      <c r="U618" s="201"/>
      <c r="V618" s="202"/>
      <c r="W618" s="201"/>
      <c r="X618" s="202"/>
      <c r="Y618" s="201"/>
      <c r="Z618" s="179">
        <v>0</v>
      </c>
      <c r="AA618" s="201"/>
      <c r="AB618" s="202"/>
      <c r="AC618" s="202"/>
      <c r="AD618" s="202"/>
      <c r="AE618" s="179"/>
      <c r="AF618" s="256"/>
    </row>
    <row r="619" spans="1:32" s="223" customFormat="1" ht="15" customHeight="1">
      <c r="A619" s="162" t="s">
        <v>215</v>
      </c>
      <c r="B619" s="162" t="s">
        <v>303</v>
      </c>
      <c r="C619" s="32"/>
      <c r="D619" s="207">
        <v>10</v>
      </c>
      <c r="E619" s="178">
        <f t="shared" si="36"/>
        <v>54272</v>
      </c>
      <c r="F619" s="195">
        <f t="shared" si="37"/>
        <v>53993</v>
      </c>
      <c r="G619" s="201">
        <v>53508</v>
      </c>
      <c r="H619" s="229">
        <v>52466</v>
      </c>
      <c r="I619" s="201">
        <v>218</v>
      </c>
      <c r="J619" s="229">
        <v>121</v>
      </c>
      <c r="K619" s="201">
        <v>546</v>
      </c>
      <c r="L619" s="179">
        <v>0</v>
      </c>
      <c r="M619" s="201"/>
      <c r="N619" s="229">
        <v>1406</v>
      </c>
      <c r="O619" s="202">
        <v>0</v>
      </c>
      <c r="P619" s="229"/>
      <c r="Q619" s="179"/>
      <c r="R619" s="180"/>
      <c r="S619" s="178">
        <f t="shared" si="38"/>
        <v>0</v>
      </c>
      <c r="T619" s="195">
        <f t="shared" si="39"/>
        <v>0</v>
      </c>
      <c r="U619" s="201"/>
      <c r="V619" s="202"/>
      <c r="W619" s="201"/>
      <c r="X619" s="202"/>
      <c r="Y619" s="201"/>
      <c r="Z619" s="179">
        <v>0</v>
      </c>
      <c r="AA619" s="201"/>
      <c r="AB619" s="202"/>
      <c r="AC619" s="202"/>
      <c r="AD619" s="202"/>
      <c r="AE619" s="179"/>
      <c r="AF619" s="256"/>
    </row>
    <row r="620" spans="1:32" s="223" customFormat="1" ht="15" customHeight="1">
      <c r="A620" s="162" t="s">
        <v>215</v>
      </c>
      <c r="B620" s="162" t="s">
        <v>304</v>
      </c>
      <c r="C620" s="32">
        <v>226107</v>
      </c>
      <c r="D620" s="207">
        <v>10</v>
      </c>
      <c r="E620" s="178">
        <f t="shared" si="36"/>
        <v>37138</v>
      </c>
      <c r="F620" s="195">
        <f t="shared" si="37"/>
        <v>41356</v>
      </c>
      <c r="G620" s="201">
        <v>34566</v>
      </c>
      <c r="H620" s="229">
        <v>38234</v>
      </c>
      <c r="I620" s="201">
        <v>1283</v>
      </c>
      <c r="J620" s="229">
        <v>1242</v>
      </c>
      <c r="K620" s="201">
        <v>1133</v>
      </c>
      <c r="L620" s="179">
        <v>0</v>
      </c>
      <c r="M620" s="201">
        <v>156</v>
      </c>
      <c r="N620" s="229">
        <v>1880</v>
      </c>
      <c r="O620" s="202">
        <v>0</v>
      </c>
      <c r="P620" s="229"/>
      <c r="Q620" s="179"/>
      <c r="R620" s="180"/>
      <c r="S620" s="178">
        <f t="shared" si="38"/>
        <v>0</v>
      </c>
      <c r="T620" s="195">
        <f t="shared" si="39"/>
        <v>0</v>
      </c>
      <c r="U620" s="201"/>
      <c r="V620" s="202"/>
      <c r="W620" s="201"/>
      <c r="X620" s="202"/>
      <c r="Y620" s="201"/>
      <c r="Z620" s="179">
        <v>0</v>
      </c>
      <c r="AA620" s="201"/>
      <c r="AB620" s="202"/>
      <c r="AC620" s="202"/>
      <c r="AD620" s="202"/>
      <c r="AE620" s="179"/>
      <c r="AF620" s="256"/>
    </row>
    <row r="621" spans="1:32" s="223" customFormat="1" ht="15" customHeight="1">
      <c r="A621" s="162" t="s">
        <v>215</v>
      </c>
      <c r="B621" s="162" t="s">
        <v>305</v>
      </c>
      <c r="C621" s="32">
        <v>227225</v>
      </c>
      <c r="D621" s="207">
        <v>10</v>
      </c>
      <c r="E621" s="178">
        <f t="shared" si="36"/>
        <v>55738</v>
      </c>
      <c r="F621" s="195">
        <f t="shared" si="37"/>
        <v>55820</v>
      </c>
      <c r="G621" s="201">
        <v>52229</v>
      </c>
      <c r="H621" s="229">
        <v>53980</v>
      </c>
      <c r="I621" s="201">
        <v>957</v>
      </c>
      <c r="J621" s="229">
        <v>1056</v>
      </c>
      <c r="K621" s="201">
        <v>2552</v>
      </c>
      <c r="L621" s="179">
        <v>0</v>
      </c>
      <c r="M621" s="201"/>
      <c r="N621" s="229">
        <v>784</v>
      </c>
      <c r="O621" s="202">
        <v>0</v>
      </c>
      <c r="P621" s="229"/>
      <c r="Q621" s="179"/>
      <c r="R621" s="180"/>
      <c r="S621" s="178">
        <f t="shared" si="38"/>
        <v>0</v>
      </c>
      <c r="T621" s="195">
        <f t="shared" si="39"/>
        <v>0</v>
      </c>
      <c r="U621" s="201"/>
      <c r="V621" s="202"/>
      <c r="W621" s="201"/>
      <c r="X621" s="202"/>
      <c r="Y621" s="201"/>
      <c r="Z621" s="179">
        <v>0</v>
      </c>
      <c r="AA621" s="201"/>
      <c r="AB621" s="202"/>
      <c r="AC621" s="202"/>
      <c r="AD621" s="202"/>
      <c r="AE621" s="179"/>
      <c r="AF621" s="256"/>
    </row>
    <row r="622" spans="1:32" s="223" customFormat="1" ht="15" customHeight="1">
      <c r="A622" s="162" t="s">
        <v>215</v>
      </c>
      <c r="B622" s="162" t="s">
        <v>306</v>
      </c>
      <c r="C622" s="32">
        <v>227386</v>
      </c>
      <c r="D622" s="207">
        <v>10</v>
      </c>
      <c r="E622" s="178">
        <f t="shared" si="36"/>
        <v>39652</v>
      </c>
      <c r="F622" s="195">
        <f t="shared" si="37"/>
        <v>39718</v>
      </c>
      <c r="G622" s="201">
        <v>28978</v>
      </c>
      <c r="H622" s="229">
        <v>28234</v>
      </c>
      <c r="I622" s="201">
        <v>5830</v>
      </c>
      <c r="J622" s="229">
        <v>5448</v>
      </c>
      <c r="K622" s="201">
        <v>3786</v>
      </c>
      <c r="L622" s="179">
        <v>1058</v>
      </c>
      <c r="M622" s="201"/>
      <c r="N622" s="229">
        <v>5218</v>
      </c>
      <c r="O622" s="202">
        <v>818</v>
      </c>
      <c r="P622" s="229"/>
      <c r="Q622" s="179"/>
      <c r="R622" s="180"/>
      <c r="S622" s="178">
        <f t="shared" si="38"/>
        <v>0</v>
      </c>
      <c r="T622" s="195">
        <f t="shared" si="39"/>
        <v>0</v>
      </c>
      <c r="U622" s="201"/>
      <c r="V622" s="202"/>
      <c r="W622" s="201"/>
      <c r="X622" s="202"/>
      <c r="Y622" s="201"/>
      <c r="Z622" s="179">
        <v>0</v>
      </c>
      <c r="AA622" s="201"/>
      <c r="AB622" s="202"/>
      <c r="AC622" s="202"/>
      <c r="AD622" s="202"/>
      <c r="AE622" s="179"/>
      <c r="AF622" s="256"/>
    </row>
    <row r="623" spans="1:32" s="223" customFormat="1" ht="15" customHeight="1">
      <c r="A623" s="162" t="s">
        <v>215</v>
      </c>
      <c r="B623" s="162" t="s">
        <v>307</v>
      </c>
      <c r="C623" s="32">
        <v>227687</v>
      </c>
      <c r="D623" s="207">
        <v>10</v>
      </c>
      <c r="E623" s="178">
        <f t="shared" si="36"/>
        <v>19050</v>
      </c>
      <c r="F623" s="195">
        <f t="shared" si="37"/>
        <v>19579</v>
      </c>
      <c r="G623" s="201">
        <v>10098</v>
      </c>
      <c r="H623" s="229">
        <v>10344</v>
      </c>
      <c r="I623" s="201">
        <v>8276</v>
      </c>
      <c r="J623" s="229">
        <v>8128</v>
      </c>
      <c r="K623" s="201">
        <v>208</v>
      </c>
      <c r="L623" s="179">
        <v>39</v>
      </c>
      <c r="M623" s="201">
        <v>429</v>
      </c>
      <c r="N623" s="229">
        <v>552</v>
      </c>
      <c r="O623" s="202">
        <v>555</v>
      </c>
      <c r="P623" s="229"/>
      <c r="Q623" s="179"/>
      <c r="R623" s="180"/>
      <c r="S623" s="178">
        <f t="shared" si="38"/>
        <v>0</v>
      </c>
      <c r="T623" s="195">
        <f t="shared" si="39"/>
        <v>0</v>
      </c>
      <c r="U623" s="201"/>
      <c r="V623" s="202"/>
      <c r="W623" s="201"/>
      <c r="X623" s="202"/>
      <c r="Y623" s="201"/>
      <c r="Z623" s="179">
        <v>0</v>
      </c>
      <c r="AA623" s="201"/>
      <c r="AB623" s="202"/>
      <c r="AC623" s="202"/>
      <c r="AD623" s="202"/>
      <c r="AE623" s="179"/>
      <c r="AF623" s="256"/>
    </row>
    <row r="624" spans="1:32" s="223" customFormat="1" ht="15" customHeight="1">
      <c r="A624" s="162" t="s">
        <v>215</v>
      </c>
      <c r="B624" s="162" t="s">
        <v>308</v>
      </c>
      <c r="C624" s="32">
        <v>382911</v>
      </c>
      <c r="D624" s="207">
        <v>10</v>
      </c>
      <c r="E624" s="178">
        <f t="shared" si="36"/>
        <v>2736</v>
      </c>
      <c r="F624" s="195">
        <f t="shared" si="37"/>
        <v>2853</v>
      </c>
      <c r="G624" s="201">
        <v>2736</v>
      </c>
      <c r="H624" s="229">
        <v>2853</v>
      </c>
      <c r="I624" s="201"/>
      <c r="J624" s="229"/>
      <c r="K624" s="201"/>
      <c r="L624" s="179">
        <v>0</v>
      </c>
      <c r="M624" s="201"/>
      <c r="N624" s="229"/>
      <c r="O624" s="202">
        <v>0</v>
      </c>
      <c r="P624" s="229"/>
      <c r="Q624" s="179"/>
      <c r="R624" s="180"/>
      <c r="S624" s="178">
        <f t="shared" si="38"/>
        <v>0</v>
      </c>
      <c r="T624" s="195">
        <f t="shared" si="39"/>
        <v>0</v>
      </c>
      <c r="U624" s="201"/>
      <c r="V624" s="202"/>
      <c r="W624" s="201"/>
      <c r="X624" s="202"/>
      <c r="Y624" s="201"/>
      <c r="Z624" s="179">
        <v>0</v>
      </c>
      <c r="AA624" s="201"/>
      <c r="AB624" s="202"/>
      <c r="AC624" s="202"/>
      <c r="AD624" s="202"/>
      <c r="AE624" s="179"/>
      <c r="AF624" s="256"/>
    </row>
    <row r="625" spans="1:32" s="223" customFormat="1" ht="15" customHeight="1">
      <c r="A625" s="162" t="s">
        <v>215</v>
      </c>
      <c r="B625" s="162" t="s">
        <v>309</v>
      </c>
      <c r="C625" s="145"/>
      <c r="D625" s="207">
        <v>10</v>
      </c>
      <c r="E625" s="178">
        <f t="shared" si="36"/>
        <v>17652</v>
      </c>
      <c r="F625" s="195">
        <f t="shared" si="37"/>
        <v>17833</v>
      </c>
      <c r="G625" s="201">
        <v>16847</v>
      </c>
      <c r="H625" s="229">
        <v>14298</v>
      </c>
      <c r="I625" s="201">
        <v>125</v>
      </c>
      <c r="J625" s="229">
        <v>484</v>
      </c>
      <c r="K625" s="201">
        <v>641</v>
      </c>
      <c r="L625" s="179">
        <v>0</v>
      </c>
      <c r="M625" s="201">
        <v>39</v>
      </c>
      <c r="N625" s="229">
        <v>3030</v>
      </c>
      <c r="O625" s="202">
        <v>21</v>
      </c>
      <c r="P625" s="229"/>
      <c r="Q625" s="179"/>
      <c r="R625" s="180"/>
      <c r="S625" s="178">
        <f t="shared" si="38"/>
        <v>0</v>
      </c>
      <c r="T625" s="195">
        <f t="shared" si="39"/>
        <v>0</v>
      </c>
      <c r="U625" s="201"/>
      <c r="V625" s="202"/>
      <c r="W625" s="201"/>
      <c r="X625" s="202"/>
      <c r="Y625" s="201"/>
      <c r="Z625" s="179">
        <v>0</v>
      </c>
      <c r="AA625" s="201"/>
      <c r="AB625" s="202"/>
      <c r="AC625" s="202"/>
      <c r="AD625" s="202"/>
      <c r="AE625" s="179"/>
      <c r="AF625" s="256"/>
    </row>
    <row r="626" spans="1:32" s="223" customFormat="1" ht="15" customHeight="1">
      <c r="A626" s="162" t="s">
        <v>215</v>
      </c>
      <c r="B626" s="162" t="s">
        <v>310</v>
      </c>
      <c r="C626" s="32">
        <v>229328</v>
      </c>
      <c r="D626" s="207">
        <v>10</v>
      </c>
      <c r="E626" s="178">
        <f t="shared" si="36"/>
        <v>50419</v>
      </c>
      <c r="F626" s="195">
        <f t="shared" si="37"/>
        <v>51528</v>
      </c>
      <c r="G626" s="201">
        <v>22427</v>
      </c>
      <c r="H626" s="229">
        <v>20696</v>
      </c>
      <c r="I626" s="201">
        <v>24336</v>
      </c>
      <c r="J626" s="229">
        <v>22343</v>
      </c>
      <c r="K626" s="201">
        <v>199</v>
      </c>
      <c r="L626" s="179">
        <v>3457</v>
      </c>
      <c r="M626" s="201"/>
      <c r="N626" s="229">
        <v>3342</v>
      </c>
      <c r="O626" s="202">
        <v>5147</v>
      </c>
      <c r="P626" s="229"/>
      <c r="Q626" s="179"/>
      <c r="R626" s="180"/>
      <c r="S626" s="178">
        <f t="shared" si="38"/>
        <v>0</v>
      </c>
      <c r="T626" s="195">
        <f t="shared" si="39"/>
        <v>0</v>
      </c>
      <c r="U626" s="201"/>
      <c r="V626" s="202"/>
      <c r="W626" s="201"/>
      <c r="X626" s="202"/>
      <c r="Y626" s="201"/>
      <c r="Z626" s="179">
        <v>0</v>
      </c>
      <c r="AA626" s="201"/>
      <c r="AB626" s="202"/>
      <c r="AC626" s="202"/>
      <c r="AD626" s="202"/>
      <c r="AE626" s="179"/>
      <c r="AF626" s="256"/>
    </row>
    <row r="627" spans="1:32" s="223" customFormat="1" ht="15" customHeight="1">
      <c r="A627" s="162" t="s">
        <v>215</v>
      </c>
      <c r="B627" s="162" t="s">
        <v>312</v>
      </c>
      <c r="C627" s="32">
        <v>229832</v>
      </c>
      <c r="D627" s="207">
        <v>10</v>
      </c>
      <c r="E627" s="178">
        <f t="shared" si="36"/>
        <v>31110</v>
      </c>
      <c r="F627" s="195">
        <f t="shared" si="37"/>
        <v>31817</v>
      </c>
      <c r="G627" s="201">
        <v>16537</v>
      </c>
      <c r="H627" s="229">
        <v>15642</v>
      </c>
      <c r="I627" s="201">
        <v>9308</v>
      </c>
      <c r="J627" s="229">
        <v>11326</v>
      </c>
      <c r="K627" s="201"/>
      <c r="L627" s="179">
        <v>5265</v>
      </c>
      <c r="M627" s="201"/>
      <c r="N627" s="229"/>
      <c r="O627" s="202">
        <v>4849</v>
      </c>
      <c r="P627" s="229"/>
      <c r="Q627" s="179"/>
      <c r="R627" s="180"/>
      <c r="S627" s="178">
        <f t="shared" si="38"/>
        <v>0</v>
      </c>
      <c r="T627" s="195">
        <f t="shared" si="39"/>
        <v>0</v>
      </c>
      <c r="U627" s="201"/>
      <c r="V627" s="202"/>
      <c r="W627" s="201"/>
      <c r="X627" s="202"/>
      <c r="Y627" s="201"/>
      <c r="Z627" s="179">
        <v>0</v>
      </c>
      <c r="AA627" s="201"/>
      <c r="AB627" s="202"/>
      <c r="AC627" s="202"/>
      <c r="AD627" s="202"/>
      <c r="AE627" s="179"/>
      <c r="AF627" s="256"/>
    </row>
    <row r="628" spans="1:32" s="223" customFormat="1" ht="15" customHeight="1">
      <c r="A628" s="163" t="s">
        <v>540</v>
      </c>
      <c r="B628" s="163" t="s">
        <v>994</v>
      </c>
      <c r="C628" s="30">
        <v>234076</v>
      </c>
      <c r="D628" s="208">
        <v>1</v>
      </c>
      <c r="E628" s="178">
        <f t="shared" si="36"/>
        <v>0</v>
      </c>
      <c r="F628" s="195">
        <f t="shared" si="37"/>
        <v>0</v>
      </c>
      <c r="G628" s="201"/>
      <c r="H628" s="230"/>
      <c r="I628" s="201"/>
      <c r="J628" s="230"/>
      <c r="K628" s="201"/>
      <c r="L628" s="179"/>
      <c r="M628" s="201"/>
      <c r="N628" s="229"/>
      <c r="O628" s="202"/>
      <c r="P628" s="229"/>
      <c r="Q628" s="179"/>
      <c r="R628" s="180"/>
      <c r="S628" s="178">
        <f t="shared" si="38"/>
        <v>0</v>
      </c>
      <c r="T628" s="195">
        <f t="shared" si="39"/>
        <v>0</v>
      </c>
      <c r="U628" s="201"/>
      <c r="V628" s="202"/>
      <c r="W628" s="201"/>
      <c r="X628" s="202"/>
      <c r="Y628" s="201"/>
      <c r="Z628" s="179"/>
      <c r="AA628" s="201"/>
      <c r="AB628" s="202"/>
      <c r="AC628" s="202"/>
      <c r="AD628" s="202"/>
      <c r="AE628" s="179"/>
      <c r="AF628" s="256"/>
    </row>
    <row r="629" spans="1:32" s="223" customFormat="1" ht="15" customHeight="1">
      <c r="A629" s="163" t="s">
        <v>540</v>
      </c>
      <c r="B629" s="163" t="s">
        <v>995</v>
      </c>
      <c r="C629" s="30">
        <v>233921</v>
      </c>
      <c r="D629" s="208">
        <v>1</v>
      </c>
      <c r="E629" s="178">
        <f t="shared" si="36"/>
        <v>0</v>
      </c>
      <c r="F629" s="195">
        <f t="shared" si="37"/>
        <v>0</v>
      </c>
      <c r="G629" s="201"/>
      <c r="H629" s="230"/>
      <c r="I629" s="201"/>
      <c r="J629" s="230"/>
      <c r="K629" s="201"/>
      <c r="L629" s="179"/>
      <c r="M629" s="201"/>
      <c r="N629" s="229"/>
      <c r="O629" s="202"/>
      <c r="P629" s="229"/>
      <c r="Q629" s="179"/>
      <c r="R629" s="180"/>
      <c r="S629" s="178">
        <f t="shared" si="38"/>
        <v>0</v>
      </c>
      <c r="T629" s="195">
        <f t="shared" si="39"/>
        <v>0</v>
      </c>
      <c r="U629" s="201"/>
      <c r="V629" s="202"/>
      <c r="W629" s="201"/>
      <c r="X629" s="202"/>
      <c r="Y629" s="201"/>
      <c r="Z629" s="179"/>
      <c r="AA629" s="201"/>
      <c r="AB629" s="202"/>
      <c r="AC629" s="202"/>
      <c r="AD629" s="202"/>
      <c r="AE629" s="179"/>
      <c r="AF629" s="256"/>
    </row>
    <row r="630" spans="1:32" s="223" customFormat="1" ht="15" customHeight="1">
      <c r="A630" s="163" t="s">
        <v>540</v>
      </c>
      <c r="B630" s="163" t="s">
        <v>996</v>
      </c>
      <c r="C630" s="30">
        <v>231624</v>
      </c>
      <c r="D630" s="208">
        <v>2</v>
      </c>
      <c r="E630" s="178">
        <f t="shared" si="36"/>
        <v>0</v>
      </c>
      <c r="F630" s="195">
        <f t="shared" si="37"/>
        <v>0</v>
      </c>
      <c r="G630" s="201"/>
      <c r="H630" s="230"/>
      <c r="I630" s="201"/>
      <c r="J630" s="230"/>
      <c r="K630" s="201"/>
      <c r="L630" s="179"/>
      <c r="M630" s="201"/>
      <c r="N630" s="229"/>
      <c r="O630" s="202"/>
      <c r="P630" s="229"/>
      <c r="Q630" s="179"/>
      <c r="R630" s="180"/>
      <c r="S630" s="178">
        <f t="shared" si="38"/>
        <v>0</v>
      </c>
      <c r="T630" s="195">
        <f t="shared" si="39"/>
        <v>0</v>
      </c>
      <c r="U630" s="201"/>
      <c r="V630" s="202"/>
      <c r="W630" s="201"/>
      <c r="X630" s="202"/>
      <c r="Y630" s="201"/>
      <c r="Z630" s="179"/>
      <c r="AA630" s="201"/>
      <c r="AB630" s="202"/>
      <c r="AC630" s="202"/>
      <c r="AD630" s="202"/>
      <c r="AE630" s="179"/>
      <c r="AF630" s="256"/>
    </row>
    <row r="631" spans="1:32" s="223" customFormat="1" ht="15" customHeight="1">
      <c r="A631" s="163" t="s">
        <v>540</v>
      </c>
      <c r="B631" s="163" t="s">
        <v>997</v>
      </c>
      <c r="C631" s="30">
        <v>232186</v>
      </c>
      <c r="D631" s="208">
        <v>2</v>
      </c>
      <c r="E631" s="178">
        <f t="shared" si="36"/>
        <v>0</v>
      </c>
      <c r="F631" s="195">
        <f t="shared" si="37"/>
        <v>0</v>
      </c>
      <c r="G631" s="201"/>
      <c r="H631" s="230"/>
      <c r="I631" s="201"/>
      <c r="J631" s="230"/>
      <c r="K631" s="201"/>
      <c r="L631" s="179"/>
      <c r="M631" s="201"/>
      <c r="N631" s="229"/>
      <c r="O631" s="202"/>
      <c r="P631" s="229"/>
      <c r="Q631" s="179"/>
      <c r="R631" s="180"/>
      <c r="S631" s="178">
        <f t="shared" si="38"/>
        <v>0</v>
      </c>
      <c r="T631" s="195">
        <f t="shared" si="39"/>
        <v>0</v>
      </c>
      <c r="U631" s="201"/>
      <c r="V631" s="202"/>
      <c r="W631" s="201"/>
      <c r="X631" s="202"/>
      <c r="Y631" s="201"/>
      <c r="Z631" s="179"/>
      <c r="AA631" s="201"/>
      <c r="AB631" s="202"/>
      <c r="AC631" s="202"/>
      <c r="AD631" s="202"/>
      <c r="AE631" s="179"/>
      <c r="AF631" s="256"/>
    </row>
    <row r="632" spans="1:32" s="223" customFormat="1" ht="15" customHeight="1">
      <c r="A632" s="163" t="s">
        <v>540</v>
      </c>
      <c r="B632" s="163" t="s">
        <v>998</v>
      </c>
      <c r="C632" s="30">
        <v>232982</v>
      </c>
      <c r="D632" s="208">
        <v>2</v>
      </c>
      <c r="E632" s="178">
        <f t="shared" si="36"/>
        <v>0</v>
      </c>
      <c r="F632" s="195">
        <f t="shared" si="37"/>
        <v>0</v>
      </c>
      <c r="G632" s="201"/>
      <c r="H632" s="230"/>
      <c r="I632" s="201"/>
      <c r="J632" s="230"/>
      <c r="K632" s="201"/>
      <c r="L632" s="179"/>
      <c r="M632" s="201"/>
      <c r="N632" s="229"/>
      <c r="O632" s="202"/>
      <c r="P632" s="229"/>
      <c r="Q632" s="179"/>
      <c r="R632" s="180"/>
      <c r="S632" s="178">
        <f t="shared" si="38"/>
        <v>0</v>
      </c>
      <c r="T632" s="195">
        <f t="shared" si="39"/>
        <v>0</v>
      </c>
      <c r="U632" s="201"/>
      <c r="V632" s="202"/>
      <c r="W632" s="201"/>
      <c r="X632" s="202"/>
      <c r="Y632" s="201"/>
      <c r="Z632" s="179"/>
      <c r="AA632" s="201"/>
      <c r="AB632" s="202"/>
      <c r="AC632" s="202"/>
      <c r="AD632" s="202"/>
      <c r="AE632" s="179"/>
      <c r="AF632" s="256"/>
    </row>
    <row r="633" spans="1:32" s="223" customFormat="1" ht="15" customHeight="1">
      <c r="A633" s="163" t="s">
        <v>540</v>
      </c>
      <c r="B633" s="163" t="s">
        <v>999</v>
      </c>
      <c r="C633" s="30">
        <v>234030</v>
      </c>
      <c r="D633" s="208">
        <v>2</v>
      </c>
      <c r="E633" s="178">
        <f t="shared" si="36"/>
        <v>0</v>
      </c>
      <c r="F633" s="195">
        <f t="shared" si="37"/>
        <v>0</v>
      </c>
      <c r="G633" s="201"/>
      <c r="H633" s="230"/>
      <c r="I633" s="201"/>
      <c r="J633" s="230"/>
      <c r="K633" s="201"/>
      <c r="L633" s="179"/>
      <c r="M633" s="201"/>
      <c r="N633" s="229"/>
      <c r="O633" s="202"/>
      <c r="P633" s="229"/>
      <c r="Q633" s="179"/>
      <c r="R633" s="180"/>
      <c r="S633" s="178">
        <f t="shared" si="38"/>
        <v>0</v>
      </c>
      <c r="T633" s="195">
        <f t="shared" si="39"/>
        <v>0</v>
      </c>
      <c r="U633" s="201"/>
      <c r="V633" s="202"/>
      <c r="W633" s="201"/>
      <c r="X633" s="202"/>
      <c r="Y633" s="201"/>
      <c r="Z633" s="179"/>
      <c r="AA633" s="201"/>
      <c r="AB633" s="202"/>
      <c r="AC633" s="202"/>
      <c r="AD633" s="202"/>
      <c r="AE633" s="179"/>
      <c r="AF633" s="256"/>
    </row>
    <row r="634" spans="1:32" s="223" customFormat="1" ht="15" customHeight="1">
      <c r="A634" s="163" t="s">
        <v>540</v>
      </c>
      <c r="B634" s="163" t="s">
        <v>1000</v>
      </c>
      <c r="C634" s="30">
        <v>232423</v>
      </c>
      <c r="D634" s="208">
        <v>3</v>
      </c>
      <c r="E634" s="178">
        <f t="shared" si="36"/>
        <v>0</v>
      </c>
      <c r="F634" s="195">
        <f t="shared" si="37"/>
        <v>0</v>
      </c>
      <c r="G634" s="201"/>
      <c r="H634" s="230"/>
      <c r="I634" s="201"/>
      <c r="J634" s="230"/>
      <c r="K634" s="201"/>
      <c r="L634" s="179"/>
      <c r="M634" s="201"/>
      <c r="N634" s="229"/>
      <c r="O634" s="202"/>
      <c r="P634" s="229"/>
      <c r="Q634" s="179"/>
      <c r="R634" s="180"/>
      <c r="S634" s="178">
        <f t="shared" si="38"/>
        <v>0</v>
      </c>
      <c r="T634" s="195">
        <f t="shared" si="39"/>
        <v>0</v>
      </c>
      <c r="U634" s="201"/>
      <c r="V634" s="202"/>
      <c r="W634" s="201"/>
      <c r="X634" s="202"/>
      <c r="Y634" s="201"/>
      <c r="Z634" s="179"/>
      <c r="AA634" s="201"/>
      <c r="AB634" s="202"/>
      <c r="AC634" s="202"/>
      <c r="AD634" s="202"/>
      <c r="AE634" s="179"/>
      <c r="AF634" s="256"/>
    </row>
    <row r="635" spans="1:32" s="223" customFormat="1" ht="15" customHeight="1">
      <c r="A635" s="163" t="s">
        <v>540</v>
      </c>
      <c r="B635" s="163" t="s">
        <v>1001</v>
      </c>
      <c r="C635" s="30">
        <v>233277</v>
      </c>
      <c r="D635" s="208">
        <v>3</v>
      </c>
      <c r="E635" s="178">
        <f t="shared" si="36"/>
        <v>0</v>
      </c>
      <c r="F635" s="195">
        <f t="shared" si="37"/>
        <v>0</v>
      </c>
      <c r="G635" s="201"/>
      <c r="H635" s="230"/>
      <c r="I635" s="201"/>
      <c r="J635" s="230"/>
      <c r="K635" s="201"/>
      <c r="L635" s="179"/>
      <c r="M635" s="201"/>
      <c r="N635" s="229"/>
      <c r="O635" s="202"/>
      <c r="P635" s="229"/>
      <c r="Q635" s="179"/>
      <c r="R635" s="180"/>
      <c r="S635" s="178">
        <f t="shared" si="38"/>
        <v>0</v>
      </c>
      <c r="T635" s="195">
        <f t="shared" si="39"/>
        <v>0</v>
      </c>
      <c r="U635" s="201"/>
      <c r="V635" s="202"/>
      <c r="W635" s="201"/>
      <c r="X635" s="202"/>
      <c r="Y635" s="201"/>
      <c r="Z635" s="179"/>
      <c r="AA635" s="201"/>
      <c r="AB635" s="202"/>
      <c r="AC635" s="202"/>
      <c r="AD635" s="202"/>
      <c r="AE635" s="179"/>
      <c r="AF635" s="256"/>
    </row>
    <row r="636" spans="1:32" s="223" customFormat="1" ht="15" customHeight="1">
      <c r="A636" s="163" t="s">
        <v>540</v>
      </c>
      <c r="B636" s="163" t="s">
        <v>1002</v>
      </c>
      <c r="C636" s="30">
        <v>231712</v>
      </c>
      <c r="D636" s="208">
        <v>4</v>
      </c>
      <c r="E636" s="178">
        <f t="shared" si="36"/>
        <v>0</v>
      </c>
      <c r="F636" s="195">
        <f t="shared" si="37"/>
        <v>0</v>
      </c>
      <c r="G636" s="201"/>
      <c r="H636" s="230"/>
      <c r="I636" s="201"/>
      <c r="J636" s="230"/>
      <c r="K636" s="201"/>
      <c r="L636" s="179"/>
      <c r="M636" s="201"/>
      <c r="N636" s="229"/>
      <c r="O636" s="202"/>
      <c r="P636" s="229"/>
      <c r="Q636" s="179"/>
      <c r="R636" s="180"/>
      <c r="S636" s="178">
        <f t="shared" si="38"/>
        <v>0</v>
      </c>
      <c r="T636" s="195">
        <f t="shared" si="39"/>
        <v>0</v>
      </c>
      <c r="U636" s="201"/>
      <c r="V636" s="202"/>
      <c r="W636" s="201"/>
      <c r="X636" s="202"/>
      <c r="Y636" s="201"/>
      <c r="Z636" s="179"/>
      <c r="AA636" s="201"/>
      <c r="AB636" s="202"/>
      <c r="AC636" s="202"/>
      <c r="AD636" s="202"/>
      <c r="AE636" s="179"/>
      <c r="AF636" s="256"/>
    </row>
    <row r="637" spans="1:32" s="223" customFormat="1" ht="15" customHeight="1">
      <c r="A637" s="163" t="s">
        <v>540</v>
      </c>
      <c r="B637" s="163" t="s">
        <v>1003</v>
      </c>
      <c r="C637" s="30">
        <v>232937</v>
      </c>
      <c r="D637" s="208">
        <v>4</v>
      </c>
      <c r="E637" s="178">
        <f t="shared" si="36"/>
        <v>0</v>
      </c>
      <c r="F637" s="195">
        <f t="shared" si="37"/>
        <v>0</v>
      </c>
      <c r="G637" s="201"/>
      <c r="H637" s="230"/>
      <c r="I637" s="201"/>
      <c r="J637" s="230"/>
      <c r="K637" s="201"/>
      <c r="L637" s="179"/>
      <c r="M637" s="201"/>
      <c r="N637" s="229"/>
      <c r="O637" s="202"/>
      <c r="P637" s="229"/>
      <c r="Q637" s="179"/>
      <c r="R637" s="180"/>
      <c r="S637" s="178">
        <f t="shared" si="38"/>
        <v>0</v>
      </c>
      <c r="T637" s="195">
        <f t="shared" si="39"/>
        <v>0</v>
      </c>
      <c r="U637" s="201"/>
      <c r="V637" s="202"/>
      <c r="W637" s="201"/>
      <c r="X637" s="202"/>
      <c r="Y637" s="201"/>
      <c r="Z637" s="179"/>
      <c r="AA637" s="201"/>
      <c r="AB637" s="202"/>
      <c r="AC637" s="202"/>
      <c r="AD637" s="202"/>
      <c r="AE637" s="179"/>
      <c r="AF637" s="256"/>
    </row>
    <row r="638" spans="1:32" s="223" customFormat="1" ht="15" customHeight="1">
      <c r="A638" s="163" t="s">
        <v>540</v>
      </c>
      <c r="B638" s="163" t="s">
        <v>1004</v>
      </c>
      <c r="C638" s="30">
        <v>234155</v>
      </c>
      <c r="D638" s="208">
        <v>4</v>
      </c>
      <c r="E638" s="178">
        <f t="shared" si="36"/>
        <v>0</v>
      </c>
      <c r="F638" s="195">
        <f t="shared" si="37"/>
        <v>0</v>
      </c>
      <c r="G638" s="201"/>
      <c r="H638" s="230"/>
      <c r="I638" s="201"/>
      <c r="J638" s="230"/>
      <c r="K638" s="201"/>
      <c r="L638" s="179"/>
      <c r="M638" s="201"/>
      <c r="N638" s="229"/>
      <c r="O638" s="202"/>
      <c r="P638" s="229"/>
      <c r="Q638" s="179"/>
      <c r="R638" s="180"/>
      <c r="S638" s="178">
        <f t="shared" si="38"/>
        <v>0</v>
      </c>
      <c r="T638" s="195">
        <f t="shared" si="39"/>
        <v>0</v>
      </c>
      <c r="U638" s="201"/>
      <c r="V638" s="202"/>
      <c r="W638" s="201"/>
      <c r="X638" s="202"/>
      <c r="Y638" s="201"/>
      <c r="Z638" s="179"/>
      <c r="AA638" s="201"/>
      <c r="AB638" s="202"/>
      <c r="AC638" s="202"/>
      <c r="AD638" s="202"/>
      <c r="AE638" s="179"/>
      <c r="AF638" s="256"/>
    </row>
    <row r="639" spans="1:32" s="223" customFormat="1" ht="15" customHeight="1">
      <c r="A639" s="163" t="s">
        <v>540</v>
      </c>
      <c r="B639" s="163" t="s">
        <v>1005</v>
      </c>
      <c r="C639" s="30">
        <v>232566</v>
      </c>
      <c r="D639" s="208">
        <v>5</v>
      </c>
      <c r="E639" s="178">
        <f t="shared" si="36"/>
        <v>0</v>
      </c>
      <c r="F639" s="195">
        <f t="shared" si="37"/>
        <v>0</v>
      </c>
      <c r="G639" s="201"/>
      <c r="H639" s="230"/>
      <c r="I639" s="201"/>
      <c r="J639" s="230"/>
      <c r="K639" s="201"/>
      <c r="L639" s="179"/>
      <c r="M639" s="201"/>
      <c r="N639" s="229"/>
      <c r="O639" s="202"/>
      <c r="P639" s="229"/>
      <c r="Q639" s="179"/>
      <c r="R639" s="180"/>
      <c r="S639" s="178">
        <f t="shared" si="38"/>
        <v>0</v>
      </c>
      <c r="T639" s="195">
        <f t="shared" si="39"/>
        <v>0</v>
      </c>
      <c r="U639" s="201"/>
      <c r="V639" s="202"/>
      <c r="W639" s="201"/>
      <c r="X639" s="202"/>
      <c r="Y639" s="201"/>
      <c r="Z639" s="179"/>
      <c r="AA639" s="201"/>
      <c r="AB639" s="202"/>
      <c r="AC639" s="202"/>
      <c r="AD639" s="202"/>
      <c r="AE639" s="179"/>
      <c r="AF639" s="256"/>
    </row>
    <row r="640" spans="1:32" s="223" customFormat="1" ht="15" customHeight="1">
      <c r="A640" s="163" t="s">
        <v>540</v>
      </c>
      <c r="B640" s="163" t="s">
        <v>1006</v>
      </c>
      <c r="C640" s="30">
        <v>232681</v>
      </c>
      <c r="D640" s="208">
        <v>6</v>
      </c>
      <c r="E640" s="178">
        <f t="shared" si="36"/>
        <v>0</v>
      </c>
      <c r="F640" s="195">
        <f t="shared" si="37"/>
        <v>0</v>
      </c>
      <c r="G640" s="201"/>
      <c r="H640" s="230"/>
      <c r="I640" s="201"/>
      <c r="J640" s="230"/>
      <c r="K640" s="201"/>
      <c r="L640" s="179"/>
      <c r="M640" s="201"/>
      <c r="N640" s="229"/>
      <c r="O640" s="202"/>
      <c r="P640" s="229"/>
      <c r="Q640" s="179"/>
      <c r="R640" s="180"/>
      <c r="S640" s="178">
        <f t="shared" si="38"/>
        <v>0</v>
      </c>
      <c r="T640" s="195">
        <f t="shared" si="39"/>
        <v>0</v>
      </c>
      <c r="U640" s="201"/>
      <c r="V640" s="202"/>
      <c r="W640" s="201"/>
      <c r="X640" s="202"/>
      <c r="Y640" s="201"/>
      <c r="Z640" s="179"/>
      <c r="AA640" s="201"/>
      <c r="AB640" s="202"/>
      <c r="AC640" s="202"/>
      <c r="AD640" s="202"/>
      <c r="AE640" s="179"/>
      <c r="AF640" s="256"/>
    </row>
    <row r="641" spans="1:32" s="223" customFormat="1" ht="15" customHeight="1">
      <c r="A641" s="163" t="s">
        <v>540</v>
      </c>
      <c r="B641" s="163" t="s">
        <v>1007</v>
      </c>
      <c r="C641" s="30">
        <v>233897</v>
      </c>
      <c r="D641" s="208">
        <v>6</v>
      </c>
      <c r="E641" s="178">
        <f t="shared" si="36"/>
        <v>0</v>
      </c>
      <c r="F641" s="195">
        <f t="shared" si="37"/>
        <v>0</v>
      </c>
      <c r="G641" s="201"/>
      <c r="H641" s="230"/>
      <c r="I641" s="201"/>
      <c r="J641" s="230"/>
      <c r="K641" s="201"/>
      <c r="L641" s="179"/>
      <c r="M641" s="201"/>
      <c r="N641" s="229"/>
      <c r="O641" s="202"/>
      <c r="P641" s="229"/>
      <c r="Q641" s="179"/>
      <c r="R641" s="180"/>
      <c r="S641" s="178">
        <f t="shared" si="38"/>
        <v>0</v>
      </c>
      <c r="T641" s="195">
        <f t="shared" si="39"/>
        <v>0</v>
      </c>
      <c r="U641" s="201"/>
      <c r="V641" s="202"/>
      <c r="W641" s="201"/>
      <c r="X641" s="202"/>
      <c r="Y641" s="201"/>
      <c r="Z641" s="179"/>
      <c r="AA641" s="201"/>
      <c r="AB641" s="202"/>
      <c r="AC641" s="202"/>
      <c r="AD641" s="202"/>
      <c r="AE641" s="179"/>
      <c r="AF641" s="256"/>
    </row>
    <row r="642" spans="1:32" s="223" customFormat="1" ht="15" customHeight="1">
      <c r="A642" s="163" t="s">
        <v>540</v>
      </c>
      <c r="B642" s="163" t="s">
        <v>1008</v>
      </c>
      <c r="C642" s="30">
        <v>232414</v>
      </c>
      <c r="D642" s="208">
        <v>8</v>
      </c>
      <c r="E642" s="178">
        <f t="shared" si="36"/>
        <v>0</v>
      </c>
      <c r="F642" s="195">
        <f t="shared" si="37"/>
        <v>0</v>
      </c>
      <c r="G642" s="201"/>
      <c r="H642" s="230"/>
      <c r="I642" s="201"/>
      <c r="J642" s="230"/>
      <c r="K642" s="201"/>
      <c r="L642" s="179"/>
      <c r="M642" s="201"/>
      <c r="N642" s="229"/>
      <c r="O642" s="202"/>
      <c r="P642" s="229"/>
      <c r="Q642" s="179"/>
      <c r="R642" s="180"/>
      <c r="S642" s="178">
        <f t="shared" si="38"/>
        <v>0</v>
      </c>
      <c r="T642" s="195">
        <f t="shared" si="39"/>
        <v>0</v>
      </c>
      <c r="U642" s="201"/>
      <c r="V642" s="202"/>
      <c r="W642" s="201"/>
      <c r="X642" s="202"/>
      <c r="Y642" s="201"/>
      <c r="Z642" s="179"/>
      <c r="AA642" s="201"/>
      <c r="AB642" s="202"/>
      <c r="AC642" s="202"/>
      <c r="AD642" s="202"/>
      <c r="AE642" s="179"/>
      <c r="AF642" s="256"/>
    </row>
    <row r="643" spans="1:32" s="223" customFormat="1" ht="15" customHeight="1">
      <c r="A643" s="163" t="s">
        <v>540</v>
      </c>
      <c r="B643" s="163" t="s">
        <v>1010</v>
      </c>
      <c r="C643" s="30">
        <v>232946</v>
      </c>
      <c r="D643" s="208">
        <v>8</v>
      </c>
      <c r="E643" s="178">
        <f t="shared" si="36"/>
        <v>0</v>
      </c>
      <c r="F643" s="195">
        <f t="shared" si="37"/>
        <v>0</v>
      </c>
      <c r="G643" s="201"/>
      <c r="H643" s="230"/>
      <c r="I643" s="201"/>
      <c r="J643" s="230"/>
      <c r="K643" s="201"/>
      <c r="L643" s="179"/>
      <c r="M643" s="201"/>
      <c r="N643" s="229"/>
      <c r="O643" s="202"/>
      <c r="P643" s="229"/>
      <c r="Q643" s="179"/>
      <c r="R643" s="180"/>
      <c r="S643" s="178">
        <f t="shared" si="38"/>
        <v>0</v>
      </c>
      <c r="T643" s="195">
        <f t="shared" si="39"/>
        <v>0</v>
      </c>
      <c r="U643" s="201"/>
      <c r="V643" s="202"/>
      <c r="W643" s="201"/>
      <c r="X643" s="202"/>
      <c r="Y643" s="201"/>
      <c r="Z643" s="179"/>
      <c r="AA643" s="201"/>
      <c r="AB643" s="202"/>
      <c r="AC643" s="202"/>
      <c r="AD643" s="202"/>
      <c r="AE643" s="179"/>
      <c r="AF643" s="256"/>
    </row>
    <row r="644" spans="1:32" s="223" customFormat="1" ht="15" customHeight="1">
      <c r="A644" s="163" t="s">
        <v>540</v>
      </c>
      <c r="B644" s="163" t="s">
        <v>1011</v>
      </c>
      <c r="C644" s="30">
        <v>233772</v>
      </c>
      <c r="D644" s="208">
        <v>8</v>
      </c>
      <c r="E644" s="178">
        <f t="shared" si="36"/>
        <v>0</v>
      </c>
      <c r="F644" s="195">
        <f t="shared" si="37"/>
        <v>0</v>
      </c>
      <c r="G644" s="201"/>
      <c r="H644" s="230"/>
      <c r="I644" s="201"/>
      <c r="J644" s="230"/>
      <c r="K644" s="201"/>
      <c r="L644" s="179"/>
      <c r="M644" s="201"/>
      <c r="N644" s="229"/>
      <c r="O644" s="202"/>
      <c r="P644" s="229"/>
      <c r="Q644" s="179"/>
      <c r="R644" s="180"/>
      <c r="S644" s="178">
        <f t="shared" si="38"/>
        <v>0</v>
      </c>
      <c r="T644" s="195">
        <f t="shared" si="39"/>
        <v>0</v>
      </c>
      <c r="U644" s="201"/>
      <c r="V644" s="202"/>
      <c r="W644" s="201"/>
      <c r="X644" s="202"/>
      <c r="Y644" s="201"/>
      <c r="Z644" s="179"/>
      <c r="AA644" s="201"/>
      <c r="AB644" s="202"/>
      <c r="AC644" s="202"/>
      <c r="AD644" s="202"/>
      <c r="AE644" s="179"/>
      <c r="AF644" s="256"/>
    </row>
    <row r="645" spans="1:32" s="223" customFormat="1" ht="15" customHeight="1">
      <c r="A645" s="163" t="s">
        <v>540</v>
      </c>
      <c r="B645" s="163" t="s">
        <v>1012</v>
      </c>
      <c r="C645" s="30">
        <v>231536</v>
      </c>
      <c r="D645" s="208">
        <v>9</v>
      </c>
      <c r="E645" s="178">
        <f t="shared" si="36"/>
        <v>0</v>
      </c>
      <c r="F645" s="195">
        <f t="shared" si="37"/>
        <v>0</v>
      </c>
      <c r="G645" s="201"/>
      <c r="H645" s="230"/>
      <c r="I645" s="201"/>
      <c r="J645" s="230"/>
      <c r="K645" s="201"/>
      <c r="L645" s="179"/>
      <c r="M645" s="201"/>
      <c r="N645" s="229"/>
      <c r="O645" s="202"/>
      <c r="P645" s="229"/>
      <c r="Q645" s="179"/>
      <c r="R645" s="180"/>
      <c r="S645" s="178">
        <f t="shared" si="38"/>
        <v>0</v>
      </c>
      <c r="T645" s="195">
        <f t="shared" si="39"/>
        <v>0</v>
      </c>
      <c r="U645" s="201"/>
      <c r="V645" s="202"/>
      <c r="W645" s="201"/>
      <c r="X645" s="202"/>
      <c r="Y645" s="201"/>
      <c r="Z645" s="179"/>
      <c r="AA645" s="201"/>
      <c r="AB645" s="202"/>
      <c r="AC645" s="202"/>
      <c r="AD645" s="202"/>
      <c r="AE645" s="179"/>
      <c r="AF645" s="256"/>
    </row>
    <row r="646" spans="1:32" s="223" customFormat="1" ht="15" customHeight="1">
      <c r="A646" s="163" t="s">
        <v>540</v>
      </c>
      <c r="B646" s="163" t="s">
        <v>1013</v>
      </c>
      <c r="C646" s="30">
        <v>231697</v>
      </c>
      <c r="D646" s="208">
        <v>9</v>
      </c>
      <c r="E646" s="178">
        <f t="shared" si="36"/>
        <v>0</v>
      </c>
      <c r="F646" s="195">
        <f t="shared" si="37"/>
        <v>0</v>
      </c>
      <c r="G646" s="201"/>
      <c r="H646" s="230"/>
      <c r="I646" s="201"/>
      <c r="J646" s="230"/>
      <c r="K646" s="201"/>
      <c r="L646" s="179"/>
      <c r="M646" s="201"/>
      <c r="N646" s="229"/>
      <c r="O646" s="202"/>
      <c r="P646" s="229"/>
      <c r="Q646" s="179"/>
      <c r="R646" s="180"/>
      <c r="S646" s="178">
        <f t="shared" si="38"/>
        <v>0</v>
      </c>
      <c r="T646" s="195">
        <f t="shared" si="39"/>
        <v>0</v>
      </c>
      <c r="U646" s="201"/>
      <c r="V646" s="202"/>
      <c r="W646" s="201"/>
      <c r="X646" s="202"/>
      <c r="Y646" s="201"/>
      <c r="Z646" s="179"/>
      <c r="AA646" s="201"/>
      <c r="AB646" s="202"/>
      <c r="AC646" s="202"/>
      <c r="AD646" s="202"/>
      <c r="AE646" s="179"/>
      <c r="AF646" s="256"/>
    </row>
    <row r="647" spans="1:32" s="223" customFormat="1" ht="15" customHeight="1">
      <c r="A647" s="163" t="s">
        <v>540</v>
      </c>
      <c r="B647" s="163" t="s">
        <v>0</v>
      </c>
      <c r="C647" s="30">
        <v>231882</v>
      </c>
      <c r="D647" s="208">
        <v>9</v>
      </c>
      <c r="E647" s="178">
        <f aca="true" t="shared" si="40" ref="E647:E704">SUM(G647,I647,K647,L647,M647,Q647)</f>
        <v>0</v>
      </c>
      <c r="F647" s="195">
        <f aca="true" t="shared" si="41" ref="F647:F704">SUM(H647,J647,N647,O647,P647,R647)</f>
        <v>0</v>
      </c>
      <c r="G647" s="201"/>
      <c r="H647" s="230"/>
      <c r="I647" s="201"/>
      <c r="J647" s="230"/>
      <c r="K647" s="201"/>
      <c r="L647" s="179"/>
      <c r="M647" s="201"/>
      <c r="N647" s="229"/>
      <c r="O647" s="202"/>
      <c r="P647" s="229"/>
      <c r="Q647" s="179"/>
      <c r="R647" s="180"/>
      <c r="S647" s="178">
        <f aca="true" t="shared" si="42" ref="S647:S704">SUM(U647,W647,Y647,Z647,AA647,AE647)</f>
        <v>0</v>
      </c>
      <c r="T647" s="195">
        <f aca="true" t="shared" si="43" ref="T647:T704">SUM(V647,X647,AB647,AC647,AD647,AF647)</f>
        <v>0</v>
      </c>
      <c r="U647" s="201"/>
      <c r="V647" s="202"/>
      <c r="W647" s="201"/>
      <c r="X647" s="202"/>
      <c r="Y647" s="201"/>
      <c r="Z647" s="179"/>
      <c r="AA647" s="201"/>
      <c r="AB647" s="202"/>
      <c r="AC647" s="202"/>
      <c r="AD647" s="202"/>
      <c r="AE647" s="179"/>
      <c r="AF647" s="256"/>
    </row>
    <row r="648" spans="1:32" s="223" customFormat="1" ht="15" customHeight="1">
      <c r="A648" s="163" t="s">
        <v>540</v>
      </c>
      <c r="B648" s="163" t="s">
        <v>1</v>
      </c>
      <c r="C648" s="30">
        <v>232195</v>
      </c>
      <c r="D648" s="208">
        <v>9</v>
      </c>
      <c r="E648" s="178">
        <f t="shared" si="40"/>
        <v>0</v>
      </c>
      <c r="F648" s="195">
        <f t="shared" si="41"/>
        <v>0</v>
      </c>
      <c r="G648" s="201"/>
      <c r="H648" s="230"/>
      <c r="I648" s="201"/>
      <c r="J648" s="230"/>
      <c r="K648" s="201"/>
      <c r="L648" s="179"/>
      <c r="M648" s="201"/>
      <c r="N648" s="229"/>
      <c r="O648" s="202"/>
      <c r="P648" s="229"/>
      <c r="Q648" s="179"/>
      <c r="R648" s="180"/>
      <c r="S648" s="178">
        <f t="shared" si="42"/>
        <v>0</v>
      </c>
      <c r="T648" s="195">
        <f t="shared" si="43"/>
        <v>0</v>
      </c>
      <c r="U648" s="201"/>
      <c r="V648" s="202"/>
      <c r="W648" s="201"/>
      <c r="X648" s="202"/>
      <c r="Y648" s="201"/>
      <c r="Z648" s="179"/>
      <c r="AA648" s="201"/>
      <c r="AB648" s="202"/>
      <c r="AC648" s="202"/>
      <c r="AD648" s="202"/>
      <c r="AE648" s="179"/>
      <c r="AF648" s="256"/>
    </row>
    <row r="649" spans="1:32" s="223" customFormat="1" ht="15" customHeight="1">
      <c r="A649" s="163" t="s">
        <v>540</v>
      </c>
      <c r="B649" s="163" t="s">
        <v>2</v>
      </c>
      <c r="C649" s="30">
        <v>232450</v>
      </c>
      <c r="D649" s="208">
        <v>9</v>
      </c>
      <c r="E649" s="178">
        <f t="shared" si="40"/>
        <v>0</v>
      </c>
      <c r="F649" s="195">
        <f t="shared" si="41"/>
        <v>0</v>
      </c>
      <c r="G649" s="201"/>
      <c r="H649" s="230"/>
      <c r="I649" s="201"/>
      <c r="J649" s="230"/>
      <c r="K649" s="201"/>
      <c r="L649" s="179"/>
      <c r="M649" s="201"/>
      <c r="N649" s="229"/>
      <c r="O649" s="202"/>
      <c r="P649" s="229"/>
      <c r="Q649" s="179"/>
      <c r="R649" s="180"/>
      <c r="S649" s="178">
        <f t="shared" si="42"/>
        <v>0</v>
      </c>
      <c r="T649" s="195">
        <f t="shared" si="43"/>
        <v>0</v>
      </c>
      <c r="U649" s="201"/>
      <c r="V649" s="202"/>
      <c r="W649" s="201"/>
      <c r="X649" s="202"/>
      <c r="Y649" s="201"/>
      <c r="Z649" s="179"/>
      <c r="AA649" s="201"/>
      <c r="AB649" s="202"/>
      <c r="AC649" s="202"/>
      <c r="AD649" s="202"/>
      <c r="AE649" s="179"/>
      <c r="AF649" s="256"/>
    </row>
    <row r="650" spans="1:32" s="223" customFormat="1" ht="15" customHeight="1">
      <c r="A650" s="163" t="s">
        <v>540</v>
      </c>
      <c r="B650" s="163" t="s">
        <v>3</v>
      </c>
      <c r="C650" s="30">
        <v>232575</v>
      </c>
      <c r="D650" s="208">
        <v>9</v>
      </c>
      <c r="E650" s="178">
        <f t="shared" si="40"/>
        <v>0</v>
      </c>
      <c r="F650" s="195">
        <f t="shared" si="41"/>
        <v>0</v>
      </c>
      <c r="G650" s="201"/>
      <c r="H650" s="230"/>
      <c r="I650" s="201"/>
      <c r="J650" s="230"/>
      <c r="K650" s="201"/>
      <c r="L650" s="179"/>
      <c r="M650" s="201"/>
      <c r="N650" s="229"/>
      <c r="O650" s="202"/>
      <c r="P650" s="229"/>
      <c r="Q650" s="179"/>
      <c r="R650" s="180"/>
      <c r="S650" s="178">
        <f t="shared" si="42"/>
        <v>0</v>
      </c>
      <c r="T650" s="195">
        <f t="shared" si="43"/>
        <v>0</v>
      </c>
      <c r="U650" s="201"/>
      <c r="V650" s="202"/>
      <c r="W650" s="201"/>
      <c r="X650" s="202"/>
      <c r="Y650" s="201"/>
      <c r="Z650" s="179"/>
      <c r="AA650" s="201"/>
      <c r="AB650" s="202"/>
      <c r="AC650" s="202"/>
      <c r="AD650" s="202"/>
      <c r="AE650" s="179"/>
      <c r="AF650" s="256"/>
    </row>
    <row r="651" spans="1:32" s="223" customFormat="1" ht="15" customHeight="1">
      <c r="A651" s="163" t="s">
        <v>540</v>
      </c>
      <c r="B651" s="163" t="s">
        <v>4</v>
      </c>
      <c r="C651" s="30">
        <v>232788</v>
      </c>
      <c r="D651" s="208">
        <v>9</v>
      </c>
      <c r="E651" s="178">
        <f t="shared" si="40"/>
        <v>0</v>
      </c>
      <c r="F651" s="195">
        <f t="shared" si="41"/>
        <v>0</v>
      </c>
      <c r="G651" s="201"/>
      <c r="H651" s="230"/>
      <c r="I651" s="201"/>
      <c r="J651" s="230"/>
      <c r="K651" s="201"/>
      <c r="L651" s="179"/>
      <c r="M651" s="201"/>
      <c r="N651" s="229"/>
      <c r="O651" s="202"/>
      <c r="P651" s="229"/>
      <c r="Q651" s="179"/>
      <c r="R651" s="180"/>
      <c r="S651" s="178">
        <f t="shared" si="42"/>
        <v>0</v>
      </c>
      <c r="T651" s="195">
        <f t="shared" si="43"/>
        <v>0</v>
      </c>
      <c r="U651" s="201"/>
      <c r="V651" s="202"/>
      <c r="W651" s="201"/>
      <c r="X651" s="202"/>
      <c r="Y651" s="201"/>
      <c r="Z651" s="179"/>
      <c r="AA651" s="201"/>
      <c r="AB651" s="202"/>
      <c r="AC651" s="202"/>
      <c r="AD651" s="202"/>
      <c r="AE651" s="179"/>
      <c r="AF651" s="256"/>
    </row>
    <row r="652" spans="1:32" s="223" customFormat="1" ht="15" customHeight="1">
      <c r="A652" s="163" t="s">
        <v>540</v>
      </c>
      <c r="B652" s="163" t="s">
        <v>5</v>
      </c>
      <c r="C652" s="30">
        <v>232867</v>
      </c>
      <c r="D652" s="208">
        <v>9</v>
      </c>
      <c r="E652" s="178">
        <f t="shared" si="40"/>
        <v>0</v>
      </c>
      <c r="F652" s="195">
        <f t="shared" si="41"/>
        <v>0</v>
      </c>
      <c r="G652" s="201"/>
      <c r="H652" s="230"/>
      <c r="I652" s="201"/>
      <c r="J652" s="230"/>
      <c r="K652" s="201"/>
      <c r="L652" s="179"/>
      <c r="M652" s="201"/>
      <c r="N652" s="229"/>
      <c r="O652" s="202"/>
      <c r="P652" s="229"/>
      <c r="Q652" s="179"/>
      <c r="R652" s="180"/>
      <c r="S652" s="178">
        <f t="shared" si="42"/>
        <v>0</v>
      </c>
      <c r="T652" s="195">
        <f t="shared" si="43"/>
        <v>0</v>
      </c>
      <c r="U652" s="201"/>
      <c r="V652" s="202"/>
      <c r="W652" s="201"/>
      <c r="X652" s="202"/>
      <c r="Y652" s="201"/>
      <c r="Z652" s="179"/>
      <c r="AA652" s="201"/>
      <c r="AB652" s="202"/>
      <c r="AC652" s="202"/>
      <c r="AD652" s="202"/>
      <c r="AE652" s="179"/>
      <c r="AF652" s="256"/>
    </row>
    <row r="653" spans="1:32" s="223" customFormat="1" ht="15" customHeight="1">
      <c r="A653" s="163" t="s">
        <v>540</v>
      </c>
      <c r="B653" s="163" t="s">
        <v>6</v>
      </c>
      <c r="C653" s="30">
        <v>233116</v>
      </c>
      <c r="D653" s="208">
        <v>9</v>
      </c>
      <c r="E653" s="178">
        <f t="shared" si="40"/>
        <v>0</v>
      </c>
      <c r="F653" s="195">
        <f t="shared" si="41"/>
        <v>0</v>
      </c>
      <c r="G653" s="201"/>
      <c r="H653" s="230"/>
      <c r="I653" s="201"/>
      <c r="J653" s="230"/>
      <c r="K653" s="201"/>
      <c r="L653" s="179"/>
      <c r="M653" s="201"/>
      <c r="N653" s="229"/>
      <c r="O653" s="202"/>
      <c r="P653" s="229"/>
      <c r="Q653" s="179"/>
      <c r="R653" s="180"/>
      <c r="S653" s="178">
        <f t="shared" si="42"/>
        <v>0</v>
      </c>
      <c r="T653" s="195">
        <f t="shared" si="43"/>
        <v>0</v>
      </c>
      <c r="U653" s="201"/>
      <c r="V653" s="202"/>
      <c r="W653" s="201"/>
      <c r="X653" s="202"/>
      <c r="Y653" s="201"/>
      <c r="Z653" s="179"/>
      <c r="AA653" s="201"/>
      <c r="AB653" s="202"/>
      <c r="AC653" s="202"/>
      <c r="AD653" s="202"/>
      <c r="AE653" s="179"/>
      <c r="AF653" s="256"/>
    </row>
    <row r="654" spans="1:32" s="223" customFormat="1" ht="15" customHeight="1">
      <c r="A654" s="163" t="s">
        <v>540</v>
      </c>
      <c r="B654" s="163" t="s">
        <v>7</v>
      </c>
      <c r="C654" s="30">
        <v>233639</v>
      </c>
      <c r="D654" s="208">
        <v>9</v>
      </c>
      <c r="E654" s="178">
        <f t="shared" si="40"/>
        <v>0</v>
      </c>
      <c r="F654" s="195">
        <f t="shared" si="41"/>
        <v>0</v>
      </c>
      <c r="G654" s="201"/>
      <c r="H654" s="230"/>
      <c r="I654" s="201"/>
      <c r="J654" s="230"/>
      <c r="K654" s="201"/>
      <c r="L654" s="179"/>
      <c r="M654" s="201"/>
      <c r="N654" s="229"/>
      <c r="O654" s="202"/>
      <c r="P654" s="229"/>
      <c r="Q654" s="179"/>
      <c r="R654" s="180"/>
      <c r="S654" s="178">
        <f t="shared" si="42"/>
        <v>0</v>
      </c>
      <c r="T654" s="195">
        <f t="shared" si="43"/>
        <v>0</v>
      </c>
      <c r="U654" s="201"/>
      <c r="V654" s="202"/>
      <c r="W654" s="201"/>
      <c r="X654" s="202"/>
      <c r="Y654" s="201"/>
      <c r="Z654" s="179"/>
      <c r="AA654" s="201"/>
      <c r="AB654" s="202"/>
      <c r="AC654" s="202"/>
      <c r="AD654" s="202"/>
      <c r="AE654" s="179"/>
      <c r="AF654" s="256"/>
    </row>
    <row r="655" spans="1:32" s="223" customFormat="1" ht="15" customHeight="1">
      <c r="A655" s="163" t="s">
        <v>540</v>
      </c>
      <c r="B655" s="163" t="s">
        <v>8</v>
      </c>
      <c r="C655" s="30">
        <v>233648</v>
      </c>
      <c r="D655" s="208">
        <v>9</v>
      </c>
      <c r="E655" s="178">
        <f t="shared" si="40"/>
        <v>0</v>
      </c>
      <c r="F655" s="195">
        <f t="shared" si="41"/>
        <v>0</v>
      </c>
      <c r="G655" s="201"/>
      <c r="H655" s="230"/>
      <c r="I655" s="201"/>
      <c r="J655" s="230"/>
      <c r="K655" s="201"/>
      <c r="L655" s="179"/>
      <c r="M655" s="201"/>
      <c r="N655" s="229"/>
      <c r="O655" s="202"/>
      <c r="P655" s="229"/>
      <c r="Q655" s="179"/>
      <c r="R655" s="180"/>
      <c r="S655" s="178">
        <f t="shared" si="42"/>
        <v>0</v>
      </c>
      <c r="T655" s="195">
        <f t="shared" si="43"/>
        <v>0</v>
      </c>
      <c r="U655" s="201"/>
      <c r="V655" s="202"/>
      <c r="W655" s="201"/>
      <c r="X655" s="202"/>
      <c r="Y655" s="201"/>
      <c r="Z655" s="179"/>
      <c r="AA655" s="201"/>
      <c r="AB655" s="202"/>
      <c r="AC655" s="202"/>
      <c r="AD655" s="202"/>
      <c r="AE655" s="179"/>
      <c r="AF655" s="256"/>
    </row>
    <row r="656" spans="1:32" s="223" customFormat="1" ht="15" customHeight="1">
      <c r="A656" s="163" t="s">
        <v>540</v>
      </c>
      <c r="B656" s="163" t="s">
        <v>9</v>
      </c>
      <c r="C656" s="30">
        <v>233754</v>
      </c>
      <c r="D656" s="208">
        <v>9</v>
      </c>
      <c r="E656" s="178">
        <f t="shared" si="40"/>
        <v>0</v>
      </c>
      <c r="F656" s="195">
        <f t="shared" si="41"/>
        <v>0</v>
      </c>
      <c r="G656" s="201"/>
      <c r="H656" s="230"/>
      <c r="I656" s="201"/>
      <c r="J656" s="230"/>
      <c r="K656" s="201"/>
      <c r="L656" s="179"/>
      <c r="M656" s="201"/>
      <c r="N656" s="229"/>
      <c r="O656" s="202"/>
      <c r="P656" s="229"/>
      <c r="Q656" s="179"/>
      <c r="R656" s="180"/>
      <c r="S656" s="178">
        <f t="shared" si="42"/>
        <v>0</v>
      </c>
      <c r="T656" s="195">
        <f t="shared" si="43"/>
        <v>0</v>
      </c>
      <c r="U656" s="201"/>
      <c r="V656" s="202"/>
      <c r="W656" s="201"/>
      <c r="X656" s="202"/>
      <c r="Y656" s="201"/>
      <c r="Z656" s="179"/>
      <c r="AA656" s="201"/>
      <c r="AB656" s="202"/>
      <c r="AC656" s="202"/>
      <c r="AD656" s="202"/>
      <c r="AE656" s="179"/>
      <c r="AF656" s="256"/>
    </row>
    <row r="657" spans="1:32" s="223" customFormat="1" ht="15" customHeight="1">
      <c r="A657" s="163" t="s">
        <v>540</v>
      </c>
      <c r="B657" s="163" t="s">
        <v>10</v>
      </c>
      <c r="C657" s="30">
        <v>233949</v>
      </c>
      <c r="D657" s="208">
        <v>9</v>
      </c>
      <c r="E657" s="178">
        <f t="shared" si="40"/>
        <v>0</v>
      </c>
      <c r="F657" s="195">
        <f t="shared" si="41"/>
        <v>0</v>
      </c>
      <c r="G657" s="201"/>
      <c r="H657" s="230"/>
      <c r="I657" s="201"/>
      <c r="J657" s="230"/>
      <c r="K657" s="201"/>
      <c r="L657" s="179"/>
      <c r="M657" s="201"/>
      <c r="N657" s="229"/>
      <c r="O657" s="202"/>
      <c r="P657" s="229"/>
      <c r="Q657" s="179"/>
      <c r="R657" s="180"/>
      <c r="S657" s="178">
        <f t="shared" si="42"/>
        <v>0</v>
      </c>
      <c r="T657" s="195">
        <f t="shared" si="43"/>
        <v>0</v>
      </c>
      <c r="U657" s="201"/>
      <c r="V657" s="202"/>
      <c r="W657" s="201"/>
      <c r="X657" s="202"/>
      <c r="Y657" s="201"/>
      <c r="Z657" s="179"/>
      <c r="AA657" s="201"/>
      <c r="AB657" s="202"/>
      <c r="AC657" s="202"/>
      <c r="AD657" s="202"/>
      <c r="AE657" s="179"/>
      <c r="AF657" s="256"/>
    </row>
    <row r="658" spans="1:32" s="223" customFormat="1" ht="15" customHeight="1">
      <c r="A658" s="163" t="s">
        <v>540</v>
      </c>
      <c r="B658" s="163" t="s">
        <v>11</v>
      </c>
      <c r="C658" s="30">
        <v>231873</v>
      </c>
      <c r="D658" s="208">
        <v>10</v>
      </c>
      <c r="E658" s="178">
        <f t="shared" si="40"/>
        <v>0</v>
      </c>
      <c r="F658" s="195">
        <f t="shared" si="41"/>
        <v>0</v>
      </c>
      <c r="G658" s="201"/>
      <c r="H658" s="230"/>
      <c r="I658" s="201"/>
      <c r="J658" s="230"/>
      <c r="K658" s="201"/>
      <c r="L658" s="179"/>
      <c r="M658" s="201"/>
      <c r="N658" s="229"/>
      <c r="O658" s="202"/>
      <c r="P658" s="229"/>
      <c r="Q658" s="179"/>
      <c r="R658" s="180"/>
      <c r="S658" s="178">
        <f t="shared" si="42"/>
        <v>0</v>
      </c>
      <c r="T658" s="195">
        <f t="shared" si="43"/>
        <v>0</v>
      </c>
      <c r="U658" s="201"/>
      <c r="V658" s="202"/>
      <c r="W658" s="201"/>
      <c r="X658" s="202"/>
      <c r="Y658" s="201"/>
      <c r="Z658" s="179"/>
      <c r="AA658" s="201"/>
      <c r="AB658" s="202"/>
      <c r="AC658" s="202"/>
      <c r="AD658" s="202"/>
      <c r="AE658" s="179"/>
      <c r="AF658" s="256"/>
    </row>
    <row r="659" spans="1:32" s="223" customFormat="1" ht="15" customHeight="1">
      <c r="A659" s="163" t="s">
        <v>540</v>
      </c>
      <c r="B659" s="163" t="s">
        <v>12</v>
      </c>
      <c r="C659" s="30">
        <v>232052</v>
      </c>
      <c r="D659" s="208">
        <v>10</v>
      </c>
      <c r="E659" s="178">
        <f t="shared" si="40"/>
        <v>0</v>
      </c>
      <c r="F659" s="195">
        <f t="shared" si="41"/>
        <v>0</v>
      </c>
      <c r="G659" s="201"/>
      <c r="H659" s="230"/>
      <c r="I659" s="201"/>
      <c r="J659" s="230"/>
      <c r="K659" s="201"/>
      <c r="L659" s="179"/>
      <c r="M659" s="201"/>
      <c r="N659" s="229"/>
      <c r="O659" s="202"/>
      <c r="P659" s="229"/>
      <c r="Q659" s="179"/>
      <c r="R659" s="180"/>
      <c r="S659" s="178">
        <f t="shared" si="42"/>
        <v>0</v>
      </c>
      <c r="T659" s="195">
        <f t="shared" si="43"/>
        <v>0</v>
      </c>
      <c r="U659" s="201"/>
      <c r="V659" s="202"/>
      <c r="W659" s="201"/>
      <c r="X659" s="202"/>
      <c r="Y659" s="201"/>
      <c r="Z659" s="179"/>
      <c r="AA659" s="201"/>
      <c r="AB659" s="202"/>
      <c r="AC659" s="202"/>
      <c r="AD659" s="202"/>
      <c r="AE659" s="179"/>
      <c r="AF659" s="256"/>
    </row>
    <row r="660" spans="1:32" s="223" customFormat="1" ht="15" customHeight="1">
      <c r="A660" s="163" t="s">
        <v>540</v>
      </c>
      <c r="B660" s="163" t="s">
        <v>13</v>
      </c>
      <c r="C660" s="30">
        <v>233019</v>
      </c>
      <c r="D660" s="208">
        <v>10</v>
      </c>
      <c r="E660" s="178">
        <f t="shared" si="40"/>
        <v>0</v>
      </c>
      <c r="F660" s="195">
        <f t="shared" si="41"/>
        <v>0</v>
      </c>
      <c r="G660" s="201"/>
      <c r="H660" s="230"/>
      <c r="I660" s="201"/>
      <c r="J660" s="230"/>
      <c r="K660" s="201"/>
      <c r="L660" s="179"/>
      <c r="M660" s="201"/>
      <c r="N660" s="229"/>
      <c r="O660" s="202"/>
      <c r="P660" s="229"/>
      <c r="Q660" s="179"/>
      <c r="R660" s="180"/>
      <c r="S660" s="178">
        <f t="shared" si="42"/>
        <v>0</v>
      </c>
      <c r="T660" s="195">
        <f t="shared" si="43"/>
        <v>0</v>
      </c>
      <c r="U660" s="201"/>
      <c r="V660" s="202"/>
      <c r="W660" s="201"/>
      <c r="X660" s="202"/>
      <c r="Y660" s="201"/>
      <c r="Z660" s="179"/>
      <c r="AA660" s="201"/>
      <c r="AB660" s="202"/>
      <c r="AC660" s="202"/>
      <c r="AD660" s="202"/>
      <c r="AE660" s="179"/>
      <c r="AF660" s="256"/>
    </row>
    <row r="661" spans="1:32" s="223" customFormat="1" ht="15" customHeight="1">
      <c r="A661" s="163" t="s">
        <v>540</v>
      </c>
      <c r="B661" s="163" t="s">
        <v>14</v>
      </c>
      <c r="C661" s="30">
        <v>233037</v>
      </c>
      <c r="D661" s="208">
        <v>10</v>
      </c>
      <c r="E661" s="178">
        <f t="shared" si="40"/>
        <v>0</v>
      </c>
      <c r="F661" s="195">
        <f t="shared" si="41"/>
        <v>0</v>
      </c>
      <c r="G661" s="201"/>
      <c r="H661" s="230"/>
      <c r="I661" s="201"/>
      <c r="J661" s="230"/>
      <c r="K661" s="201"/>
      <c r="L661" s="179"/>
      <c r="M661" s="201"/>
      <c r="N661" s="229"/>
      <c r="O661" s="202"/>
      <c r="P661" s="229"/>
      <c r="Q661" s="179"/>
      <c r="R661" s="180"/>
      <c r="S661" s="178">
        <f t="shared" si="42"/>
        <v>0</v>
      </c>
      <c r="T661" s="195">
        <f t="shared" si="43"/>
        <v>0</v>
      </c>
      <c r="U661" s="201"/>
      <c r="V661" s="202"/>
      <c r="W661" s="201"/>
      <c r="X661" s="202"/>
      <c r="Y661" s="201"/>
      <c r="Z661" s="179"/>
      <c r="AA661" s="201"/>
      <c r="AB661" s="202"/>
      <c r="AC661" s="202"/>
      <c r="AD661" s="202"/>
      <c r="AE661" s="179"/>
      <c r="AF661" s="256"/>
    </row>
    <row r="662" spans="1:32" s="223" customFormat="1" ht="15" customHeight="1">
      <c r="A662" s="163" t="s">
        <v>540</v>
      </c>
      <c r="B662" s="163" t="s">
        <v>15</v>
      </c>
      <c r="C662" s="30">
        <v>233310</v>
      </c>
      <c r="D662" s="208">
        <v>10</v>
      </c>
      <c r="E662" s="178">
        <f t="shared" si="40"/>
        <v>0</v>
      </c>
      <c r="F662" s="195">
        <f t="shared" si="41"/>
        <v>0</v>
      </c>
      <c r="G662" s="201"/>
      <c r="H662" s="230"/>
      <c r="I662" s="201"/>
      <c r="J662" s="230"/>
      <c r="K662" s="201"/>
      <c r="L662" s="179"/>
      <c r="M662" s="201"/>
      <c r="N662" s="229"/>
      <c r="O662" s="202"/>
      <c r="P662" s="229"/>
      <c r="Q662" s="179"/>
      <c r="R662" s="180"/>
      <c r="S662" s="178">
        <f t="shared" si="42"/>
        <v>0</v>
      </c>
      <c r="T662" s="195">
        <f t="shared" si="43"/>
        <v>0</v>
      </c>
      <c r="U662" s="201"/>
      <c r="V662" s="202"/>
      <c r="W662" s="201"/>
      <c r="X662" s="202"/>
      <c r="Y662" s="201"/>
      <c r="Z662" s="179"/>
      <c r="AA662" s="201"/>
      <c r="AB662" s="202"/>
      <c r="AC662" s="202"/>
      <c r="AD662" s="202"/>
      <c r="AE662" s="179"/>
      <c r="AF662" s="256"/>
    </row>
    <row r="663" spans="1:32" s="223" customFormat="1" ht="15" customHeight="1">
      <c r="A663" s="163" t="s">
        <v>540</v>
      </c>
      <c r="B663" s="163" t="s">
        <v>16</v>
      </c>
      <c r="C663" s="30">
        <v>233338</v>
      </c>
      <c r="D663" s="208">
        <v>10</v>
      </c>
      <c r="E663" s="178">
        <f t="shared" si="40"/>
        <v>0</v>
      </c>
      <c r="F663" s="195">
        <f t="shared" si="41"/>
        <v>0</v>
      </c>
      <c r="G663" s="201"/>
      <c r="H663" s="230"/>
      <c r="I663" s="201"/>
      <c r="J663" s="230"/>
      <c r="K663" s="201"/>
      <c r="L663" s="179"/>
      <c r="M663" s="201"/>
      <c r="N663" s="229"/>
      <c r="O663" s="202"/>
      <c r="P663" s="229"/>
      <c r="Q663" s="179"/>
      <c r="R663" s="180"/>
      <c r="S663" s="178">
        <f t="shared" si="42"/>
        <v>0</v>
      </c>
      <c r="T663" s="195">
        <f t="shared" si="43"/>
        <v>0</v>
      </c>
      <c r="U663" s="201"/>
      <c r="V663" s="202"/>
      <c r="W663" s="201"/>
      <c r="X663" s="202"/>
      <c r="Y663" s="201"/>
      <c r="Z663" s="179"/>
      <c r="AA663" s="201"/>
      <c r="AB663" s="202"/>
      <c r="AC663" s="202"/>
      <c r="AD663" s="202"/>
      <c r="AE663" s="179"/>
      <c r="AF663" s="256"/>
    </row>
    <row r="664" spans="1:32" s="223" customFormat="1" ht="15" customHeight="1">
      <c r="A664" s="163" t="s">
        <v>540</v>
      </c>
      <c r="B664" s="163" t="s">
        <v>17</v>
      </c>
      <c r="C664" s="30">
        <v>233903</v>
      </c>
      <c r="D664" s="208">
        <v>10</v>
      </c>
      <c r="E664" s="178">
        <f t="shared" si="40"/>
        <v>0</v>
      </c>
      <c r="F664" s="195">
        <f t="shared" si="41"/>
        <v>0</v>
      </c>
      <c r="G664" s="201"/>
      <c r="H664" s="230"/>
      <c r="I664" s="201"/>
      <c r="J664" s="230"/>
      <c r="K664" s="201"/>
      <c r="L664" s="179"/>
      <c r="M664" s="201"/>
      <c r="N664" s="229"/>
      <c r="O664" s="202"/>
      <c r="P664" s="229"/>
      <c r="Q664" s="179"/>
      <c r="R664" s="180"/>
      <c r="S664" s="178">
        <f t="shared" si="42"/>
        <v>0</v>
      </c>
      <c r="T664" s="195">
        <f t="shared" si="43"/>
        <v>0</v>
      </c>
      <c r="U664" s="201"/>
      <c r="V664" s="202"/>
      <c r="W664" s="201"/>
      <c r="X664" s="202"/>
      <c r="Y664" s="201"/>
      <c r="Z664" s="179"/>
      <c r="AA664" s="201"/>
      <c r="AB664" s="202"/>
      <c r="AC664" s="202"/>
      <c r="AD664" s="202"/>
      <c r="AE664" s="179"/>
      <c r="AF664" s="256"/>
    </row>
    <row r="665" spans="1:32" s="223" customFormat="1" ht="15" customHeight="1">
      <c r="A665" s="163" t="s">
        <v>540</v>
      </c>
      <c r="B665" s="163" t="s">
        <v>18</v>
      </c>
      <c r="C665" s="30">
        <v>234377</v>
      </c>
      <c r="D665" s="208">
        <v>10</v>
      </c>
      <c r="E665" s="178">
        <f t="shared" si="40"/>
        <v>0</v>
      </c>
      <c r="F665" s="195">
        <f t="shared" si="41"/>
        <v>0</v>
      </c>
      <c r="G665" s="201"/>
      <c r="H665" s="230"/>
      <c r="I665" s="201"/>
      <c r="J665" s="230"/>
      <c r="K665" s="201"/>
      <c r="L665" s="179"/>
      <c r="M665" s="201"/>
      <c r="N665" s="229"/>
      <c r="O665" s="202"/>
      <c r="P665" s="229"/>
      <c r="Q665" s="179"/>
      <c r="R665" s="180"/>
      <c r="S665" s="178">
        <f t="shared" si="42"/>
        <v>0</v>
      </c>
      <c r="T665" s="195">
        <f t="shared" si="43"/>
        <v>0</v>
      </c>
      <c r="U665" s="201"/>
      <c r="V665" s="202"/>
      <c r="W665" s="201"/>
      <c r="X665" s="202"/>
      <c r="Y665" s="201"/>
      <c r="Z665" s="179"/>
      <c r="AA665" s="201"/>
      <c r="AB665" s="202"/>
      <c r="AC665" s="202"/>
      <c r="AD665" s="202"/>
      <c r="AE665" s="179"/>
      <c r="AF665" s="256"/>
    </row>
    <row r="666" spans="1:32" s="223" customFormat="1" ht="15" customHeight="1">
      <c r="A666" s="165" t="s">
        <v>77</v>
      </c>
      <c r="B666" s="165" t="s">
        <v>78</v>
      </c>
      <c r="C666" s="146">
        <v>238032</v>
      </c>
      <c r="D666" s="214">
        <v>1</v>
      </c>
      <c r="E666" s="178">
        <f t="shared" si="40"/>
        <v>511802</v>
      </c>
      <c r="F666" s="195">
        <f t="shared" si="41"/>
        <v>271601</v>
      </c>
      <c r="G666" s="179">
        <f>224190+26133+256267</f>
        <v>506590</v>
      </c>
      <c r="H666" s="180">
        <v>266272</v>
      </c>
      <c r="I666" s="179">
        <f>45+442+290</f>
        <v>777</v>
      </c>
      <c r="J666" s="180">
        <v>173</v>
      </c>
      <c r="K666" s="179">
        <f>1444+955+1464</f>
        <v>3863</v>
      </c>
      <c r="L666" s="179">
        <v>0</v>
      </c>
      <c r="M666" s="189">
        <f>522+50</f>
        <v>572</v>
      </c>
      <c r="N666" s="181">
        <v>4912</v>
      </c>
      <c r="O666" s="181">
        <v>0</v>
      </c>
      <c r="P666" s="181">
        <v>244</v>
      </c>
      <c r="Q666" s="179">
        <v>0</v>
      </c>
      <c r="R666" s="180">
        <v>0</v>
      </c>
      <c r="S666" s="178">
        <f t="shared" si="42"/>
        <v>110388</v>
      </c>
      <c r="T666" s="195">
        <f t="shared" si="43"/>
        <v>42430</v>
      </c>
      <c r="U666" s="179">
        <f>33958+10877+35540</f>
        <v>80375</v>
      </c>
      <c r="V666" s="180">
        <v>33656</v>
      </c>
      <c r="W666" s="179">
        <f>5579+10534+6151</f>
        <v>22264</v>
      </c>
      <c r="X666" s="180">
        <v>4352</v>
      </c>
      <c r="Y666" s="179">
        <f>648+541+678</f>
        <v>1867</v>
      </c>
      <c r="Z666" s="179">
        <v>3380</v>
      </c>
      <c r="AA666" s="189">
        <f>1338+33+1131</f>
        <v>2502</v>
      </c>
      <c r="AB666" s="181">
        <v>2628</v>
      </c>
      <c r="AC666" s="181">
        <f>324+1455</f>
        <v>1779</v>
      </c>
      <c r="AD666" s="181">
        <v>11</v>
      </c>
      <c r="AE666" s="179">
        <v>0</v>
      </c>
      <c r="AF666" s="256">
        <v>4</v>
      </c>
    </row>
    <row r="667" spans="1:32" s="223" customFormat="1" ht="15" customHeight="1">
      <c r="A667" s="165" t="s">
        <v>77</v>
      </c>
      <c r="B667" s="165" t="s">
        <v>79</v>
      </c>
      <c r="C667" s="146">
        <v>237525</v>
      </c>
      <c r="D667" s="214">
        <v>3</v>
      </c>
      <c r="E667" s="178">
        <f t="shared" si="40"/>
        <v>271514</v>
      </c>
      <c r="F667" s="195">
        <f t="shared" si="41"/>
        <v>131007</v>
      </c>
      <c r="G667" s="179">
        <f>112907+13712+125138</f>
        <v>251757</v>
      </c>
      <c r="H667" s="180">
        <v>120076</v>
      </c>
      <c r="I667" s="179">
        <f>3751+618+4031</f>
        <v>8400</v>
      </c>
      <c r="J667" s="180">
        <v>5522</v>
      </c>
      <c r="K667" s="179">
        <f>3311+3100+3927</f>
        <v>10338</v>
      </c>
      <c r="L667" s="179">
        <v>714</v>
      </c>
      <c r="M667" s="189">
        <v>305</v>
      </c>
      <c r="N667" s="181">
        <v>5301</v>
      </c>
      <c r="O667" s="181">
        <f>69+39</f>
        <v>108</v>
      </c>
      <c r="P667" s="181">
        <v>0</v>
      </c>
      <c r="Q667" s="179">
        <v>0</v>
      </c>
      <c r="R667" s="180">
        <v>0</v>
      </c>
      <c r="S667" s="178">
        <f t="shared" si="42"/>
        <v>54217</v>
      </c>
      <c r="T667" s="195">
        <f t="shared" si="43"/>
        <v>18075</v>
      </c>
      <c r="U667" s="179">
        <f>6554+2398+6196</f>
        <v>15148</v>
      </c>
      <c r="V667" s="180">
        <v>6308</v>
      </c>
      <c r="W667" s="179">
        <f>9992+8731+8551</f>
        <v>27274</v>
      </c>
      <c r="X667" s="180">
        <v>6746</v>
      </c>
      <c r="Y667" s="179">
        <f>3141+3164+3588</f>
        <v>9893</v>
      </c>
      <c r="Z667" s="179">
        <v>1764</v>
      </c>
      <c r="AA667" s="189">
        <v>138</v>
      </c>
      <c r="AB667" s="181">
        <v>4385</v>
      </c>
      <c r="AC667" s="181">
        <f>381+255</f>
        <v>636</v>
      </c>
      <c r="AD667" s="181">
        <v>0</v>
      </c>
      <c r="AE667" s="179">
        <v>0</v>
      </c>
      <c r="AF667" s="256">
        <v>0</v>
      </c>
    </row>
    <row r="668" spans="1:32" s="223" customFormat="1" ht="15" customHeight="1">
      <c r="A668" s="165" t="s">
        <v>77</v>
      </c>
      <c r="B668" s="165" t="s">
        <v>80</v>
      </c>
      <c r="C668" s="146">
        <v>237215</v>
      </c>
      <c r="D668" s="214">
        <v>6</v>
      </c>
      <c r="E668" s="178">
        <f t="shared" si="40"/>
        <v>81732</v>
      </c>
      <c r="F668" s="195">
        <f t="shared" si="41"/>
        <v>23452</v>
      </c>
      <c r="G668" s="179">
        <f>19683+2187+21642</f>
        <v>43512</v>
      </c>
      <c r="H668" s="180">
        <v>18280</v>
      </c>
      <c r="I668" s="179">
        <f>10972+1253+18900</f>
        <v>31125</v>
      </c>
      <c r="J668" s="180">
        <v>3046</v>
      </c>
      <c r="K668" s="179">
        <f>418+81+957</f>
        <v>1456</v>
      </c>
      <c r="L668" s="179">
        <v>4133</v>
      </c>
      <c r="M668" s="189">
        <f>690+816</f>
        <v>1506</v>
      </c>
      <c r="N668" s="181">
        <v>1153</v>
      </c>
      <c r="O668" s="181">
        <f>442+279</f>
        <v>721</v>
      </c>
      <c r="P668" s="181">
        <v>252</v>
      </c>
      <c r="Q668" s="179">
        <v>0</v>
      </c>
      <c r="R668" s="180">
        <v>0</v>
      </c>
      <c r="S668" s="178">
        <f t="shared" si="42"/>
        <v>0</v>
      </c>
      <c r="T668" s="195">
        <f t="shared" si="43"/>
        <v>0</v>
      </c>
      <c r="U668" s="179"/>
      <c r="V668" s="180"/>
      <c r="W668" s="179"/>
      <c r="X668" s="180"/>
      <c r="Y668" s="179"/>
      <c r="Z668" s="179">
        <v>0</v>
      </c>
      <c r="AA668" s="189"/>
      <c r="AB668" s="181"/>
      <c r="AC668" s="181"/>
      <c r="AD668" s="181"/>
      <c r="AE668" s="179">
        <v>0</v>
      </c>
      <c r="AF668" s="256"/>
    </row>
    <row r="669" spans="1:32" s="223" customFormat="1" ht="15" customHeight="1">
      <c r="A669" s="165" t="s">
        <v>77</v>
      </c>
      <c r="B669" s="165" t="s">
        <v>565</v>
      </c>
      <c r="C669" s="146">
        <v>237330</v>
      </c>
      <c r="D669" s="214">
        <v>6</v>
      </c>
      <c r="E669" s="178">
        <f t="shared" si="40"/>
        <v>83000</v>
      </c>
      <c r="F669" s="195">
        <f t="shared" si="41"/>
        <v>40792</v>
      </c>
      <c r="G669" s="179">
        <f>34828+2623+36534</f>
        <v>73985</v>
      </c>
      <c r="H669" s="180">
        <v>36138</v>
      </c>
      <c r="I669" s="179">
        <f>3791+399+4825</f>
        <v>9015</v>
      </c>
      <c r="J669" s="180">
        <v>4591</v>
      </c>
      <c r="K669" s="179">
        <v>0</v>
      </c>
      <c r="L669" s="179">
        <v>0</v>
      </c>
      <c r="M669" s="189">
        <v>0</v>
      </c>
      <c r="N669" s="181">
        <v>0</v>
      </c>
      <c r="O669" s="181">
        <v>63</v>
      </c>
      <c r="P669" s="181">
        <v>0</v>
      </c>
      <c r="Q669" s="179">
        <v>0</v>
      </c>
      <c r="R669" s="180">
        <v>0</v>
      </c>
      <c r="S669" s="178">
        <f t="shared" si="42"/>
        <v>471</v>
      </c>
      <c r="T669" s="195">
        <f t="shared" si="43"/>
        <v>453</v>
      </c>
      <c r="U669" s="179">
        <f>45+426</f>
        <v>471</v>
      </c>
      <c r="V669" s="180">
        <v>213</v>
      </c>
      <c r="W669" s="179">
        <v>0</v>
      </c>
      <c r="X669" s="180">
        <v>0</v>
      </c>
      <c r="Y669" s="179"/>
      <c r="Z669" s="179">
        <v>0</v>
      </c>
      <c r="AA669" s="189"/>
      <c r="AB669" s="181">
        <v>240</v>
      </c>
      <c r="AC669" s="181">
        <v>0</v>
      </c>
      <c r="AD669" s="181">
        <v>0</v>
      </c>
      <c r="AE669" s="179">
        <v>0</v>
      </c>
      <c r="AF669" s="256">
        <v>0</v>
      </c>
    </row>
    <row r="670" spans="1:32" s="223" customFormat="1" ht="15" customHeight="1">
      <c r="A670" s="165" t="s">
        <v>77</v>
      </c>
      <c r="B670" s="165" t="s">
        <v>566</v>
      </c>
      <c r="C670" s="146">
        <v>237367</v>
      </c>
      <c r="D670" s="214">
        <v>6</v>
      </c>
      <c r="E670" s="178">
        <f t="shared" si="40"/>
        <v>106027</v>
      </c>
      <c r="F670" s="195">
        <f t="shared" si="41"/>
        <v>55725</v>
      </c>
      <c r="G670" s="179">
        <f>43452+4667+44350</f>
        <v>92469</v>
      </c>
      <c r="H670" s="180">
        <v>46214</v>
      </c>
      <c r="I670" s="179">
        <f>4433+177+7362</f>
        <v>11972</v>
      </c>
      <c r="J670" s="180">
        <v>7700</v>
      </c>
      <c r="K670" s="179">
        <f>96+1187</f>
        <v>1283</v>
      </c>
      <c r="L670" s="179">
        <v>0</v>
      </c>
      <c r="M670" s="189">
        <f>72+231</f>
        <v>303</v>
      </c>
      <c r="N670" s="181">
        <v>1811</v>
      </c>
      <c r="O670" s="181">
        <v>0</v>
      </c>
      <c r="P670" s="181">
        <v>0</v>
      </c>
      <c r="Q670" s="179">
        <v>0</v>
      </c>
      <c r="R670" s="180">
        <v>0</v>
      </c>
      <c r="S670" s="178">
        <f t="shared" si="42"/>
        <v>270</v>
      </c>
      <c r="T670" s="195">
        <f t="shared" si="43"/>
        <v>618</v>
      </c>
      <c r="U670" s="179">
        <v>270</v>
      </c>
      <c r="V670" s="180">
        <v>51</v>
      </c>
      <c r="W670" s="179"/>
      <c r="X670" s="180">
        <v>0</v>
      </c>
      <c r="Y670" s="179"/>
      <c r="Z670" s="179">
        <v>0</v>
      </c>
      <c r="AA670" s="189"/>
      <c r="AB670" s="181">
        <v>567</v>
      </c>
      <c r="AC670" s="181">
        <v>0</v>
      </c>
      <c r="AD670" s="181">
        <v>0</v>
      </c>
      <c r="AE670" s="179">
        <v>0</v>
      </c>
      <c r="AF670" s="256">
        <v>0</v>
      </c>
    </row>
    <row r="671" spans="1:32" s="223" customFormat="1" ht="15" customHeight="1">
      <c r="A671" s="165" t="s">
        <v>77</v>
      </c>
      <c r="B671" s="165" t="s">
        <v>81</v>
      </c>
      <c r="C671" s="146">
        <v>237385</v>
      </c>
      <c r="D671" s="214">
        <v>6</v>
      </c>
      <c r="E671" s="178">
        <f t="shared" si="40"/>
        <v>48489</v>
      </c>
      <c r="F671" s="195">
        <f t="shared" si="41"/>
        <v>18105</v>
      </c>
      <c r="G671" s="179">
        <f>18785+3226+18913</f>
        <v>40924</v>
      </c>
      <c r="H671" s="180">
        <v>17529</v>
      </c>
      <c r="I671" s="179">
        <f>6697+10</f>
        <v>6707</v>
      </c>
      <c r="J671" s="180">
        <v>159</v>
      </c>
      <c r="K671" s="179">
        <f>282+321</f>
        <v>603</v>
      </c>
      <c r="L671" s="179">
        <v>255</v>
      </c>
      <c r="M671" s="189">
        <v>0</v>
      </c>
      <c r="N671" s="181">
        <v>417</v>
      </c>
      <c r="O671" s="181">
        <v>0</v>
      </c>
      <c r="P671" s="181">
        <v>0</v>
      </c>
      <c r="Q671" s="179">
        <v>0</v>
      </c>
      <c r="R671" s="180">
        <v>0</v>
      </c>
      <c r="S671" s="178">
        <f t="shared" si="42"/>
        <v>0</v>
      </c>
      <c r="T671" s="195">
        <f t="shared" si="43"/>
        <v>0</v>
      </c>
      <c r="U671" s="179"/>
      <c r="V671" s="180"/>
      <c r="W671" s="179"/>
      <c r="X671" s="180"/>
      <c r="Y671" s="179"/>
      <c r="Z671" s="179">
        <v>0</v>
      </c>
      <c r="AA671" s="189"/>
      <c r="AB671" s="181"/>
      <c r="AC671" s="181"/>
      <c r="AD671" s="181"/>
      <c r="AE671" s="179">
        <v>0</v>
      </c>
      <c r="AF671" s="256"/>
    </row>
    <row r="672" spans="1:32" s="223" customFormat="1" ht="15" customHeight="1">
      <c r="A672" s="165" t="s">
        <v>77</v>
      </c>
      <c r="B672" s="165" t="s">
        <v>567</v>
      </c>
      <c r="C672" s="147">
        <v>237792</v>
      </c>
      <c r="D672" s="214">
        <v>6</v>
      </c>
      <c r="E672" s="178">
        <f t="shared" si="40"/>
        <v>112290</v>
      </c>
      <c r="F672" s="195">
        <f t="shared" si="41"/>
        <v>47425</v>
      </c>
      <c r="G672" s="179">
        <f>43003+4844+47309</f>
        <v>95156</v>
      </c>
      <c r="H672" s="180">
        <v>44824</v>
      </c>
      <c r="I672" s="179">
        <f>7270+1221+8114</f>
        <v>16605</v>
      </c>
      <c r="J672" s="180">
        <v>2264</v>
      </c>
      <c r="K672" s="179">
        <v>455</v>
      </c>
      <c r="L672" s="179">
        <v>74</v>
      </c>
      <c r="M672" s="189">
        <v>0</v>
      </c>
      <c r="N672" s="181">
        <v>328</v>
      </c>
      <c r="O672" s="181">
        <f>3+6</f>
        <v>9</v>
      </c>
      <c r="P672" s="181">
        <v>0</v>
      </c>
      <c r="Q672" s="179">
        <v>0</v>
      </c>
      <c r="R672" s="180">
        <v>0</v>
      </c>
      <c r="S672" s="178">
        <f t="shared" si="42"/>
        <v>105</v>
      </c>
      <c r="T672" s="195">
        <f t="shared" si="43"/>
        <v>246</v>
      </c>
      <c r="U672" s="179">
        <v>105</v>
      </c>
      <c r="V672" s="180">
        <v>246</v>
      </c>
      <c r="W672" s="179"/>
      <c r="X672" s="180">
        <v>0</v>
      </c>
      <c r="Y672" s="179"/>
      <c r="Z672" s="179">
        <v>0</v>
      </c>
      <c r="AA672" s="189"/>
      <c r="AB672" s="181">
        <v>0</v>
      </c>
      <c r="AC672" s="181">
        <v>0</v>
      </c>
      <c r="AD672" s="181">
        <v>0</v>
      </c>
      <c r="AE672" s="179">
        <v>0</v>
      </c>
      <c r="AF672" s="256">
        <v>0</v>
      </c>
    </row>
    <row r="673" spans="1:32" s="223" customFormat="1" ht="15" customHeight="1">
      <c r="A673" s="165" t="s">
        <v>77</v>
      </c>
      <c r="B673" s="165" t="s">
        <v>82</v>
      </c>
      <c r="C673" s="146">
        <v>237932</v>
      </c>
      <c r="D673" s="214">
        <v>6</v>
      </c>
      <c r="E673" s="178">
        <f t="shared" si="40"/>
        <v>74655</v>
      </c>
      <c r="F673" s="195">
        <f t="shared" si="41"/>
        <v>35690</v>
      </c>
      <c r="G673" s="179">
        <f>33065+1750+37249</f>
        <v>72064</v>
      </c>
      <c r="H673" s="180">
        <v>34542</v>
      </c>
      <c r="I673" s="179">
        <f>1175+111+999</f>
        <v>2285</v>
      </c>
      <c r="J673" s="180">
        <v>911</v>
      </c>
      <c r="K673" s="179">
        <f>144+102</f>
        <v>246</v>
      </c>
      <c r="L673" s="179">
        <v>0</v>
      </c>
      <c r="M673" s="189">
        <f>54+6</f>
        <v>60</v>
      </c>
      <c r="N673" s="181">
        <v>237</v>
      </c>
      <c r="O673" s="181">
        <v>0</v>
      </c>
      <c r="P673" s="181">
        <v>0</v>
      </c>
      <c r="Q673" s="179">
        <v>0</v>
      </c>
      <c r="R673" s="180">
        <v>0</v>
      </c>
      <c r="S673" s="178">
        <f t="shared" si="42"/>
        <v>144</v>
      </c>
      <c r="T673" s="195">
        <f t="shared" si="43"/>
        <v>0</v>
      </c>
      <c r="U673" s="179">
        <v>0</v>
      </c>
      <c r="V673" s="180"/>
      <c r="W673" s="179">
        <f>72+12+60</f>
        <v>144</v>
      </c>
      <c r="X673" s="180"/>
      <c r="Y673" s="179"/>
      <c r="Z673" s="179">
        <v>0</v>
      </c>
      <c r="AA673" s="189"/>
      <c r="AB673" s="181"/>
      <c r="AC673" s="181"/>
      <c r="AD673" s="181"/>
      <c r="AE673" s="179">
        <v>0</v>
      </c>
      <c r="AF673" s="256"/>
    </row>
    <row r="674" spans="1:32" s="223" customFormat="1" ht="15" customHeight="1">
      <c r="A674" s="165" t="s">
        <v>77</v>
      </c>
      <c r="B674" s="165" t="s">
        <v>568</v>
      </c>
      <c r="C674" s="147">
        <v>237899</v>
      </c>
      <c r="D674" s="214">
        <v>6</v>
      </c>
      <c r="E674" s="178">
        <f t="shared" si="40"/>
        <v>112079</v>
      </c>
      <c r="F674" s="195">
        <f t="shared" si="41"/>
        <v>39460</v>
      </c>
      <c r="G674" s="179">
        <f>47404+5045+53305</f>
        <v>105754</v>
      </c>
      <c r="H674" s="180">
        <v>38562</v>
      </c>
      <c r="I674" s="179">
        <f>3010+395+2080</f>
        <v>5485</v>
      </c>
      <c r="J674" s="180">
        <v>898</v>
      </c>
      <c r="K674" s="179">
        <v>720</v>
      </c>
      <c r="L674" s="179">
        <v>0</v>
      </c>
      <c r="M674" s="189">
        <v>120</v>
      </c>
      <c r="N674" s="181">
        <v>0</v>
      </c>
      <c r="O674" s="181">
        <v>0</v>
      </c>
      <c r="P674" s="181">
        <v>0</v>
      </c>
      <c r="Q674" s="179">
        <v>0</v>
      </c>
      <c r="R674" s="180">
        <v>0</v>
      </c>
      <c r="S674" s="178">
        <f t="shared" si="42"/>
        <v>143</v>
      </c>
      <c r="T674" s="195">
        <f t="shared" si="43"/>
        <v>222</v>
      </c>
      <c r="U674" s="179">
        <v>143</v>
      </c>
      <c r="V674" s="180">
        <v>222</v>
      </c>
      <c r="W674" s="179"/>
      <c r="X674" s="180">
        <v>0</v>
      </c>
      <c r="Y674" s="179"/>
      <c r="Z674" s="179">
        <v>0</v>
      </c>
      <c r="AA674" s="189"/>
      <c r="AB674" s="181">
        <v>0</v>
      </c>
      <c r="AC674" s="181">
        <v>0</v>
      </c>
      <c r="AD674" s="181">
        <v>0</v>
      </c>
      <c r="AE674" s="179">
        <v>0</v>
      </c>
      <c r="AF674" s="256">
        <v>0</v>
      </c>
    </row>
    <row r="675" spans="1:32" s="223" customFormat="1" ht="15" customHeight="1">
      <c r="A675" s="165" t="s">
        <v>77</v>
      </c>
      <c r="B675" s="165" t="s">
        <v>541</v>
      </c>
      <c r="C675" s="146">
        <v>237950</v>
      </c>
      <c r="D675" s="214">
        <v>6</v>
      </c>
      <c r="E675" s="178">
        <f t="shared" si="40"/>
        <v>44219</v>
      </c>
      <c r="F675" s="195">
        <f t="shared" si="41"/>
        <v>20214</v>
      </c>
      <c r="G675" s="179">
        <f>20250+1633+18264</f>
        <v>40147</v>
      </c>
      <c r="H675" s="180">
        <v>17917</v>
      </c>
      <c r="I675" s="179">
        <f>681+1380</f>
        <v>2061</v>
      </c>
      <c r="J675" s="180">
        <v>1532</v>
      </c>
      <c r="K675" s="179">
        <f>911+207+845</f>
        <v>1963</v>
      </c>
      <c r="L675" s="179">
        <v>48</v>
      </c>
      <c r="M675" s="189" t="s">
        <v>542</v>
      </c>
      <c r="N675" s="181">
        <v>759</v>
      </c>
      <c r="O675" s="181">
        <v>6</v>
      </c>
      <c r="P675" s="181">
        <v>0</v>
      </c>
      <c r="Q675" s="179">
        <v>0</v>
      </c>
      <c r="R675" s="180">
        <v>0</v>
      </c>
      <c r="S675" s="178">
        <f t="shared" si="42"/>
        <v>543</v>
      </c>
      <c r="T675" s="195">
        <f t="shared" si="43"/>
        <v>181</v>
      </c>
      <c r="U675" s="179">
        <f>267+33+243</f>
        <v>543</v>
      </c>
      <c r="V675" s="180">
        <v>181</v>
      </c>
      <c r="W675" s="179">
        <v>0</v>
      </c>
      <c r="X675" s="180">
        <v>0</v>
      </c>
      <c r="Y675" s="179"/>
      <c r="Z675" s="179">
        <v>0</v>
      </c>
      <c r="AA675" s="189"/>
      <c r="AB675" s="181">
        <v>0</v>
      </c>
      <c r="AC675" s="181">
        <v>0</v>
      </c>
      <c r="AD675" s="181">
        <v>0</v>
      </c>
      <c r="AE675" s="179">
        <v>0</v>
      </c>
      <c r="AF675" s="256">
        <v>0</v>
      </c>
    </row>
    <row r="676" spans="1:32" s="223" customFormat="1" ht="15" customHeight="1">
      <c r="A676" s="165" t="s">
        <v>77</v>
      </c>
      <c r="B676" s="165" t="s">
        <v>543</v>
      </c>
      <c r="C676" s="146">
        <v>237686</v>
      </c>
      <c r="D676" s="214">
        <v>7</v>
      </c>
      <c r="E676" s="178">
        <f t="shared" si="40"/>
        <v>77509</v>
      </c>
      <c r="F676" s="195">
        <f t="shared" si="41"/>
        <v>38448</v>
      </c>
      <c r="G676" s="179">
        <f>23548+3327+26344</f>
        <v>53219</v>
      </c>
      <c r="H676" s="180">
        <v>26860</v>
      </c>
      <c r="I676" s="179">
        <f>8143+1326+8164</f>
        <v>17633</v>
      </c>
      <c r="J676" s="180">
        <v>7482</v>
      </c>
      <c r="K676" s="179">
        <f>2395+99+3599</f>
        <v>6093</v>
      </c>
      <c r="L676" s="179">
        <v>0</v>
      </c>
      <c r="M676" s="189">
        <f>252+312</f>
        <v>564</v>
      </c>
      <c r="N676" s="181">
        <v>4106</v>
      </c>
      <c r="O676" s="181">
        <v>0</v>
      </c>
      <c r="P676" s="181">
        <v>0</v>
      </c>
      <c r="Q676" s="179">
        <v>0</v>
      </c>
      <c r="R676" s="180">
        <v>0</v>
      </c>
      <c r="S676" s="178">
        <f t="shared" si="42"/>
        <v>0</v>
      </c>
      <c r="T676" s="195">
        <f t="shared" si="43"/>
        <v>0</v>
      </c>
      <c r="U676" s="179"/>
      <c r="V676" s="180"/>
      <c r="W676" s="179"/>
      <c r="X676" s="180"/>
      <c r="Y676" s="179"/>
      <c r="Z676" s="179">
        <v>0</v>
      </c>
      <c r="AA676" s="189"/>
      <c r="AB676" s="181"/>
      <c r="AC676" s="181"/>
      <c r="AD676" s="181"/>
      <c r="AE676" s="179">
        <v>0</v>
      </c>
      <c r="AF676" s="256"/>
    </row>
    <row r="677" spans="1:32" s="223" customFormat="1" ht="15" customHeight="1">
      <c r="A677" s="165" t="s">
        <v>77</v>
      </c>
      <c r="B677" s="165" t="s">
        <v>544</v>
      </c>
      <c r="C677" s="146">
        <v>443492</v>
      </c>
      <c r="D677" s="214">
        <v>9</v>
      </c>
      <c r="E677" s="178">
        <f t="shared" si="40"/>
        <v>66092</v>
      </c>
      <c r="F677" s="195">
        <f t="shared" si="41"/>
        <v>34407</v>
      </c>
      <c r="G677" s="179">
        <f>23384+3905+21103</f>
        <v>48392</v>
      </c>
      <c r="H677" s="180">
        <v>21748</v>
      </c>
      <c r="I677" s="179">
        <f>4733+319+11875</f>
        <v>16927</v>
      </c>
      <c r="J677" s="180">
        <v>11484</v>
      </c>
      <c r="K677" s="179">
        <f>25+523</f>
        <v>548</v>
      </c>
      <c r="L677" s="179">
        <v>0</v>
      </c>
      <c r="M677" s="189">
        <f>72+153</f>
        <v>225</v>
      </c>
      <c r="N677" s="181">
        <v>1175</v>
      </c>
      <c r="O677" s="181">
        <v>0</v>
      </c>
      <c r="P677" s="181">
        <v>0</v>
      </c>
      <c r="Q677" s="179">
        <v>0</v>
      </c>
      <c r="R677" s="180">
        <v>0</v>
      </c>
      <c r="S677" s="178">
        <f t="shared" si="42"/>
        <v>3</v>
      </c>
      <c r="T677" s="195">
        <f t="shared" si="43"/>
        <v>6</v>
      </c>
      <c r="U677" s="179">
        <v>3</v>
      </c>
      <c r="V677" s="180">
        <v>0</v>
      </c>
      <c r="W677" s="179"/>
      <c r="X677" s="180">
        <v>0</v>
      </c>
      <c r="Y677" s="179"/>
      <c r="Z677" s="179">
        <v>0</v>
      </c>
      <c r="AA677" s="189"/>
      <c r="AB677" s="181">
        <v>6</v>
      </c>
      <c r="AC677" s="181">
        <v>0</v>
      </c>
      <c r="AD677" s="181">
        <v>0</v>
      </c>
      <c r="AE677" s="179">
        <v>0</v>
      </c>
      <c r="AF677" s="256">
        <v>0</v>
      </c>
    </row>
    <row r="678" spans="1:32" s="223" customFormat="1" ht="15" customHeight="1">
      <c r="A678" s="165" t="s">
        <v>77</v>
      </c>
      <c r="B678" s="165" t="s">
        <v>1009</v>
      </c>
      <c r="C678" s="146">
        <v>445674</v>
      </c>
      <c r="D678" s="214">
        <v>10</v>
      </c>
      <c r="E678" s="178">
        <f t="shared" si="40"/>
        <v>18383</v>
      </c>
      <c r="F678" s="195">
        <f t="shared" si="41"/>
        <v>8608</v>
      </c>
      <c r="G678" s="179">
        <f>8034+455+7905</f>
        <v>16394</v>
      </c>
      <c r="H678" s="180">
        <v>7951</v>
      </c>
      <c r="I678" s="179">
        <f>360+575</f>
        <v>935</v>
      </c>
      <c r="J678" s="180">
        <v>290</v>
      </c>
      <c r="K678" s="179">
        <f>357+45+625</f>
        <v>1027</v>
      </c>
      <c r="L678" s="179">
        <v>27</v>
      </c>
      <c r="M678" s="189">
        <v>0</v>
      </c>
      <c r="N678" s="181">
        <v>358</v>
      </c>
      <c r="O678" s="181">
        <v>9</v>
      </c>
      <c r="P678" s="181">
        <v>0</v>
      </c>
      <c r="Q678" s="179">
        <v>0</v>
      </c>
      <c r="R678" s="180">
        <v>0</v>
      </c>
      <c r="S678" s="178">
        <f t="shared" si="42"/>
        <v>0</v>
      </c>
      <c r="T678" s="195">
        <f t="shared" si="43"/>
        <v>0</v>
      </c>
      <c r="U678" s="179"/>
      <c r="V678" s="180"/>
      <c r="W678" s="179"/>
      <c r="X678" s="180"/>
      <c r="Y678" s="179"/>
      <c r="Z678" s="179">
        <v>0</v>
      </c>
      <c r="AA678" s="189"/>
      <c r="AB678" s="181"/>
      <c r="AC678" s="181"/>
      <c r="AD678" s="181"/>
      <c r="AE678" s="179">
        <v>0</v>
      </c>
      <c r="AF678" s="256"/>
    </row>
    <row r="679" spans="1:32" s="223" customFormat="1" ht="15" customHeight="1">
      <c r="A679" s="165" t="s">
        <v>77</v>
      </c>
      <c r="B679" s="168" t="s">
        <v>789</v>
      </c>
      <c r="C679" s="146"/>
      <c r="D679" s="214">
        <v>10</v>
      </c>
      <c r="E679" s="178">
        <f t="shared" si="40"/>
        <v>0</v>
      </c>
      <c r="F679" s="195">
        <f t="shared" si="41"/>
        <v>10199</v>
      </c>
      <c r="G679" s="179"/>
      <c r="H679" s="180">
        <v>7851</v>
      </c>
      <c r="I679" s="179"/>
      <c r="J679" s="180">
        <v>1539</v>
      </c>
      <c r="K679" s="179"/>
      <c r="L679" s="179"/>
      <c r="M679" s="189"/>
      <c r="N679" s="181">
        <v>679</v>
      </c>
      <c r="O679" s="181">
        <f>66+64</f>
        <v>130</v>
      </c>
      <c r="P679" s="181">
        <v>0</v>
      </c>
      <c r="Q679" s="179"/>
      <c r="R679" s="180">
        <v>0</v>
      </c>
      <c r="S679" s="178">
        <f t="shared" si="42"/>
        <v>0</v>
      </c>
      <c r="T679" s="195">
        <f t="shared" si="43"/>
        <v>0</v>
      </c>
      <c r="U679" s="179"/>
      <c r="V679" s="180"/>
      <c r="W679" s="179"/>
      <c r="X679" s="180"/>
      <c r="Y679" s="179"/>
      <c r="Z679" s="179"/>
      <c r="AA679" s="189"/>
      <c r="AB679" s="181"/>
      <c r="AC679" s="181"/>
      <c r="AD679" s="181"/>
      <c r="AE679" s="179"/>
      <c r="AF679" s="256"/>
    </row>
    <row r="680" spans="1:32" s="223" customFormat="1" ht="15" customHeight="1">
      <c r="A680" s="165" t="s">
        <v>77</v>
      </c>
      <c r="B680" s="165" t="s">
        <v>790</v>
      </c>
      <c r="C680" s="147">
        <v>438708</v>
      </c>
      <c r="D680" s="214">
        <v>10</v>
      </c>
      <c r="E680" s="178">
        <f t="shared" si="40"/>
        <v>4028</v>
      </c>
      <c r="F680" s="195">
        <f t="shared" si="41"/>
        <v>3720</v>
      </c>
      <c r="G680" s="179">
        <f>359+108+1227</f>
        <v>1694</v>
      </c>
      <c r="H680" s="180">
        <v>1859</v>
      </c>
      <c r="I680" s="179">
        <f>188+541</f>
        <v>729</v>
      </c>
      <c r="J680" s="180">
        <v>888</v>
      </c>
      <c r="K680" s="179">
        <f>544+36+358</f>
        <v>938</v>
      </c>
      <c r="L680" s="179">
        <v>648</v>
      </c>
      <c r="M680" s="189">
        <v>19</v>
      </c>
      <c r="N680" s="181">
        <v>456</v>
      </c>
      <c r="O680" s="181">
        <f>457+60</f>
        <v>517</v>
      </c>
      <c r="P680" s="181">
        <v>0</v>
      </c>
      <c r="Q680" s="179">
        <v>0</v>
      </c>
      <c r="R680" s="180">
        <v>0</v>
      </c>
      <c r="S680" s="178">
        <f t="shared" si="42"/>
        <v>0</v>
      </c>
      <c r="T680" s="195">
        <f t="shared" si="43"/>
        <v>0</v>
      </c>
      <c r="U680" s="179"/>
      <c r="V680" s="180"/>
      <c r="W680" s="179"/>
      <c r="X680" s="180"/>
      <c r="Y680" s="179"/>
      <c r="Z680" s="179">
        <v>0</v>
      </c>
      <c r="AA680" s="189"/>
      <c r="AB680" s="181"/>
      <c r="AC680" s="181"/>
      <c r="AD680" s="181"/>
      <c r="AE680" s="179">
        <v>0</v>
      </c>
      <c r="AF680" s="256"/>
    </row>
    <row r="681" spans="1:32" s="223" customFormat="1" ht="15" customHeight="1">
      <c r="A681" s="165" t="s">
        <v>77</v>
      </c>
      <c r="B681" s="165" t="s">
        <v>564</v>
      </c>
      <c r="C681" s="146">
        <v>444954</v>
      </c>
      <c r="D681" s="214">
        <v>10</v>
      </c>
      <c r="E681" s="178">
        <f t="shared" si="40"/>
        <v>44969</v>
      </c>
      <c r="F681" s="195">
        <f t="shared" si="41"/>
        <v>23866</v>
      </c>
      <c r="G681" s="179">
        <f>13534+1436+15652</f>
        <v>30622</v>
      </c>
      <c r="H681" s="180">
        <v>15921</v>
      </c>
      <c r="I681" s="179">
        <f>4405+611+7449</f>
        <v>12465</v>
      </c>
      <c r="J681" s="180">
        <v>6762</v>
      </c>
      <c r="K681" s="179">
        <f>704+265+892</f>
        <v>1861</v>
      </c>
      <c r="L681" s="179">
        <v>9</v>
      </c>
      <c r="M681" s="189">
        <v>12</v>
      </c>
      <c r="N681" s="181">
        <v>1183</v>
      </c>
      <c r="O681" s="181">
        <v>0</v>
      </c>
      <c r="P681" s="181">
        <v>0</v>
      </c>
      <c r="Q681" s="179">
        <v>0</v>
      </c>
      <c r="R681" s="180">
        <v>0</v>
      </c>
      <c r="S681" s="178">
        <f t="shared" si="42"/>
        <v>0</v>
      </c>
      <c r="T681" s="195">
        <f t="shared" si="43"/>
        <v>0</v>
      </c>
      <c r="U681" s="179"/>
      <c r="V681" s="180"/>
      <c r="W681" s="179"/>
      <c r="X681" s="180"/>
      <c r="Y681" s="179"/>
      <c r="Z681" s="179">
        <v>0</v>
      </c>
      <c r="AA681" s="189"/>
      <c r="AB681" s="181"/>
      <c r="AC681" s="181"/>
      <c r="AD681" s="181"/>
      <c r="AE681" s="179">
        <v>0</v>
      </c>
      <c r="AF681" s="256"/>
    </row>
    <row r="682" spans="1:32" s="223" customFormat="1" ht="15" customHeight="1">
      <c r="A682" s="165" t="s">
        <v>77</v>
      </c>
      <c r="B682" s="168" t="s">
        <v>791</v>
      </c>
      <c r="C682" s="146"/>
      <c r="D682" s="214">
        <v>10</v>
      </c>
      <c r="E682" s="178">
        <f t="shared" si="40"/>
        <v>0</v>
      </c>
      <c r="F682" s="195">
        <f t="shared" si="41"/>
        <v>17438</v>
      </c>
      <c r="G682" s="179"/>
      <c r="H682" s="180">
        <v>1857</v>
      </c>
      <c r="I682" s="179"/>
      <c r="J682" s="180">
        <v>13768</v>
      </c>
      <c r="K682" s="179"/>
      <c r="L682" s="179"/>
      <c r="M682" s="189"/>
      <c r="N682" s="181">
        <v>237</v>
      </c>
      <c r="O682" s="181">
        <f>135+1267</f>
        <v>1402</v>
      </c>
      <c r="P682" s="181">
        <v>174</v>
      </c>
      <c r="Q682" s="179"/>
      <c r="R682" s="180">
        <v>0</v>
      </c>
      <c r="S682" s="178">
        <f t="shared" si="42"/>
        <v>0</v>
      </c>
      <c r="T682" s="195">
        <f t="shared" si="43"/>
        <v>0</v>
      </c>
      <c r="U682" s="179"/>
      <c r="V682" s="180"/>
      <c r="W682" s="179"/>
      <c r="X682" s="180"/>
      <c r="Y682" s="179"/>
      <c r="Z682" s="179"/>
      <c r="AA682" s="189"/>
      <c r="AB682" s="181"/>
      <c r="AC682" s="181"/>
      <c r="AD682" s="181"/>
      <c r="AE682" s="179"/>
      <c r="AF682" s="256"/>
    </row>
    <row r="683" spans="1:32" s="223" customFormat="1" ht="15" customHeight="1">
      <c r="A683" s="165" t="s">
        <v>77</v>
      </c>
      <c r="B683" s="165" t="s">
        <v>545</v>
      </c>
      <c r="C683" s="146">
        <v>237701</v>
      </c>
      <c r="D683" s="214">
        <v>10</v>
      </c>
      <c r="E683" s="178">
        <f t="shared" si="40"/>
        <v>29862</v>
      </c>
      <c r="F683" s="195">
        <f t="shared" si="41"/>
        <v>15259</v>
      </c>
      <c r="G683" s="179">
        <f>12820+1345+15254</f>
        <v>29419</v>
      </c>
      <c r="H683" s="180">
        <v>13465</v>
      </c>
      <c r="I683" s="179">
        <v>0</v>
      </c>
      <c r="J683" s="180">
        <v>1496</v>
      </c>
      <c r="K683" s="179">
        <f>247+196</f>
        <v>443</v>
      </c>
      <c r="L683" s="179">
        <v>0</v>
      </c>
      <c r="M683" s="189">
        <v>0</v>
      </c>
      <c r="N683" s="181">
        <v>298</v>
      </c>
      <c r="O683" s="181">
        <v>0</v>
      </c>
      <c r="P683" s="181">
        <v>0</v>
      </c>
      <c r="Q683" s="179">
        <v>0</v>
      </c>
      <c r="R683" s="180">
        <v>0</v>
      </c>
      <c r="S683" s="178">
        <f t="shared" si="42"/>
        <v>0</v>
      </c>
      <c r="T683" s="195">
        <f t="shared" si="43"/>
        <v>0</v>
      </c>
      <c r="U683" s="179"/>
      <c r="V683" s="180"/>
      <c r="W683" s="179"/>
      <c r="X683" s="180"/>
      <c r="Y683" s="179"/>
      <c r="Z683" s="179">
        <v>0</v>
      </c>
      <c r="AA683" s="189"/>
      <c r="AB683" s="181"/>
      <c r="AC683" s="181"/>
      <c r="AD683" s="181"/>
      <c r="AE683" s="179">
        <v>0</v>
      </c>
      <c r="AF683" s="256"/>
    </row>
    <row r="684" spans="1:32" s="223" customFormat="1" ht="15" customHeight="1">
      <c r="A684" s="165" t="s">
        <v>77</v>
      </c>
      <c r="B684" s="165" t="s">
        <v>792</v>
      </c>
      <c r="C684" s="146">
        <v>237817</v>
      </c>
      <c r="D684" s="214">
        <v>10</v>
      </c>
      <c r="E684" s="178">
        <f t="shared" si="40"/>
        <v>53115</v>
      </c>
      <c r="F684" s="195">
        <f t="shared" si="41"/>
        <v>26870</v>
      </c>
      <c r="G684" s="179">
        <f>22474+1027+23862</f>
        <v>47363</v>
      </c>
      <c r="H684" s="180">
        <v>22923</v>
      </c>
      <c r="I684" s="179">
        <f>1919+1255</f>
        <v>3174</v>
      </c>
      <c r="J684" s="180">
        <v>1565</v>
      </c>
      <c r="K684" s="179">
        <f>216+6+272</f>
        <v>494</v>
      </c>
      <c r="L684" s="179">
        <v>2084</v>
      </c>
      <c r="M684" s="189">
        <v>0</v>
      </c>
      <c r="N684" s="181">
        <v>746</v>
      </c>
      <c r="O684" s="181">
        <f>1393+207</f>
        <v>1600</v>
      </c>
      <c r="P684" s="181">
        <v>36</v>
      </c>
      <c r="Q684" s="179">
        <v>0</v>
      </c>
      <c r="R684" s="180">
        <v>0</v>
      </c>
      <c r="S684" s="178">
        <f t="shared" si="42"/>
        <v>0</v>
      </c>
      <c r="T684" s="195">
        <f t="shared" si="43"/>
        <v>0</v>
      </c>
      <c r="U684" s="179"/>
      <c r="V684" s="180"/>
      <c r="W684" s="179"/>
      <c r="X684" s="180"/>
      <c r="Y684" s="179"/>
      <c r="Z684" s="179">
        <v>0</v>
      </c>
      <c r="AA684" s="189"/>
      <c r="AB684" s="181"/>
      <c r="AC684" s="181"/>
      <c r="AD684" s="181"/>
      <c r="AE684" s="179">
        <v>0</v>
      </c>
      <c r="AF684" s="256"/>
    </row>
    <row r="685" spans="1:32" s="223" customFormat="1" ht="15" customHeight="1">
      <c r="A685" s="165" t="s">
        <v>77</v>
      </c>
      <c r="B685" s="165" t="s">
        <v>546</v>
      </c>
      <c r="C685" s="146">
        <v>238014</v>
      </c>
      <c r="D685" s="214">
        <v>10</v>
      </c>
      <c r="E685" s="178">
        <f t="shared" si="40"/>
        <v>53918</v>
      </c>
      <c r="F685" s="195">
        <f t="shared" si="41"/>
        <v>28001</v>
      </c>
      <c r="G685" s="179">
        <f>22888+3120+23720</f>
        <v>49728</v>
      </c>
      <c r="H685" s="180">
        <v>25611</v>
      </c>
      <c r="I685" s="179">
        <v>0</v>
      </c>
      <c r="J685" s="180">
        <v>0</v>
      </c>
      <c r="K685" s="179">
        <f>843+576</f>
        <v>1419</v>
      </c>
      <c r="L685" s="179">
        <v>2582</v>
      </c>
      <c r="M685" s="189">
        <f>51+138</f>
        <v>189</v>
      </c>
      <c r="N685" s="181">
        <v>738</v>
      </c>
      <c r="O685" s="181">
        <v>1544</v>
      </c>
      <c r="P685" s="181">
        <v>108</v>
      </c>
      <c r="Q685" s="179">
        <v>0</v>
      </c>
      <c r="R685" s="180">
        <v>0</v>
      </c>
      <c r="S685" s="178">
        <f t="shared" si="42"/>
        <v>0</v>
      </c>
      <c r="T685" s="195">
        <f t="shared" si="43"/>
        <v>0</v>
      </c>
      <c r="U685" s="179"/>
      <c r="V685" s="180"/>
      <c r="W685" s="179"/>
      <c r="X685" s="180"/>
      <c r="Y685" s="179"/>
      <c r="Z685" s="179">
        <v>0</v>
      </c>
      <c r="AA685" s="189"/>
      <c r="AB685" s="181"/>
      <c r="AC685" s="181"/>
      <c r="AD685" s="181"/>
      <c r="AE685" s="179">
        <v>0</v>
      </c>
      <c r="AF685" s="256"/>
    </row>
    <row r="686" spans="1:32" s="223" customFormat="1" ht="15" customHeight="1">
      <c r="A686" s="165" t="s">
        <v>77</v>
      </c>
      <c r="B686" s="168" t="s">
        <v>793</v>
      </c>
      <c r="C686" s="148">
        <v>445018</v>
      </c>
      <c r="D686" s="214">
        <v>10</v>
      </c>
      <c r="E686" s="178">
        <f t="shared" si="40"/>
        <v>0</v>
      </c>
      <c r="F686" s="195">
        <f t="shared" si="41"/>
        <v>17205</v>
      </c>
      <c r="G686" s="179"/>
      <c r="H686" s="180">
        <v>16628</v>
      </c>
      <c r="I686" s="179"/>
      <c r="J686" s="180">
        <v>577</v>
      </c>
      <c r="K686" s="179"/>
      <c r="L686" s="179"/>
      <c r="M686" s="189"/>
      <c r="N686" s="181">
        <v>0</v>
      </c>
      <c r="O686" s="181">
        <v>0</v>
      </c>
      <c r="P686" s="181">
        <v>0</v>
      </c>
      <c r="Q686" s="179"/>
      <c r="R686" s="180">
        <v>0</v>
      </c>
      <c r="S686" s="178">
        <f t="shared" si="42"/>
        <v>0</v>
      </c>
      <c r="T686" s="195">
        <f t="shared" si="43"/>
        <v>3</v>
      </c>
      <c r="U686" s="179"/>
      <c r="V686" s="180">
        <v>3</v>
      </c>
      <c r="W686" s="179"/>
      <c r="X686" s="180">
        <v>0</v>
      </c>
      <c r="Y686" s="179"/>
      <c r="Z686" s="179"/>
      <c r="AA686" s="189"/>
      <c r="AB686" s="181">
        <v>0</v>
      </c>
      <c r="AC686" s="181">
        <v>0</v>
      </c>
      <c r="AD686" s="181">
        <v>0</v>
      </c>
      <c r="AE686" s="179"/>
      <c r="AF686" s="256">
        <v>0</v>
      </c>
    </row>
    <row r="687" spans="1:32" s="223" customFormat="1" ht="15" customHeight="1">
      <c r="A687" s="165" t="s">
        <v>77</v>
      </c>
      <c r="B687" s="168" t="s">
        <v>794</v>
      </c>
      <c r="C687" s="169">
        <v>237880</v>
      </c>
      <c r="D687" s="215">
        <v>15</v>
      </c>
      <c r="E687" s="178">
        <f t="shared" si="40"/>
        <v>0</v>
      </c>
      <c r="F687" s="195">
        <f t="shared" si="41"/>
        <v>0</v>
      </c>
      <c r="G687" s="179"/>
      <c r="H687" s="180"/>
      <c r="I687" s="179"/>
      <c r="J687" s="180"/>
      <c r="K687" s="179"/>
      <c r="L687" s="179"/>
      <c r="M687" s="189"/>
      <c r="N687" s="181"/>
      <c r="O687" s="181"/>
      <c r="P687" s="181"/>
      <c r="Q687" s="179"/>
      <c r="R687" s="180"/>
      <c r="S687" s="178">
        <f t="shared" si="42"/>
        <v>0</v>
      </c>
      <c r="T687" s="195">
        <f t="shared" si="43"/>
        <v>0</v>
      </c>
      <c r="U687" s="179"/>
      <c r="V687" s="180"/>
      <c r="W687" s="179"/>
      <c r="X687" s="180"/>
      <c r="Y687" s="179"/>
      <c r="Z687" s="179"/>
      <c r="AA687" s="189"/>
      <c r="AB687" s="181"/>
      <c r="AC687" s="181"/>
      <c r="AD687" s="181"/>
      <c r="AE687" s="179"/>
      <c r="AF687" s="256"/>
    </row>
    <row r="688" spans="1:32" s="223" customFormat="1" ht="15" customHeight="1">
      <c r="A688" s="165" t="s">
        <v>77</v>
      </c>
      <c r="B688" s="168" t="s">
        <v>19</v>
      </c>
      <c r="C688" s="169">
        <v>237172</v>
      </c>
      <c r="D688" s="215">
        <v>13</v>
      </c>
      <c r="E688" s="178">
        <f t="shared" si="40"/>
        <v>0</v>
      </c>
      <c r="F688" s="195">
        <f t="shared" si="41"/>
        <v>0</v>
      </c>
      <c r="G688" s="179"/>
      <c r="H688" s="180"/>
      <c r="I688" s="179"/>
      <c r="J688" s="180"/>
      <c r="K688" s="179"/>
      <c r="L688" s="179"/>
      <c r="M688" s="189"/>
      <c r="N688" s="181"/>
      <c r="O688" s="181"/>
      <c r="P688" s="181"/>
      <c r="Q688" s="179"/>
      <c r="R688" s="180"/>
      <c r="S688" s="178">
        <f t="shared" si="42"/>
        <v>0</v>
      </c>
      <c r="T688" s="195">
        <f t="shared" si="43"/>
        <v>0</v>
      </c>
      <c r="U688" s="179"/>
      <c r="V688" s="180"/>
      <c r="W688" s="179"/>
      <c r="X688" s="180"/>
      <c r="Y688" s="179"/>
      <c r="Z688" s="179"/>
      <c r="AA688" s="189"/>
      <c r="AB688" s="181"/>
      <c r="AC688" s="181"/>
      <c r="AD688" s="181"/>
      <c r="AE688" s="179"/>
      <c r="AF688" s="256"/>
    </row>
    <row r="689" spans="1:32" s="223" customFormat="1" ht="15" customHeight="1">
      <c r="A689" s="165" t="s">
        <v>77</v>
      </c>
      <c r="B689" s="168" t="s">
        <v>20</v>
      </c>
      <c r="C689" s="169">
        <v>237224</v>
      </c>
      <c r="D689" s="215">
        <v>13</v>
      </c>
      <c r="E689" s="178">
        <f t="shared" si="40"/>
        <v>0</v>
      </c>
      <c r="F689" s="195">
        <f t="shared" si="41"/>
        <v>0</v>
      </c>
      <c r="G689" s="179"/>
      <c r="H689" s="180"/>
      <c r="I689" s="179"/>
      <c r="J689" s="180"/>
      <c r="K689" s="179"/>
      <c r="L689" s="179"/>
      <c r="M689" s="189"/>
      <c r="N689" s="181"/>
      <c r="O689" s="181"/>
      <c r="P689" s="181"/>
      <c r="Q689" s="179"/>
      <c r="R689" s="180"/>
      <c r="S689" s="178">
        <f t="shared" si="42"/>
        <v>0</v>
      </c>
      <c r="T689" s="195">
        <f t="shared" si="43"/>
        <v>0</v>
      </c>
      <c r="U689" s="179"/>
      <c r="V689" s="180"/>
      <c r="W689" s="179"/>
      <c r="X689" s="180"/>
      <c r="Y689" s="179"/>
      <c r="Z689" s="179"/>
      <c r="AA689" s="189"/>
      <c r="AB689" s="181"/>
      <c r="AC689" s="181"/>
      <c r="AD689" s="181"/>
      <c r="AE689" s="179"/>
      <c r="AF689" s="256"/>
    </row>
    <row r="690" spans="1:32" s="223" customFormat="1" ht="15" customHeight="1">
      <c r="A690" s="165" t="s">
        <v>77</v>
      </c>
      <c r="B690" s="168" t="s">
        <v>21</v>
      </c>
      <c r="C690" s="169">
        <v>237242</v>
      </c>
      <c r="D690" s="215">
        <v>13</v>
      </c>
      <c r="E690" s="178">
        <f t="shared" si="40"/>
        <v>0</v>
      </c>
      <c r="F690" s="195">
        <f t="shared" si="41"/>
        <v>0</v>
      </c>
      <c r="G690" s="179"/>
      <c r="H690" s="180"/>
      <c r="I690" s="179"/>
      <c r="J690" s="180"/>
      <c r="K690" s="179"/>
      <c r="L690" s="179"/>
      <c r="M690" s="189"/>
      <c r="N690" s="181"/>
      <c r="O690" s="181"/>
      <c r="P690" s="181"/>
      <c r="Q690" s="179"/>
      <c r="R690" s="180"/>
      <c r="S690" s="178">
        <f t="shared" si="42"/>
        <v>0</v>
      </c>
      <c r="T690" s="195">
        <f t="shared" si="43"/>
        <v>0</v>
      </c>
      <c r="U690" s="179"/>
      <c r="V690" s="180"/>
      <c r="W690" s="179"/>
      <c r="X690" s="180"/>
      <c r="Y690" s="179"/>
      <c r="Z690" s="179"/>
      <c r="AA690" s="189"/>
      <c r="AB690" s="181"/>
      <c r="AC690" s="181"/>
      <c r="AD690" s="181"/>
      <c r="AE690" s="179"/>
      <c r="AF690" s="256"/>
    </row>
    <row r="691" spans="1:32" s="223" customFormat="1" ht="15" customHeight="1">
      <c r="A691" s="165" t="s">
        <v>77</v>
      </c>
      <c r="B691" s="168" t="s">
        <v>22</v>
      </c>
      <c r="C691" s="169">
        <v>430795</v>
      </c>
      <c r="D691" s="215">
        <v>13</v>
      </c>
      <c r="E691" s="178">
        <f t="shared" si="40"/>
        <v>0</v>
      </c>
      <c r="F691" s="195">
        <f t="shared" si="41"/>
        <v>0</v>
      </c>
      <c r="G691" s="179"/>
      <c r="H691" s="180"/>
      <c r="I691" s="179"/>
      <c r="J691" s="180"/>
      <c r="K691" s="179"/>
      <c r="L691" s="179"/>
      <c r="M691" s="189"/>
      <c r="N691" s="181"/>
      <c r="O691" s="181"/>
      <c r="P691" s="181"/>
      <c r="Q691" s="179"/>
      <c r="R691" s="180"/>
      <c r="S691" s="178">
        <f t="shared" si="42"/>
        <v>0</v>
      </c>
      <c r="T691" s="195">
        <f t="shared" si="43"/>
        <v>0</v>
      </c>
      <c r="U691" s="179"/>
      <c r="V691" s="180"/>
      <c r="W691" s="179"/>
      <c r="X691" s="180"/>
      <c r="Y691" s="179"/>
      <c r="Z691" s="179"/>
      <c r="AA691" s="189"/>
      <c r="AB691" s="181"/>
      <c r="AC691" s="181"/>
      <c r="AD691" s="181"/>
      <c r="AE691" s="179"/>
      <c r="AF691" s="256"/>
    </row>
    <row r="692" spans="1:32" s="223" customFormat="1" ht="15" customHeight="1">
      <c r="A692" s="165" t="s">
        <v>77</v>
      </c>
      <c r="B692" s="168" t="s">
        <v>23</v>
      </c>
      <c r="C692" s="169">
        <v>237844</v>
      </c>
      <c r="D692" s="215">
        <v>13</v>
      </c>
      <c r="E692" s="178">
        <f t="shared" si="40"/>
        <v>0</v>
      </c>
      <c r="F692" s="195">
        <f t="shared" si="41"/>
        <v>0</v>
      </c>
      <c r="G692" s="179"/>
      <c r="H692" s="180"/>
      <c r="I692" s="179"/>
      <c r="J692" s="180"/>
      <c r="K692" s="179"/>
      <c r="L692" s="179"/>
      <c r="M692" s="189"/>
      <c r="N692" s="181"/>
      <c r="O692" s="181"/>
      <c r="P692" s="181"/>
      <c r="Q692" s="179"/>
      <c r="R692" s="180"/>
      <c r="S692" s="178">
        <f t="shared" si="42"/>
        <v>0</v>
      </c>
      <c r="T692" s="195">
        <f t="shared" si="43"/>
        <v>0</v>
      </c>
      <c r="U692" s="179"/>
      <c r="V692" s="180"/>
      <c r="W692" s="179"/>
      <c r="X692" s="180"/>
      <c r="Y692" s="179"/>
      <c r="Z692" s="179"/>
      <c r="AA692" s="189"/>
      <c r="AB692" s="181"/>
      <c r="AC692" s="181"/>
      <c r="AD692" s="181"/>
      <c r="AE692" s="179"/>
      <c r="AF692" s="256"/>
    </row>
    <row r="693" spans="1:32" s="223" customFormat="1" ht="15" customHeight="1">
      <c r="A693" s="165" t="s">
        <v>77</v>
      </c>
      <c r="B693" s="168" t="s">
        <v>24</v>
      </c>
      <c r="C693" s="169">
        <v>237473</v>
      </c>
      <c r="D693" s="215">
        <v>13</v>
      </c>
      <c r="E693" s="178">
        <f t="shared" si="40"/>
        <v>0</v>
      </c>
      <c r="F693" s="195">
        <f t="shared" si="41"/>
        <v>0</v>
      </c>
      <c r="G693" s="179"/>
      <c r="H693" s="180"/>
      <c r="I693" s="179"/>
      <c r="J693" s="180"/>
      <c r="K693" s="179"/>
      <c r="L693" s="179"/>
      <c r="M693" s="189"/>
      <c r="N693" s="181"/>
      <c r="O693" s="181"/>
      <c r="P693" s="181"/>
      <c r="Q693" s="179"/>
      <c r="R693" s="180"/>
      <c r="S693" s="178">
        <f t="shared" si="42"/>
        <v>0</v>
      </c>
      <c r="T693" s="195">
        <f t="shared" si="43"/>
        <v>0</v>
      </c>
      <c r="U693" s="179"/>
      <c r="V693" s="180"/>
      <c r="W693" s="179"/>
      <c r="X693" s="180"/>
      <c r="Y693" s="179"/>
      <c r="Z693" s="179"/>
      <c r="AA693" s="189"/>
      <c r="AB693" s="181"/>
      <c r="AC693" s="181"/>
      <c r="AD693" s="181"/>
      <c r="AE693" s="179"/>
      <c r="AF693" s="256"/>
    </row>
    <row r="694" spans="1:32" s="223" customFormat="1" ht="15" customHeight="1">
      <c r="A694" s="165" t="s">
        <v>77</v>
      </c>
      <c r="B694" s="168" t="s">
        <v>25</v>
      </c>
      <c r="C694" s="169">
        <v>237516</v>
      </c>
      <c r="D694" s="215">
        <v>13</v>
      </c>
      <c r="E694" s="178">
        <f t="shared" si="40"/>
        <v>0</v>
      </c>
      <c r="F694" s="195">
        <f t="shared" si="41"/>
        <v>0</v>
      </c>
      <c r="G694" s="179"/>
      <c r="H694" s="180"/>
      <c r="I694" s="179"/>
      <c r="J694" s="180"/>
      <c r="K694" s="179"/>
      <c r="L694" s="179"/>
      <c r="M694" s="189"/>
      <c r="N694" s="181"/>
      <c r="O694" s="181"/>
      <c r="P694" s="181"/>
      <c r="Q694" s="179"/>
      <c r="R694" s="180"/>
      <c r="S694" s="178">
        <f t="shared" si="42"/>
        <v>0</v>
      </c>
      <c r="T694" s="195">
        <f t="shared" si="43"/>
        <v>0</v>
      </c>
      <c r="U694" s="179"/>
      <c r="V694" s="180"/>
      <c r="W694" s="179"/>
      <c r="X694" s="180"/>
      <c r="Y694" s="179"/>
      <c r="Z694" s="179"/>
      <c r="AA694" s="189"/>
      <c r="AB694" s="181"/>
      <c r="AC694" s="181"/>
      <c r="AD694" s="181"/>
      <c r="AE694" s="179"/>
      <c r="AF694" s="256"/>
    </row>
    <row r="695" spans="1:32" s="223" customFormat="1" ht="15" customHeight="1">
      <c r="A695" s="165" t="s">
        <v>77</v>
      </c>
      <c r="B695" s="168" t="s">
        <v>26</v>
      </c>
      <c r="C695" s="169">
        <v>237534</v>
      </c>
      <c r="D695" s="215">
        <v>13</v>
      </c>
      <c r="E695" s="178">
        <f t="shared" si="40"/>
        <v>0</v>
      </c>
      <c r="F695" s="195">
        <f t="shared" si="41"/>
        <v>0</v>
      </c>
      <c r="G695" s="179"/>
      <c r="H695" s="180"/>
      <c r="I695" s="179"/>
      <c r="J695" s="180"/>
      <c r="K695" s="179"/>
      <c r="L695" s="179"/>
      <c r="M695" s="189"/>
      <c r="N695" s="181"/>
      <c r="O695" s="181"/>
      <c r="P695" s="181"/>
      <c r="Q695" s="179"/>
      <c r="R695" s="180"/>
      <c r="S695" s="178">
        <f t="shared" si="42"/>
        <v>0</v>
      </c>
      <c r="T695" s="195">
        <f t="shared" si="43"/>
        <v>0</v>
      </c>
      <c r="U695" s="179"/>
      <c r="V695" s="180"/>
      <c r="W695" s="179"/>
      <c r="X695" s="180"/>
      <c r="Y695" s="179"/>
      <c r="Z695" s="179"/>
      <c r="AA695" s="189"/>
      <c r="AB695" s="181"/>
      <c r="AC695" s="181"/>
      <c r="AD695" s="181"/>
      <c r="AE695" s="179"/>
      <c r="AF695" s="256"/>
    </row>
    <row r="696" spans="1:32" s="223" customFormat="1" ht="15" customHeight="1">
      <c r="A696" s="165" t="s">
        <v>77</v>
      </c>
      <c r="B696" s="168" t="s">
        <v>27</v>
      </c>
      <c r="C696" s="169">
        <v>237543</v>
      </c>
      <c r="D696" s="215">
        <v>13</v>
      </c>
      <c r="E696" s="178">
        <f t="shared" si="40"/>
        <v>0</v>
      </c>
      <c r="F696" s="195">
        <f t="shared" si="41"/>
        <v>0</v>
      </c>
      <c r="G696" s="179"/>
      <c r="H696" s="180"/>
      <c r="I696" s="179"/>
      <c r="J696" s="180"/>
      <c r="K696" s="179"/>
      <c r="L696" s="179"/>
      <c r="M696" s="189"/>
      <c r="N696" s="181"/>
      <c r="O696" s="181"/>
      <c r="P696" s="181"/>
      <c r="Q696" s="179"/>
      <c r="R696" s="180"/>
      <c r="S696" s="178">
        <f t="shared" si="42"/>
        <v>0</v>
      </c>
      <c r="T696" s="195">
        <f t="shared" si="43"/>
        <v>0</v>
      </c>
      <c r="U696" s="179"/>
      <c r="V696" s="180"/>
      <c r="W696" s="179"/>
      <c r="X696" s="180"/>
      <c r="Y696" s="179"/>
      <c r="Z696" s="179"/>
      <c r="AA696" s="189"/>
      <c r="AB696" s="181"/>
      <c r="AC696" s="181"/>
      <c r="AD696" s="181"/>
      <c r="AE696" s="179"/>
      <c r="AF696" s="256"/>
    </row>
    <row r="697" spans="1:32" s="223" customFormat="1" ht="15" customHeight="1">
      <c r="A697" s="165" t="s">
        <v>77</v>
      </c>
      <c r="B697" s="168" t="s">
        <v>28</v>
      </c>
      <c r="C697" s="169">
        <v>368647</v>
      </c>
      <c r="D697" s="215">
        <v>13</v>
      </c>
      <c r="E697" s="178">
        <f t="shared" si="40"/>
        <v>0</v>
      </c>
      <c r="F697" s="195">
        <f t="shared" si="41"/>
        <v>0</v>
      </c>
      <c r="G697" s="179"/>
      <c r="H697" s="180"/>
      <c r="I697" s="179"/>
      <c r="J697" s="180"/>
      <c r="K697" s="179"/>
      <c r="L697" s="179"/>
      <c r="M697" s="189"/>
      <c r="N697" s="181"/>
      <c r="O697" s="181"/>
      <c r="P697" s="181"/>
      <c r="Q697" s="179"/>
      <c r="R697" s="180"/>
      <c r="S697" s="178">
        <f t="shared" si="42"/>
        <v>0</v>
      </c>
      <c r="T697" s="195">
        <f t="shared" si="43"/>
        <v>0</v>
      </c>
      <c r="U697" s="179"/>
      <c r="V697" s="180"/>
      <c r="W697" s="179"/>
      <c r="X697" s="180"/>
      <c r="Y697" s="179"/>
      <c r="Z697" s="179"/>
      <c r="AA697" s="189"/>
      <c r="AB697" s="181"/>
      <c r="AC697" s="181"/>
      <c r="AD697" s="181"/>
      <c r="AE697" s="179"/>
      <c r="AF697" s="256"/>
    </row>
    <row r="698" spans="1:32" s="223" customFormat="1" ht="15" customHeight="1">
      <c r="A698" s="165" t="s">
        <v>77</v>
      </c>
      <c r="B698" s="168" t="s">
        <v>29</v>
      </c>
      <c r="C698" s="169">
        <v>237561</v>
      </c>
      <c r="D698" s="215">
        <v>13</v>
      </c>
      <c r="E698" s="178">
        <f t="shared" si="40"/>
        <v>0</v>
      </c>
      <c r="F698" s="195">
        <f t="shared" si="41"/>
        <v>0</v>
      </c>
      <c r="G698" s="179"/>
      <c r="H698" s="180"/>
      <c r="I698" s="179"/>
      <c r="J698" s="180"/>
      <c r="K698" s="179"/>
      <c r="L698" s="179"/>
      <c r="M698" s="189"/>
      <c r="N698" s="181"/>
      <c r="O698" s="181"/>
      <c r="P698" s="181"/>
      <c r="Q698" s="179"/>
      <c r="R698" s="180"/>
      <c r="S698" s="178">
        <f t="shared" si="42"/>
        <v>0</v>
      </c>
      <c r="T698" s="195">
        <f t="shared" si="43"/>
        <v>0</v>
      </c>
      <c r="U698" s="179"/>
      <c r="V698" s="180"/>
      <c r="W698" s="179"/>
      <c r="X698" s="180"/>
      <c r="Y698" s="179"/>
      <c r="Z698" s="179"/>
      <c r="AA698" s="189"/>
      <c r="AB698" s="181"/>
      <c r="AC698" s="181"/>
      <c r="AD698" s="181"/>
      <c r="AE698" s="179"/>
      <c r="AF698" s="256"/>
    </row>
    <row r="699" spans="1:32" s="223" customFormat="1" ht="15" customHeight="1">
      <c r="A699" s="165" t="s">
        <v>77</v>
      </c>
      <c r="B699" s="168" t="s">
        <v>30</v>
      </c>
      <c r="C699" s="169">
        <v>419420</v>
      </c>
      <c r="D699" s="215">
        <v>13</v>
      </c>
      <c r="E699" s="178">
        <f t="shared" si="40"/>
        <v>0</v>
      </c>
      <c r="F699" s="195">
        <f t="shared" si="41"/>
        <v>0</v>
      </c>
      <c r="G699" s="179"/>
      <c r="H699" s="180"/>
      <c r="I699" s="179"/>
      <c r="J699" s="180"/>
      <c r="K699" s="179"/>
      <c r="L699" s="179"/>
      <c r="M699" s="189"/>
      <c r="N699" s="181"/>
      <c r="O699" s="181"/>
      <c r="P699" s="181"/>
      <c r="Q699" s="179"/>
      <c r="R699" s="180"/>
      <c r="S699" s="178">
        <f t="shared" si="42"/>
        <v>0</v>
      </c>
      <c r="T699" s="195">
        <f t="shared" si="43"/>
        <v>0</v>
      </c>
      <c r="U699" s="179"/>
      <c r="V699" s="180"/>
      <c r="W699" s="179"/>
      <c r="X699" s="180"/>
      <c r="Y699" s="179"/>
      <c r="Z699" s="179"/>
      <c r="AA699" s="189"/>
      <c r="AB699" s="181"/>
      <c r="AC699" s="181"/>
      <c r="AD699" s="181"/>
      <c r="AE699" s="179"/>
      <c r="AF699" s="256"/>
    </row>
    <row r="700" spans="1:32" s="223" customFormat="1" ht="15" customHeight="1">
      <c r="A700" s="165" t="s">
        <v>77</v>
      </c>
      <c r="B700" s="168" t="s">
        <v>31</v>
      </c>
      <c r="C700" s="169">
        <v>237729</v>
      </c>
      <c r="D700" s="215">
        <v>13</v>
      </c>
      <c r="E700" s="178">
        <f t="shared" si="40"/>
        <v>0</v>
      </c>
      <c r="F700" s="195">
        <f t="shared" si="41"/>
        <v>0</v>
      </c>
      <c r="G700" s="179"/>
      <c r="H700" s="180"/>
      <c r="I700" s="179"/>
      <c r="J700" s="180"/>
      <c r="K700" s="179"/>
      <c r="L700" s="179"/>
      <c r="M700" s="189"/>
      <c r="N700" s="181"/>
      <c r="O700" s="181"/>
      <c r="P700" s="181"/>
      <c r="Q700" s="179"/>
      <c r="R700" s="180"/>
      <c r="S700" s="178">
        <f t="shared" si="42"/>
        <v>0</v>
      </c>
      <c r="T700" s="195">
        <f t="shared" si="43"/>
        <v>0</v>
      </c>
      <c r="U700" s="179"/>
      <c r="V700" s="180"/>
      <c r="W700" s="179"/>
      <c r="X700" s="180"/>
      <c r="Y700" s="179"/>
      <c r="Z700" s="179"/>
      <c r="AA700" s="189"/>
      <c r="AB700" s="181"/>
      <c r="AC700" s="181"/>
      <c r="AD700" s="181"/>
      <c r="AE700" s="179"/>
      <c r="AF700" s="256"/>
    </row>
    <row r="701" spans="1:32" s="223" customFormat="1" ht="15" customHeight="1">
      <c r="A701" s="165" t="s">
        <v>77</v>
      </c>
      <c r="B701" s="168" t="s">
        <v>32</v>
      </c>
      <c r="C701" s="169">
        <v>237491</v>
      </c>
      <c r="D701" s="215">
        <v>13</v>
      </c>
      <c r="E701" s="178">
        <f t="shared" si="40"/>
        <v>0</v>
      </c>
      <c r="F701" s="195">
        <f t="shared" si="41"/>
        <v>0</v>
      </c>
      <c r="G701" s="179"/>
      <c r="H701" s="180"/>
      <c r="I701" s="179"/>
      <c r="J701" s="180"/>
      <c r="K701" s="179"/>
      <c r="L701" s="179"/>
      <c r="M701" s="189"/>
      <c r="N701" s="181"/>
      <c r="O701" s="181"/>
      <c r="P701" s="181"/>
      <c r="Q701" s="179"/>
      <c r="R701" s="180"/>
      <c r="S701" s="178">
        <f t="shared" si="42"/>
        <v>0</v>
      </c>
      <c r="T701" s="195">
        <f t="shared" si="43"/>
        <v>0</v>
      </c>
      <c r="U701" s="179"/>
      <c r="V701" s="180"/>
      <c r="W701" s="179"/>
      <c r="X701" s="180"/>
      <c r="Y701" s="179"/>
      <c r="Z701" s="179"/>
      <c r="AA701" s="189"/>
      <c r="AB701" s="181"/>
      <c r="AC701" s="181"/>
      <c r="AD701" s="181"/>
      <c r="AE701" s="179"/>
      <c r="AF701" s="256"/>
    </row>
    <row r="702" spans="1:32" s="223" customFormat="1" ht="15" customHeight="1">
      <c r="A702" s="165" t="s">
        <v>77</v>
      </c>
      <c r="B702" s="168" t="s">
        <v>33</v>
      </c>
      <c r="C702" s="169">
        <v>364575</v>
      </c>
      <c r="D702" s="215">
        <v>13</v>
      </c>
      <c r="E702" s="178">
        <f t="shared" si="40"/>
        <v>0</v>
      </c>
      <c r="F702" s="195">
        <f t="shared" si="41"/>
        <v>0</v>
      </c>
      <c r="G702" s="179"/>
      <c r="H702" s="180"/>
      <c r="I702" s="179"/>
      <c r="J702" s="180"/>
      <c r="K702" s="179"/>
      <c r="L702" s="179"/>
      <c r="M702" s="189"/>
      <c r="N702" s="181"/>
      <c r="O702" s="181"/>
      <c r="P702" s="181"/>
      <c r="Q702" s="179"/>
      <c r="R702" s="180"/>
      <c r="S702" s="178">
        <f t="shared" si="42"/>
        <v>0</v>
      </c>
      <c r="T702" s="195">
        <f t="shared" si="43"/>
        <v>0</v>
      </c>
      <c r="U702" s="179"/>
      <c r="V702" s="180"/>
      <c r="W702" s="179"/>
      <c r="X702" s="180"/>
      <c r="Y702" s="179"/>
      <c r="Z702" s="179"/>
      <c r="AA702" s="189"/>
      <c r="AB702" s="181"/>
      <c r="AC702" s="181"/>
      <c r="AD702" s="181"/>
      <c r="AE702" s="179"/>
      <c r="AF702" s="256"/>
    </row>
    <row r="703" spans="1:32" s="223" customFormat="1" ht="15" customHeight="1">
      <c r="A703" s="165" t="s">
        <v>77</v>
      </c>
      <c r="B703" s="168" t="s">
        <v>34</v>
      </c>
      <c r="C703" s="169">
        <v>238096</v>
      </c>
      <c r="D703" s="215">
        <v>13</v>
      </c>
      <c r="E703" s="178">
        <f t="shared" si="40"/>
        <v>0</v>
      </c>
      <c r="F703" s="195">
        <f t="shared" si="41"/>
        <v>0</v>
      </c>
      <c r="G703" s="179"/>
      <c r="H703" s="180"/>
      <c r="I703" s="179"/>
      <c r="J703" s="180"/>
      <c r="K703" s="179"/>
      <c r="L703" s="179"/>
      <c r="M703" s="189"/>
      <c r="N703" s="181"/>
      <c r="O703" s="181"/>
      <c r="P703" s="181"/>
      <c r="Q703" s="179"/>
      <c r="R703" s="180"/>
      <c r="S703" s="178">
        <f t="shared" si="42"/>
        <v>0</v>
      </c>
      <c r="T703" s="195">
        <f t="shared" si="43"/>
        <v>0</v>
      </c>
      <c r="U703" s="179"/>
      <c r="V703" s="180"/>
      <c r="W703" s="179"/>
      <c r="X703" s="180"/>
      <c r="Y703" s="179"/>
      <c r="Z703" s="179"/>
      <c r="AA703" s="189"/>
      <c r="AB703" s="181"/>
      <c r="AC703" s="181"/>
      <c r="AD703" s="181"/>
      <c r="AE703" s="179"/>
      <c r="AF703" s="256"/>
    </row>
    <row r="704" spans="1:32" s="223" customFormat="1" ht="15" customHeight="1">
      <c r="A704" s="165" t="s">
        <v>77</v>
      </c>
      <c r="B704" s="168" t="s">
        <v>35</v>
      </c>
      <c r="C704" s="169">
        <v>431169</v>
      </c>
      <c r="D704" s="215">
        <v>14</v>
      </c>
      <c r="E704" s="178">
        <f t="shared" si="40"/>
        <v>0</v>
      </c>
      <c r="F704" s="195">
        <f t="shared" si="41"/>
        <v>0</v>
      </c>
      <c r="G704" s="179"/>
      <c r="H704" s="180"/>
      <c r="I704" s="179"/>
      <c r="J704" s="180"/>
      <c r="K704" s="179"/>
      <c r="L704" s="179"/>
      <c r="M704" s="189"/>
      <c r="N704" s="181"/>
      <c r="O704" s="181"/>
      <c r="P704" s="181"/>
      <c r="Q704" s="179"/>
      <c r="R704" s="180"/>
      <c r="S704" s="178">
        <f t="shared" si="42"/>
        <v>0</v>
      </c>
      <c r="T704" s="195">
        <f t="shared" si="43"/>
        <v>0</v>
      </c>
      <c r="U704" s="179"/>
      <c r="V704" s="180"/>
      <c r="W704" s="179"/>
      <c r="X704" s="180"/>
      <c r="Y704" s="179"/>
      <c r="Z704" s="179"/>
      <c r="AA704" s="189"/>
      <c r="AB704" s="181"/>
      <c r="AC704" s="181"/>
      <c r="AD704" s="181"/>
      <c r="AE704" s="179"/>
      <c r="AF704" s="256"/>
    </row>
  </sheetData>
  <mergeCells count="32">
    <mergeCell ref="AF3:AF4"/>
    <mergeCell ref="X2:X4"/>
    <mergeCell ref="V3:V4"/>
    <mergeCell ref="T3:T4"/>
    <mergeCell ref="AE3:AE4"/>
    <mergeCell ref="Y2:AA2"/>
    <mergeCell ref="AB2:AD2"/>
    <mergeCell ref="AB3:AB4"/>
    <mergeCell ref="AC3:AC4"/>
    <mergeCell ref="AD3:AD4"/>
    <mergeCell ref="AA3:AA4"/>
    <mergeCell ref="Y3:Y4"/>
    <mergeCell ref="N2:P2"/>
    <mergeCell ref="N3:N4"/>
    <mergeCell ref="O3:O4"/>
    <mergeCell ref="P3:P4"/>
    <mergeCell ref="Q3:Q4"/>
    <mergeCell ref="S3:S4"/>
    <mergeCell ref="Z3:Z4"/>
    <mergeCell ref="R3:R4"/>
    <mergeCell ref="E3:E4"/>
    <mergeCell ref="F3:F4"/>
    <mergeCell ref="I2:I4"/>
    <mergeCell ref="K2:M2"/>
    <mergeCell ref="H3:H4"/>
    <mergeCell ref="J2:J4"/>
    <mergeCell ref="L3:L4"/>
    <mergeCell ref="W2:W4"/>
    <mergeCell ref="U3:U4"/>
    <mergeCell ref="G3:G4"/>
    <mergeCell ref="K3:K4"/>
    <mergeCell ref="M3:M4"/>
  </mergeCells>
  <printOptions/>
  <pageMargins left="0.32" right="0.33" top="0.5" bottom="0.5" header="0.5" footer="0.5"/>
  <pageSetup fitToWidth="2" horizontalDpi="600" verticalDpi="600" orientation="landscape" scale="79" r:id="rId3"/>
  <legacyDrawing r:id="rId2"/>
</worksheet>
</file>

<file path=xl/worksheets/sheet2.xml><?xml version="1.0" encoding="utf-8"?>
<worksheet xmlns="http://schemas.openxmlformats.org/spreadsheetml/2006/main" xmlns:r="http://schemas.openxmlformats.org/officeDocument/2006/relationships">
  <sheetPr>
    <tabColor indexed="17"/>
  </sheetPr>
  <dimension ref="A3:S617"/>
  <sheetViews>
    <sheetView showGridLines="0" showZeros="0" zoomScale="75" zoomScaleNormal="75" workbookViewId="0" topLeftCell="A1">
      <pane xSplit="2" ySplit="5" topLeftCell="H525" activePane="bottomRight" state="frozen"/>
      <selection pane="topLeft" activeCell="A1" sqref="A1"/>
      <selection pane="topRight" activeCell="C1" sqref="C1"/>
      <selection pane="bottomLeft" activeCell="A6" sqref="A6"/>
      <selection pane="bottomRight" activeCell="K541" sqref="K541"/>
    </sheetView>
  </sheetViews>
  <sheetFormatPr defaultColWidth="9.140625" defaultRowHeight="12.75"/>
  <cols>
    <col min="1" max="1" width="7.8515625" style="0" customWidth="1"/>
    <col min="2" max="2" width="25.28125" style="0" bestFit="1" customWidth="1"/>
    <col min="3" max="9" width="9.7109375" style="0" bestFit="1" customWidth="1"/>
    <col min="10" max="10" width="9.28125" style="0" bestFit="1" customWidth="1"/>
    <col min="11" max="14" width="9.8515625" style="0" bestFit="1" customWidth="1"/>
    <col min="15" max="19" width="8.8515625" style="0" bestFit="1" customWidth="1"/>
    <col min="20" max="21" width="11.57421875" style="0" bestFit="1" customWidth="1"/>
    <col min="22" max="22" width="12.00390625" style="0" bestFit="1" customWidth="1"/>
    <col min="23" max="23" width="11.57421875" style="0" bestFit="1" customWidth="1"/>
  </cols>
  <sheetData>
    <row r="3" spans="1:19" ht="12.75">
      <c r="A3" s="346"/>
      <c r="B3" s="347"/>
      <c r="C3" s="344" t="s">
        <v>209</v>
      </c>
      <c r="D3" s="349" t="s">
        <v>203</v>
      </c>
      <c r="E3" s="350"/>
      <c r="F3" s="350"/>
      <c r="G3" s="350"/>
      <c r="H3" s="350"/>
      <c r="I3" s="350"/>
      <c r="J3" s="350"/>
      <c r="K3" s="350"/>
      <c r="L3" s="350"/>
      <c r="M3" s="350"/>
      <c r="N3" s="350"/>
      <c r="O3" s="350"/>
      <c r="P3" s="350"/>
      <c r="Q3" s="350"/>
      <c r="R3" s="350"/>
      <c r="S3" s="351"/>
    </row>
    <row r="4" spans="1:19" ht="45" customHeight="1">
      <c r="A4" s="346"/>
      <c r="B4" s="347"/>
      <c r="C4" s="3" t="s">
        <v>205</v>
      </c>
      <c r="D4" s="4"/>
      <c r="E4" s="4"/>
      <c r="F4" s="4"/>
      <c r="G4" s="4"/>
      <c r="H4" s="4"/>
      <c r="I4" s="4"/>
      <c r="J4" s="3" t="s">
        <v>205</v>
      </c>
      <c r="K4" s="3" t="s">
        <v>210</v>
      </c>
      <c r="L4" s="4"/>
      <c r="M4" s="4"/>
      <c r="N4" s="4"/>
      <c r="O4" s="3" t="s">
        <v>210</v>
      </c>
      <c r="P4" s="3" t="s">
        <v>547</v>
      </c>
      <c r="Q4" s="4"/>
      <c r="R4" s="4"/>
      <c r="S4" s="270" t="s">
        <v>547</v>
      </c>
    </row>
    <row r="5" spans="1:19" ht="12.75">
      <c r="A5" s="348" t="s">
        <v>74</v>
      </c>
      <c r="B5" s="348" t="s">
        <v>204</v>
      </c>
      <c r="C5" s="3">
        <v>1</v>
      </c>
      <c r="D5" s="56">
        <v>2</v>
      </c>
      <c r="E5" s="56">
        <v>3</v>
      </c>
      <c r="F5" s="56">
        <v>4</v>
      </c>
      <c r="G5" s="56">
        <v>5</v>
      </c>
      <c r="H5" s="56">
        <v>6</v>
      </c>
      <c r="I5" s="56">
        <v>15</v>
      </c>
      <c r="J5" s="60"/>
      <c r="K5" s="3">
        <v>7</v>
      </c>
      <c r="L5" s="56">
        <v>8</v>
      </c>
      <c r="M5" s="56">
        <v>9</v>
      </c>
      <c r="N5" s="56">
        <v>10</v>
      </c>
      <c r="O5" s="60"/>
      <c r="P5" s="3">
        <v>12</v>
      </c>
      <c r="Q5" s="56">
        <v>13</v>
      </c>
      <c r="R5" s="56">
        <v>14</v>
      </c>
      <c r="S5" s="271"/>
    </row>
    <row r="6" spans="1:19" s="56" customFormat="1" ht="12.75">
      <c r="A6" s="58" t="s">
        <v>316</v>
      </c>
      <c r="B6" s="3" t="s">
        <v>907</v>
      </c>
      <c r="C6" s="11">
        <v>0</v>
      </c>
      <c r="D6" s="12">
        <v>0</v>
      </c>
      <c r="E6" s="12">
        <v>0</v>
      </c>
      <c r="F6" s="12">
        <v>0</v>
      </c>
      <c r="G6" s="12">
        <v>0</v>
      </c>
      <c r="H6" s="12">
        <v>0</v>
      </c>
      <c r="I6" s="12">
        <v>0</v>
      </c>
      <c r="J6" s="11">
        <v>0</v>
      </c>
      <c r="K6" s="11">
        <v>0</v>
      </c>
      <c r="L6" s="12">
        <v>0</v>
      </c>
      <c r="M6" s="12">
        <v>0</v>
      </c>
      <c r="N6" s="12">
        <v>0</v>
      </c>
      <c r="O6" s="11">
        <v>0</v>
      </c>
      <c r="P6" s="11">
        <v>0</v>
      </c>
      <c r="Q6" s="12">
        <v>0</v>
      </c>
      <c r="R6" s="12">
        <v>0</v>
      </c>
      <c r="S6" s="13">
        <v>0</v>
      </c>
    </row>
    <row r="7" spans="1:19" ht="12.75">
      <c r="A7" s="59"/>
      <c r="B7" s="5" t="s">
        <v>909</v>
      </c>
      <c r="C7" s="14">
        <v>0.9876799945789868</v>
      </c>
      <c r="D7" s="15">
        <v>0</v>
      </c>
      <c r="E7" s="15">
        <v>0.9512102690028412</v>
      </c>
      <c r="F7" s="15">
        <v>0.9623751579305311</v>
      </c>
      <c r="G7" s="15">
        <v>0.816300190587638</v>
      </c>
      <c r="H7" s="15">
        <v>0.7254497986914947</v>
      </c>
      <c r="I7" s="15">
        <v>0</v>
      </c>
      <c r="J7" s="14">
        <v>0.9539138793837969</v>
      </c>
      <c r="K7" s="14">
        <v>0</v>
      </c>
      <c r="L7" s="15">
        <v>0.9471132507084571</v>
      </c>
      <c r="M7" s="15">
        <v>0.9070479562147755</v>
      </c>
      <c r="N7" s="15">
        <v>0.9019761717913961</v>
      </c>
      <c r="O7" s="14">
        <v>0.9138646110622822</v>
      </c>
      <c r="P7" s="14">
        <v>0</v>
      </c>
      <c r="Q7" s="15">
        <v>0</v>
      </c>
      <c r="R7" s="15">
        <v>0</v>
      </c>
      <c r="S7" s="16">
        <v>0</v>
      </c>
    </row>
    <row r="8" spans="1:19" ht="12.75">
      <c r="A8" s="59"/>
      <c r="B8" s="289" t="s">
        <v>955</v>
      </c>
      <c r="C8" s="358">
        <v>0</v>
      </c>
      <c r="D8" s="359">
        <v>0</v>
      </c>
      <c r="E8" s="359">
        <v>0</v>
      </c>
      <c r="F8" s="359">
        <v>0</v>
      </c>
      <c r="G8" s="359">
        <v>0</v>
      </c>
      <c r="H8" s="359">
        <v>0</v>
      </c>
      <c r="I8" s="359">
        <v>0</v>
      </c>
      <c r="J8" s="358">
        <v>0</v>
      </c>
      <c r="K8" s="358">
        <v>0</v>
      </c>
      <c r="L8" s="359">
        <v>0</v>
      </c>
      <c r="M8" s="359">
        <v>0</v>
      </c>
      <c r="N8" s="359">
        <v>0</v>
      </c>
      <c r="O8" s="358">
        <v>0</v>
      </c>
      <c r="P8" s="358">
        <v>0</v>
      </c>
      <c r="Q8" s="359">
        <v>0</v>
      </c>
      <c r="R8" s="359">
        <v>0</v>
      </c>
      <c r="S8" s="360">
        <v>0</v>
      </c>
    </row>
    <row r="9" spans="1:19" ht="12.75">
      <c r="A9" s="59"/>
      <c r="B9" s="5" t="s">
        <v>911</v>
      </c>
      <c r="C9" s="14">
        <v>0</v>
      </c>
      <c r="D9" s="15">
        <v>0</v>
      </c>
      <c r="E9" s="15">
        <v>0</v>
      </c>
      <c r="F9" s="15">
        <v>0</v>
      </c>
      <c r="G9" s="15">
        <v>0</v>
      </c>
      <c r="H9" s="15">
        <v>0</v>
      </c>
      <c r="I9" s="15">
        <v>0</v>
      </c>
      <c r="J9" s="14">
        <v>0</v>
      </c>
      <c r="K9" s="14">
        <v>0</v>
      </c>
      <c r="L9" s="15">
        <v>0</v>
      </c>
      <c r="M9" s="15">
        <v>0</v>
      </c>
      <c r="N9" s="15">
        <v>0</v>
      </c>
      <c r="O9" s="14">
        <v>0</v>
      </c>
      <c r="P9" s="14">
        <v>0</v>
      </c>
      <c r="Q9" s="15">
        <v>0</v>
      </c>
      <c r="R9" s="15">
        <v>0</v>
      </c>
      <c r="S9" s="16">
        <v>0</v>
      </c>
    </row>
    <row r="10" spans="1:19" ht="12.75">
      <c r="A10" s="59"/>
      <c r="B10" s="5" t="s">
        <v>913</v>
      </c>
      <c r="C10" s="14">
        <v>0.0025252886501300666</v>
      </c>
      <c r="D10" s="15">
        <v>0</v>
      </c>
      <c r="E10" s="15">
        <v>0.012178040964314683</v>
      </c>
      <c r="F10" s="15">
        <v>0.0007504448437696956</v>
      </c>
      <c r="G10" s="15">
        <v>0.04197230241052491</v>
      </c>
      <c r="H10" s="15">
        <v>0.10722823351786613</v>
      </c>
      <c r="I10" s="15">
        <v>0</v>
      </c>
      <c r="J10" s="14">
        <v>0.010626345673423293</v>
      </c>
      <c r="K10" s="14">
        <v>0</v>
      </c>
      <c r="L10" s="15">
        <v>0.017702891870668168</v>
      </c>
      <c r="M10" s="15">
        <v>0.03028884955272064</v>
      </c>
      <c r="N10" s="15">
        <v>0.016234944523885592</v>
      </c>
      <c r="O10" s="14">
        <v>0.02178636325233065</v>
      </c>
      <c r="P10" s="14">
        <v>0</v>
      </c>
      <c r="Q10" s="15">
        <v>0</v>
      </c>
      <c r="R10" s="15">
        <v>0</v>
      </c>
      <c r="S10" s="16">
        <v>0</v>
      </c>
    </row>
    <row r="11" spans="1:19" ht="12.75">
      <c r="A11" s="59"/>
      <c r="B11" s="289" t="s">
        <v>963</v>
      </c>
      <c r="C11" s="14">
        <v>0</v>
      </c>
      <c r="D11" s="15">
        <v>0</v>
      </c>
      <c r="E11" s="15">
        <v>0</v>
      </c>
      <c r="F11" s="15">
        <v>0</v>
      </c>
      <c r="G11" s="15">
        <v>0</v>
      </c>
      <c r="H11" s="15">
        <v>0</v>
      </c>
      <c r="I11" s="15">
        <v>0</v>
      </c>
      <c r="J11" s="14">
        <v>0</v>
      </c>
      <c r="K11" s="14">
        <v>0</v>
      </c>
      <c r="L11" s="15">
        <v>0</v>
      </c>
      <c r="M11" s="15">
        <v>0</v>
      </c>
      <c r="N11" s="15">
        <v>0</v>
      </c>
      <c r="O11" s="14">
        <v>0</v>
      </c>
      <c r="P11" s="14">
        <v>0</v>
      </c>
      <c r="Q11" s="15">
        <v>0</v>
      </c>
      <c r="R11" s="15">
        <v>0</v>
      </c>
      <c r="S11" s="16">
        <v>0</v>
      </c>
    </row>
    <row r="12" spans="1:19" ht="12.75">
      <c r="A12" s="59"/>
      <c r="B12" s="5" t="s">
        <v>917</v>
      </c>
      <c r="C12" s="14">
        <v>0</v>
      </c>
      <c r="D12" s="15">
        <v>0</v>
      </c>
      <c r="E12" s="15">
        <v>0</v>
      </c>
      <c r="F12" s="15">
        <v>0</v>
      </c>
      <c r="G12" s="15">
        <v>0</v>
      </c>
      <c r="H12" s="15">
        <v>0</v>
      </c>
      <c r="I12" s="15">
        <v>0</v>
      </c>
      <c r="J12" s="14">
        <v>0</v>
      </c>
      <c r="K12" s="14">
        <v>0</v>
      </c>
      <c r="L12" s="15">
        <v>0</v>
      </c>
      <c r="M12" s="15">
        <v>0</v>
      </c>
      <c r="N12" s="15">
        <v>0</v>
      </c>
      <c r="O12" s="14">
        <v>0</v>
      </c>
      <c r="P12" s="14">
        <v>0</v>
      </c>
      <c r="Q12" s="15">
        <v>0</v>
      </c>
      <c r="R12" s="15">
        <v>0</v>
      </c>
      <c r="S12" s="16">
        <v>0</v>
      </c>
    </row>
    <row r="13" spans="1:19" ht="12.75">
      <c r="A13" s="59"/>
      <c r="B13" s="5" t="s">
        <v>919</v>
      </c>
      <c r="C13" s="14">
        <v>0.004219355275888161</v>
      </c>
      <c r="D13" s="15">
        <v>0</v>
      </c>
      <c r="E13" s="15">
        <v>0.029258325170315277</v>
      </c>
      <c r="F13" s="15">
        <v>0.028906783610988154</v>
      </c>
      <c r="G13" s="15">
        <v>0.09004943232417968</v>
      </c>
      <c r="H13" s="15">
        <v>0.16732196779063915</v>
      </c>
      <c r="I13" s="15">
        <v>0</v>
      </c>
      <c r="J13" s="14">
        <v>0.024926951373885235</v>
      </c>
      <c r="K13" s="14">
        <v>0</v>
      </c>
      <c r="L13" s="15">
        <v>0.03518385742087473</v>
      </c>
      <c r="M13" s="15">
        <v>0.05540295835113634</v>
      </c>
      <c r="N13" s="15">
        <v>0.07991848407678874</v>
      </c>
      <c r="O13" s="14">
        <v>0.060888831162935565</v>
      </c>
      <c r="P13" s="14">
        <v>0</v>
      </c>
      <c r="Q13" s="15">
        <v>0</v>
      </c>
      <c r="R13" s="15">
        <v>0</v>
      </c>
      <c r="S13" s="16">
        <v>0</v>
      </c>
    </row>
    <row r="14" spans="1:19" ht="12.75">
      <c r="A14" s="59"/>
      <c r="B14" s="289" t="s">
        <v>965</v>
      </c>
      <c r="C14" s="14">
        <v>0</v>
      </c>
      <c r="D14" s="15">
        <v>0</v>
      </c>
      <c r="E14" s="15">
        <v>0</v>
      </c>
      <c r="F14" s="15">
        <v>0</v>
      </c>
      <c r="G14" s="15">
        <v>0</v>
      </c>
      <c r="H14" s="15">
        <v>0</v>
      </c>
      <c r="I14" s="15">
        <v>0</v>
      </c>
      <c r="J14" s="14">
        <v>0</v>
      </c>
      <c r="K14" s="14">
        <v>0</v>
      </c>
      <c r="L14" s="15">
        <v>0</v>
      </c>
      <c r="M14" s="15">
        <v>0</v>
      </c>
      <c r="N14" s="15">
        <v>0</v>
      </c>
      <c r="O14" s="14">
        <v>0</v>
      </c>
      <c r="P14" s="14">
        <v>0</v>
      </c>
      <c r="Q14" s="15">
        <v>0</v>
      </c>
      <c r="R14" s="15">
        <v>0</v>
      </c>
      <c r="S14" s="16">
        <v>0</v>
      </c>
    </row>
    <row r="15" spans="1:19" ht="12.75">
      <c r="A15" s="59"/>
      <c r="B15" s="5" t="s">
        <v>921</v>
      </c>
      <c r="C15" s="14">
        <v>0</v>
      </c>
      <c r="D15" s="15">
        <v>0</v>
      </c>
      <c r="E15" s="15">
        <v>0</v>
      </c>
      <c r="F15" s="15">
        <v>0</v>
      </c>
      <c r="G15" s="15">
        <v>0</v>
      </c>
      <c r="H15" s="15">
        <v>0</v>
      </c>
      <c r="I15" s="15">
        <v>0</v>
      </c>
      <c r="J15" s="14">
        <v>0</v>
      </c>
      <c r="K15" s="14">
        <v>0</v>
      </c>
      <c r="L15" s="15">
        <v>0</v>
      </c>
      <c r="M15" s="15">
        <v>0</v>
      </c>
      <c r="N15" s="15">
        <v>0</v>
      </c>
      <c r="O15" s="14">
        <v>0</v>
      </c>
      <c r="P15" s="14">
        <v>0</v>
      </c>
      <c r="Q15" s="15">
        <v>0</v>
      </c>
      <c r="R15" s="15">
        <v>0</v>
      </c>
      <c r="S15" s="16">
        <v>0</v>
      </c>
    </row>
    <row r="16" spans="1:19" ht="12.75">
      <c r="A16" s="59"/>
      <c r="B16" s="5" t="s">
        <v>923</v>
      </c>
      <c r="C16" s="293">
        <v>0.000262015638117252</v>
      </c>
      <c r="D16" s="15">
        <v>0</v>
      </c>
      <c r="E16" s="15">
        <v>0.0005850778552464197</v>
      </c>
      <c r="F16" s="15">
        <v>0.007967613614711063</v>
      </c>
      <c r="G16" s="15">
        <v>0.03413798889170922</v>
      </c>
      <c r="H16" s="15">
        <v>0</v>
      </c>
      <c r="I16" s="15">
        <v>0</v>
      </c>
      <c r="J16" s="14">
        <v>0.0046616217146739905</v>
      </c>
      <c r="K16" s="14">
        <v>0</v>
      </c>
      <c r="L16" s="15">
        <v>0</v>
      </c>
      <c r="M16" s="15">
        <v>0.0012173865863666267</v>
      </c>
      <c r="N16" s="15">
        <v>0.0018703996079295017</v>
      </c>
      <c r="O16" s="14">
        <v>0.0012130856889935803</v>
      </c>
      <c r="P16" s="14">
        <v>0</v>
      </c>
      <c r="Q16" s="15">
        <v>0</v>
      </c>
      <c r="R16" s="15">
        <v>0</v>
      </c>
      <c r="S16" s="16">
        <v>0</v>
      </c>
    </row>
    <row r="17" spans="1:19" ht="12.75">
      <c r="A17" s="59"/>
      <c r="B17" s="289" t="s">
        <v>971</v>
      </c>
      <c r="C17" s="14">
        <v>0</v>
      </c>
      <c r="D17" s="15">
        <v>0</v>
      </c>
      <c r="E17" s="15">
        <v>0</v>
      </c>
      <c r="F17" s="15">
        <v>0</v>
      </c>
      <c r="G17" s="15">
        <v>0</v>
      </c>
      <c r="H17" s="15">
        <v>0</v>
      </c>
      <c r="I17" s="15">
        <v>0</v>
      </c>
      <c r="J17" s="14">
        <v>0</v>
      </c>
      <c r="K17" s="14">
        <v>0</v>
      </c>
      <c r="L17" s="15">
        <v>0</v>
      </c>
      <c r="M17" s="15">
        <v>0</v>
      </c>
      <c r="N17" s="15">
        <v>0</v>
      </c>
      <c r="O17" s="14">
        <v>0</v>
      </c>
      <c r="P17" s="14">
        <v>0</v>
      </c>
      <c r="Q17" s="15">
        <v>0</v>
      </c>
      <c r="R17" s="15">
        <v>0</v>
      </c>
      <c r="S17" s="16">
        <v>0</v>
      </c>
    </row>
    <row r="18" spans="1:19" ht="12.75">
      <c r="A18" s="59"/>
      <c r="B18" s="5" t="s">
        <v>925</v>
      </c>
      <c r="C18" s="14">
        <v>0</v>
      </c>
      <c r="D18" s="15">
        <v>0</v>
      </c>
      <c r="E18" s="15">
        <v>0</v>
      </c>
      <c r="F18" s="15">
        <v>0</v>
      </c>
      <c r="G18" s="15">
        <v>0</v>
      </c>
      <c r="H18" s="15">
        <v>0</v>
      </c>
      <c r="I18" s="15">
        <v>0</v>
      </c>
      <c r="J18" s="14">
        <v>0</v>
      </c>
      <c r="K18" s="14">
        <v>0</v>
      </c>
      <c r="L18" s="15">
        <v>0</v>
      </c>
      <c r="M18" s="15">
        <v>0</v>
      </c>
      <c r="N18" s="15">
        <v>0</v>
      </c>
      <c r="O18" s="14">
        <v>0</v>
      </c>
      <c r="P18" s="14">
        <v>0</v>
      </c>
      <c r="Q18" s="15">
        <v>0</v>
      </c>
      <c r="R18" s="15">
        <v>0</v>
      </c>
      <c r="S18" s="16">
        <v>0</v>
      </c>
    </row>
    <row r="19" spans="1:19" ht="12.75">
      <c r="A19" s="59"/>
      <c r="B19" s="5" t="s">
        <v>927</v>
      </c>
      <c r="C19" s="14">
        <v>0.0012265042370488606</v>
      </c>
      <c r="D19" s="15">
        <v>0</v>
      </c>
      <c r="E19" s="15">
        <v>0.006768287007282446</v>
      </c>
      <c r="F19" s="15">
        <v>0</v>
      </c>
      <c r="G19" s="15">
        <v>0</v>
      </c>
      <c r="H19" s="15">
        <v>0</v>
      </c>
      <c r="I19" s="15">
        <v>0</v>
      </c>
      <c r="J19" s="14">
        <v>0.0019378938739297203</v>
      </c>
      <c r="K19" s="14">
        <v>0</v>
      </c>
      <c r="L19" s="15">
        <v>0</v>
      </c>
      <c r="M19" s="15">
        <v>0.0060428492950009155</v>
      </c>
      <c r="N19" s="15">
        <v>0</v>
      </c>
      <c r="O19" s="14">
        <v>0.0022471088334579626</v>
      </c>
      <c r="P19" s="14">
        <v>0</v>
      </c>
      <c r="Q19" s="15">
        <v>0</v>
      </c>
      <c r="R19" s="15">
        <v>0</v>
      </c>
      <c r="S19" s="16">
        <v>0</v>
      </c>
    </row>
    <row r="20" spans="1:19" ht="12.75">
      <c r="A20" s="59"/>
      <c r="B20" s="289" t="s">
        <v>973</v>
      </c>
      <c r="C20" s="14">
        <v>0</v>
      </c>
      <c r="D20" s="15">
        <v>0</v>
      </c>
      <c r="E20" s="15">
        <v>0</v>
      </c>
      <c r="F20" s="15">
        <v>0</v>
      </c>
      <c r="G20" s="15">
        <v>0</v>
      </c>
      <c r="H20" s="15">
        <v>0</v>
      </c>
      <c r="I20" s="15">
        <v>0</v>
      </c>
      <c r="J20" s="14">
        <v>0</v>
      </c>
      <c r="K20" s="14">
        <v>0</v>
      </c>
      <c r="L20" s="15">
        <v>0</v>
      </c>
      <c r="M20" s="15">
        <v>0</v>
      </c>
      <c r="N20" s="15">
        <v>0</v>
      </c>
      <c r="O20" s="14">
        <v>0</v>
      </c>
      <c r="P20" s="14">
        <v>0</v>
      </c>
      <c r="Q20" s="15">
        <v>0</v>
      </c>
      <c r="R20" s="15">
        <v>0</v>
      </c>
      <c r="S20" s="16">
        <v>0</v>
      </c>
    </row>
    <row r="21" spans="1:19" ht="12.75">
      <c r="A21" s="59"/>
      <c r="B21" s="5" t="s">
        <v>929</v>
      </c>
      <c r="C21" s="14">
        <v>0</v>
      </c>
      <c r="D21" s="15">
        <v>0</v>
      </c>
      <c r="E21" s="15">
        <v>0</v>
      </c>
      <c r="F21" s="15">
        <v>0</v>
      </c>
      <c r="G21" s="15">
        <v>0</v>
      </c>
      <c r="H21" s="15">
        <v>0</v>
      </c>
      <c r="I21" s="15">
        <v>0</v>
      </c>
      <c r="J21" s="14">
        <v>0</v>
      </c>
      <c r="K21" s="14">
        <v>0</v>
      </c>
      <c r="L21" s="15">
        <v>0</v>
      </c>
      <c r="M21" s="15">
        <v>0</v>
      </c>
      <c r="N21" s="15">
        <v>0</v>
      </c>
      <c r="O21" s="14">
        <v>0</v>
      </c>
      <c r="P21" s="14">
        <v>0</v>
      </c>
      <c r="Q21" s="15">
        <v>0</v>
      </c>
      <c r="R21" s="15">
        <v>0</v>
      </c>
      <c r="S21" s="16">
        <v>0</v>
      </c>
    </row>
    <row r="22" spans="1:19" ht="12.75">
      <c r="A22" s="59"/>
      <c r="B22" s="5" t="s">
        <v>931</v>
      </c>
      <c r="C22" s="14">
        <v>0.004086841619828862</v>
      </c>
      <c r="D22" s="15">
        <v>0</v>
      </c>
      <c r="E22" s="15">
        <v>0</v>
      </c>
      <c r="F22" s="15">
        <v>0</v>
      </c>
      <c r="G22" s="15">
        <v>0.01754008578594814</v>
      </c>
      <c r="H22" s="15">
        <v>0</v>
      </c>
      <c r="I22" s="15">
        <v>0</v>
      </c>
      <c r="J22" s="14">
        <v>0.003933307980290837</v>
      </c>
      <c r="K22" s="14">
        <v>0</v>
      </c>
      <c r="L22" s="15">
        <v>0</v>
      </c>
      <c r="M22" s="15">
        <v>0</v>
      </c>
      <c r="N22" s="15">
        <v>0</v>
      </c>
      <c r="O22" s="14">
        <v>0</v>
      </c>
      <c r="P22" s="14">
        <v>0</v>
      </c>
      <c r="Q22" s="15">
        <v>0</v>
      </c>
      <c r="R22" s="15">
        <v>0</v>
      </c>
      <c r="S22" s="16">
        <v>0</v>
      </c>
    </row>
    <row r="23" spans="1:19" ht="12.75">
      <c r="A23" s="59"/>
      <c r="B23" s="289" t="s">
        <v>959</v>
      </c>
      <c r="C23" s="14">
        <v>0</v>
      </c>
      <c r="D23" s="15">
        <v>0</v>
      </c>
      <c r="E23" s="15">
        <v>0</v>
      </c>
      <c r="F23" s="15">
        <v>0</v>
      </c>
      <c r="G23" s="15">
        <v>0</v>
      </c>
      <c r="H23" s="15">
        <v>0</v>
      </c>
      <c r="I23" s="15">
        <v>0</v>
      </c>
      <c r="J23" s="14">
        <v>0</v>
      </c>
      <c r="K23" s="14">
        <v>0</v>
      </c>
      <c r="L23" s="15">
        <v>0</v>
      </c>
      <c r="M23" s="15">
        <v>0</v>
      </c>
      <c r="N23" s="15">
        <v>0</v>
      </c>
      <c r="O23" s="14">
        <v>0</v>
      </c>
      <c r="P23" s="14">
        <v>0</v>
      </c>
      <c r="Q23" s="15">
        <v>0</v>
      </c>
      <c r="R23" s="15">
        <v>0</v>
      </c>
      <c r="S23" s="16">
        <v>0</v>
      </c>
    </row>
    <row r="24" spans="1:19" ht="12.75">
      <c r="A24" s="59"/>
      <c r="B24" s="5" t="s">
        <v>915</v>
      </c>
      <c r="C24" s="14">
        <v>0</v>
      </c>
      <c r="D24" s="15">
        <v>0</v>
      </c>
      <c r="E24" s="15">
        <v>0</v>
      </c>
      <c r="F24" s="15">
        <v>0</v>
      </c>
      <c r="G24" s="15">
        <v>0</v>
      </c>
      <c r="H24" s="15">
        <v>0</v>
      </c>
      <c r="I24" s="15">
        <v>0</v>
      </c>
      <c r="J24" s="14">
        <v>0</v>
      </c>
      <c r="K24" s="14">
        <v>0</v>
      </c>
      <c r="L24" s="15">
        <v>0</v>
      </c>
      <c r="M24" s="15">
        <v>0</v>
      </c>
      <c r="N24" s="15">
        <v>0</v>
      </c>
      <c r="O24" s="14">
        <v>0</v>
      </c>
      <c r="P24" s="14">
        <v>0</v>
      </c>
      <c r="Q24" s="15">
        <v>0</v>
      </c>
      <c r="R24" s="15">
        <v>0</v>
      </c>
      <c r="S24" s="16">
        <v>0</v>
      </c>
    </row>
    <row r="25" spans="1:19" ht="12.75">
      <c r="A25" s="59"/>
      <c r="B25" s="5" t="s">
        <v>933</v>
      </c>
      <c r="C25" s="14">
        <v>0.8795309864012154</v>
      </c>
      <c r="D25" s="15">
        <v>1</v>
      </c>
      <c r="E25" s="15">
        <v>0.8266146683115126</v>
      </c>
      <c r="F25" s="15">
        <v>0.7023832568520058</v>
      </c>
      <c r="G25" s="15">
        <v>0.6641840875237557</v>
      </c>
      <c r="H25" s="15">
        <v>0</v>
      </c>
      <c r="I25" s="15">
        <v>0</v>
      </c>
      <c r="J25" s="14">
        <v>0.822299952694589</v>
      </c>
      <c r="K25" s="14">
        <v>0</v>
      </c>
      <c r="L25" s="15">
        <v>0</v>
      </c>
      <c r="M25" s="15">
        <v>0</v>
      </c>
      <c r="N25" s="15">
        <v>0</v>
      </c>
      <c r="O25" s="14">
        <v>0</v>
      </c>
      <c r="P25" s="14">
        <v>0</v>
      </c>
      <c r="Q25" s="15">
        <v>0</v>
      </c>
      <c r="R25" s="15">
        <v>0</v>
      </c>
      <c r="S25" s="16">
        <v>0</v>
      </c>
    </row>
    <row r="26" spans="1:19" ht="12.75">
      <c r="A26" s="59"/>
      <c r="B26" s="289" t="s">
        <v>957</v>
      </c>
      <c r="C26" s="14">
        <v>0</v>
      </c>
      <c r="D26" s="15">
        <v>0</v>
      </c>
      <c r="E26" s="15">
        <v>0</v>
      </c>
      <c r="F26" s="15">
        <v>0</v>
      </c>
      <c r="G26" s="15">
        <v>0</v>
      </c>
      <c r="H26" s="15">
        <v>0</v>
      </c>
      <c r="I26" s="15">
        <v>0</v>
      </c>
      <c r="J26" s="14">
        <v>0</v>
      </c>
      <c r="K26" s="14">
        <v>0</v>
      </c>
      <c r="L26" s="15">
        <v>0</v>
      </c>
      <c r="M26" s="15">
        <v>0</v>
      </c>
      <c r="N26" s="15">
        <v>0</v>
      </c>
      <c r="O26" s="14">
        <v>0</v>
      </c>
      <c r="P26" s="14">
        <v>0</v>
      </c>
      <c r="Q26" s="15">
        <v>0</v>
      </c>
      <c r="R26" s="15">
        <v>0</v>
      </c>
      <c r="S26" s="16">
        <v>0</v>
      </c>
    </row>
    <row r="27" spans="1:19" ht="12.75">
      <c r="A27" s="59"/>
      <c r="B27" s="5" t="s">
        <v>935</v>
      </c>
      <c r="C27" s="14">
        <v>0</v>
      </c>
      <c r="D27" s="15">
        <v>0</v>
      </c>
      <c r="E27" s="15">
        <v>0</v>
      </c>
      <c r="F27" s="15">
        <v>0</v>
      </c>
      <c r="G27" s="15">
        <v>0</v>
      </c>
      <c r="H27" s="15">
        <v>0</v>
      </c>
      <c r="I27" s="15">
        <v>0</v>
      </c>
      <c r="J27" s="14">
        <v>0</v>
      </c>
      <c r="K27" s="14">
        <v>0</v>
      </c>
      <c r="L27" s="15">
        <v>0</v>
      </c>
      <c r="M27" s="15">
        <v>0</v>
      </c>
      <c r="N27" s="15">
        <v>0</v>
      </c>
      <c r="O27" s="14">
        <v>0</v>
      </c>
      <c r="P27" s="14">
        <v>0</v>
      </c>
      <c r="Q27" s="15">
        <v>0</v>
      </c>
      <c r="R27" s="15">
        <v>0</v>
      </c>
      <c r="S27" s="16">
        <v>0</v>
      </c>
    </row>
    <row r="28" spans="1:19" ht="12.75">
      <c r="A28" s="59"/>
      <c r="B28" s="5" t="s">
        <v>937</v>
      </c>
      <c r="C28" s="14">
        <v>0.05521069261527277</v>
      </c>
      <c r="D28" s="15">
        <v>0</v>
      </c>
      <c r="E28" s="15">
        <v>0.012893469696366748</v>
      </c>
      <c r="F28" s="15">
        <v>0</v>
      </c>
      <c r="G28" s="15">
        <v>0.13482972931326725</v>
      </c>
      <c r="H28" s="15">
        <v>0</v>
      </c>
      <c r="I28" s="15">
        <v>0</v>
      </c>
      <c r="J28" s="14">
        <v>0.04109430151741203</v>
      </c>
      <c r="K28" s="14">
        <v>0</v>
      </c>
      <c r="L28" s="15">
        <v>0</v>
      </c>
      <c r="M28" s="15">
        <v>0</v>
      </c>
      <c r="N28" s="15">
        <v>0</v>
      </c>
      <c r="O28" s="14">
        <v>0</v>
      </c>
      <c r="P28" s="14">
        <v>0</v>
      </c>
      <c r="Q28" s="15">
        <v>0</v>
      </c>
      <c r="R28" s="15">
        <v>0</v>
      </c>
      <c r="S28" s="16">
        <v>0</v>
      </c>
    </row>
    <row r="29" spans="1:19" ht="12.75">
      <c r="A29" s="59"/>
      <c r="B29" s="289" t="s">
        <v>961</v>
      </c>
      <c r="C29" s="14">
        <v>0</v>
      </c>
      <c r="D29" s="15">
        <v>0</v>
      </c>
      <c r="E29" s="15">
        <v>0</v>
      </c>
      <c r="F29" s="15">
        <v>0</v>
      </c>
      <c r="G29" s="15">
        <v>0</v>
      </c>
      <c r="H29" s="15">
        <v>0</v>
      </c>
      <c r="I29" s="15">
        <v>0</v>
      </c>
      <c r="J29" s="14">
        <v>0</v>
      </c>
      <c r="K29" s="14">
        <v>0</v>
      </c>
      <c r="L29" s="15">
        <v>0</v>
      </c>
      <c r="M29" s="15">
        <v>0</v>
      </c>
      <c r="N29" s="15">
        <v>0</v>
      </c>
      <c r="O29" s="14">
        <v>0</v>
      </c>
      <c r="P29" s="14">
        <v>0</v>
      </c>
      <c r="Q29" s="15">
        <v>0</v>
      </c>
      <c r="R29" s="15">
        <v>0</v>
      </c>
      <c r="S29" s="16">
        <v>0</v>
      </c>
    </row>
    <row r="30" spans="1:19" ht="12.75">
      <c r="A30" s="59"/>
      <c r="B30" s="5" t="s">
        <v>939</v>
      </c>
      <c r="C30" s="14">
        <v>0</v>
      </c>
      <c r="D30" s="15">
        <v>0</v>
      </c>
      <c r="E30" s="15">
        <v>0</v>
      </c>
      <c r="F30" s="15">
        <v>0</v>
      </c>
      <c r="G30" s="15">
        <v>0</v>
      </c>
      <c r="H30" s="15">
        <v>0</v>
      </c>
      <c r="I30" s="15">
        <v>0</v>
      </c>
      <c r="J30" s="14">
        <v>0</v>
      </c>
      <c r="K30" s="14">
        <v>0</v>
      </c>
      <c r="L30" s="15">
        <v>0</v>
      </c>
      <c r="M30" s="15">
        <v>0</v>
      </c>
      <c r="N30" s="15">
        <v>0</v>
      </c>
      <c r="O30" s="14">
        <v>0</v>
      </c>
      <c r="P30" s="14">
        <v>0</v>
      </c>
      <c r="Q30" s="15">
        <v>0</v>
      </c>
      <c r="R30" s="15">
        <v>0</v>
      </c>
      <c r="S30" s="16">
        <v>0</v>
      </c>
    </row>
    <row r="31" spans="1:19" ht="12.75">
      <c r="A31" s="59"/>
      <c r="B31" s="5" t="s">
        <v>941</v>
      </c>
      <c r="C31" s="14">
        <v>0.009586257677860732</v>
      </c>
      <c r="D31" s="15">
        <v>0</v>
      </c>
      <c r="E31" s="15">
        <v>0.13689362887500497</v>
      </c>
      <c r="F31" s="15">
        <v>0.22934150146320356</v>
      </c>
      <c r="G31" s="15">
        <v>0.20021572756690123</v>
      </c>
      <c r="H31" s="15">
        <v>0</v>
      </c>
      <c r="I31" s="15">
        <v>0</v>
      </c>
      <c r="J31" s="14">
        <v>0.09168607401477384</v>
      </c>
      <c r="K31" s="14">
        <v>0</v>
      </c>
      <c r="L31" s="15">
        <v>0</v>
      </c>
      <c r="M31" s="15">
        <v>0</v>
      </c>
      <c r="N31" s="15">
        <v>0</v>
      </c>
      <c r="O31" s="14">
        <v>0</v>
      </c>
      <c r="P31" s="14">
        <v>0</v>
      </c>
      <c r="Q31" s="15">
        <v>0</v>
      </c>
      <c r="R31" s="15">
        <v>0</v>
      </c>
      <c r="S31" s="16">
        <v>0</v>
      </c>
    </row>
    <row r="32" spans="1:19" ht="12.75">
      <c r="A32" s="59"/>
      <c r="B32" s="289" t="s">
        <v>967</v>
      </c>
      <c r="C32" s="14">
        <v>0</v>
      </c>
      <c r="D32" s="15">
        <v>0</v>
      </c>
      <c r="E32" s="15">
        <v>0</v>
      </c>
      <c r="F32" s="15">
        <v>0</v>
      </c>
      <c r="G32" s="15">
        <v>0</v>
      </c>
      <c r="H32" s="15">
        <v>0</v>
      </c>
      <c r="I32" s="15">
        <v>0</v>
      </c>
      <c r="J32" s="14">
        <v>0</v>
      </c>
      <c r="K32" s="14">
        <v>0</v>
      </c>
      <c r="L32" s="15">
        <v>0</v>
      </c>
      <c r="M32" s="15">
        <v>0</v>
      </c>
      <c r="N32" s="15">
        <v>0</v>
      </c>
      <c r="O32" s="14">
        <v>0</v>
      </c>
      <c r="P32" s="14">
        <v>0</v>
      </c>
      <c r="Q32" s="15">
        <v>0</v>
      </c>
      <c r="R32" s="15">
        <v>0</v>
      </c>
      <c r="S32" s="16">
        <v>0</v>
      </c>
    </row>
    <row r="33" spans="1:19" ht="12.75">
      <c r="A33" s="59"/>
      <c r="B33" s="5" t="s">
        <v>943</v>
      </c>
      <c r="C33" s="14">
        <v>0</v>
      </c>
      <c r="D33" s="15">
        <v>0</v>
      </c>
      <c r="E33" s="15">
        <v>0</v>
      </c>
      <c r="F33" s="15">
        <v>0</v>
      </c>
      <c r="G33" s="15">
        <v>0</v>
      </c>
      <c r="H33" s="15">
        <v>0</v>
      </c>
      <c r="I33" s="15">
        <v>0</v>
      </c>
      <c r="J33" s="14">
        <v>0</v>
      </c>
      <c r="K33" s="14">
        <v>0</v>
      </c>
      <c r="L33" s="15">
        <v>0</v>
      </c>
      <c r="M33" s="15">
        <v>0</v>
      </c>
      <c r="N33" s="15">
        <v>0</v>
      </c>
      <c r="O33" s="14">
        <v>0</v>
      </c>
      <c r="P33" s="14">
        <v>0</v>
      </c>
      <c r="Q33" s="15">
        <v>0</v>
      </c>
      <c r="R33" s="15">
        <v>0</v>
      </c>
      <c r="S33" s="16">
        <v>0</v>
      </c>
    </row>
    <row r="34" spans="1:19" ht="12.75">
      <c r="A34" s="59"/>
      <c r="B34" s="5" t="s">
        <v>945</v>
      </c>
      <c r="C34" s="14">
        <v>0.008738081257165227</v>
      </c>
      <c r="D34" s="15">
        <v>0</v>
      </c>
      <c r="E34" s="15">
        <v>0.022086036053961557</v>
      </c>
      <c r="F34" s="15">
        <v>0.06827524168479066</v>
      </c>
      <c r="G34" s="15">
        <v>0.0007704555960758128</v>
      </c>
      <c r="H34" s="15">
        <v>0</v>
      </c>
      <c r="I34" s="15">
        <v>0</v>
      </c>
      <c r="J34" s="14">
        <v>0.021755940467959683</v>
      </c>
      <c r="K34" s="14">
        <v>0</v>
      </c>
      <c r="L34" s="15">
        <v>0</v>
      </c>
      <c r="M34" s="15">
        <v>0</v>
      </c>
      <c r="N34" s="15">
        <v>0</v>
      </c>
      <c r="O34" s="14">
        <v>0</v>
      </c>
      <c r="P34" s="14">
        <v>0</v>
      </c>
      <c r="Q34" s="15">
        <v>0</v>
      </c>
      <c r="R34" s="15">
        <v>0</v>
      </c>
      <c r="S34" s="16">
        <v>0</v>
      </c>
    </row>
    <row r="35" spans="1:19" ht="12.75">
      <c r="A35" s="59"/>
      <c r="B35" s="289" t="s">
        <v>969</v>
      </c>
      <c r="C35" s="14">
        <v>0</v>
      </c>
      <c r="D35" s="15">
        <v>0</v>
      </c>
      <c r="E35" s="15">
        <v>0</v>
      </c>
      <c r="F35" s="15">
        <v>0</v>
      </c>
      <c r="G35" s="15">
        <v>0</v>
      </c>
      <c r="H35" s="15">
        <v>0</v>
      </c>
      <c r="I35" s="15">
        <v>0</v>
      </c>
      <c r="J35" s="14">
        <v>0</v>
      </c>
      <c r="K35" s="14">
        <v>0</v>
      </c>
      <c r="L35" s="15">
        <v>0</v>
      </c>
      <c r="M35" s="15">
        <v>0</v>
      </c>
      <c r="N35" s="15">
        <v>0</v>
      </c>
      <c r="O35" s="14">
        <v>0</v>
      </c>
      <c r="P35" s="14">
        <v>0</v>
      </c>
      <c r="Q35" s="15">
        <v>0</v>
      </c>
      <c r="R35" s="15">
        <v>0</v>
      </c>
      <c r="S35" s="16">
        <v>0</v>
      </c>
    </row>
    <row r="36" spans="1:19" ht="12.75">
      <c r="A36" s="59"/>
      <c r="B36" s="5" t="s">
        <v>947</v>
      </c>
      <c r="C36" s="14">
        <v>0</v>
      </c>
      <c r="D36" s="15">
        <v>0</v>
      </c>
      <c r="E36" s="15">
        <v>0</v>
      </c>
      <c r="F36" s="15">
        <v>0</v>
      </c>
      <c r="G36" s="15">
        <v>0</v>
      </c>
      <c r="H36" s="15">
        <v>0</v>
      </c>
      <c r="I36" s="15">
        <v>0</v>
      </c>
      <c r="J36" s="14">
        <v>0</v>
      </c>
      <c r="K36" s="14">
        <v>0</v>
      </c>
      <c r="L36" s="15">
        <v>0</v>
      </c>
      <c r="M36" s="15">
        <v>0</v>
      </c>
      <c r="N36" s="15">
        <v>0</v>
      </c>
      <c r="O36" s="14">
        <v>0</v>
      </c>
      <c r="P36" s="14">
        <v>0</v>
      </c>
      <c r="Q36" s="15">
        <v>0</v>
      </c>
      <c r="R36" s="15">
        <v>0</v>
      </c>
      <c r="S36" s="16">
        <v>0</v>
      </c>
    </row>
    <row r="37" spans="1:19" ht="12.75">
      <c r="A37" s="59"/>
      <c r="B37" s="5" t="s">
        <v>949</v>
      </c>
      <c r="C37" s="14">
        <v>0.0469200011184744</v>
      </c>
      <c r="D37" s="15">
        <v>0</v>
      </c>
      <c r="E37" s="15">
        <v>0.0015121970631541248</v>
      </c>
      <c r="F37" s="15">
        <v>0</v>
      </c>
      <c r="G37" s="15">
        <v>0</v>
      </c>
      <c r="H37" s="15">
        <v>0</v>
      </c>
      <c r="I37" s="15">
        <v>0</v>
      </c>
      <c r="J37" s="14">
        <v>0.023156908409446526</v>
      </c>
      <c r="K37" s="14">
        <v>0</v>
      </c>
      <c r="L37" s="15">
        <v>0</v>
      </c>
      <c r="M37" s="15">
        <v>0</v>
      </c>
      <c r="N37" s="15">
        <v>0</v>
      </c>
      <c r="O37" s="14">
        <v>0</v>
      </c>
      <c r="P37" s="14">
        <v>0</v>
      </c>
      <c r="Q37" s="15">
        <v>0</v>
      </c>
      <c r="R37" s="15">
        <v>0</v>
      </c>
      <c r="S37" s="16">
        <v>0</v>
      </c>
    </row>
    <row r="38" spans="1:19" ht="12.75">
      <c r="A38" s="59"/>
      <c r="B38" s="289" t="s">
        <v>975</v>
      </c>
      <c r="C38" s="14">
        <v>0</v>
      </c>
      <c r="D38" s="15">
        <v>0</v>
      </c>
      <c r="E38" s="15">
        <v>0</v>
      </c>
      <c r="F38" s="15">
        <v>0</v>
      </c>
      <c r="G38" s="15">
        <v>0</v>
      </c>
      <c r="H38" s="15">
        <v>0</v>
      </c>
      <c r="I38" s="15">
        <v>0</v>
      </c>
      <c r="J38" s="14">
        <v>0</v>
      </c>
      <c r="K38" s="14">
        <v>0</v>
      </c>
      <c r="L38" s="15">
        <v>0</v>
      </c>
      <c r="M38" s="15">
        <v>0</v>
      </c>
      <c r="N38" s="15">
        <v>0</v>
      </c>
      <c r="O38" s="14">
        <v>0</v>
      </c>
      <c r="P38" s="14">
        <v>0</v>
      </c>
      <c r="Q38" s="15">
        <v>0</v>
      </c>
      <c r="R38" s="15">
        <v>0</v>
      </c>
      <c r="S38" s="16">
        <v>0</v>
      </c>
    </row>
    <row r="39" spans="1:19" ht="12.75">
      <c r="A39" s="59"/>
      <c r="B39" s="5" t="s">
        <v>951</v>
      </c>
      <c r="C39" s="14">
        <v>0</v>
      </c>
      <c r="D39" s="15">
        <v>0</v>
      </c>
      <c r="E39" s="15">
        <v>0</v>
      </c>
      <c r="F39" s="15">
        <v>0</v>
      </c>
      <c r="G39" s="15">
        <v>0</v>
      </c>
      <c r="H39" s="15">
        <v>0</v>
      </c>
      <c r="I39" s="15">
        <v>0</v>
      </c>
      <c r="J39" s="14">
        <v>0</v>
      </c>
      <c r="K39" s="14">
        <v>0</v>
      </c>
      <c r="L39" s="15">
        <v>0</v>
      </c>
      <c r="M39" s="15">
        <v>0</v>
      </c>
      <c r="N39" s="15">
        <v>0</v>
      </c>
      <c r="O39" s="14">
        <v>0</v>
      </c>
      <c r="P39" s="14">
        <v>0</v>
      </c>
      <c r="Q39" s="15">
        <v>0</v>
      </c>
      <c r="R39" s="15">
        <v>0</v>
      </c>
      <c r="S39" s="16">
        <v>0</v>
      </c>
    </row>
    <row r="40" spans="1:19" ht="12.75">
      <c r="A40" s="59"/>
      <c r="B40" s="5" t="s">
        <v>953</v>
      </c>
      <c r="C40" s="294">
        <v>1.3980930011464363E-05</v>
      </c>
      <c r="D40" s="15">
        <v>0</v>
      </c>
      <c r="E40" s="15">
        <v>0</v>
      </c>
      <c r="F40" s="15">
        <v>0</v>
      </c>
      <c r="G40" s="15">
        <v>0</v>
      </c>
      <c r="H40" s="15">
        <v>0</v>
      </c>
      <c r="I40" s="15">
        <v>0</v>
      </c>
      <c r="J40" s="294">
        <v>6.822895818929442E-06</v>
      </c>
      <c r="K40" s="14">
        <v>0</v>
      </c>
      <c r="L40" s="15">
        <v>0</v>
      </c>
      <c r="M40" s="15">
        <v>0</v>
      </c>
      <c r="N40" s="15">
        <v>0</v>
      </c>
      <c r="O40" s="14">
        <v>0</v>
      </c>
      <c r="P40" s="14">
        <v>0</v>
      </c>
      <c r="Q40" s="15">
        <v>0</v>
      </c>
      <c r="R40" s="15">
        <v>0</v>
      </c>
      <c r="S40" s="16">
        <v>0</v>
      </c>
    </row>
    <row r="41" spans="1:19" s="301" customFormat="1" ht="12.75">
      <c r="A41" s="62"/>
      <c r="B41" s="290" t="s">
        <v>977</v>
      </c>
      <c r="C41" s="353">
        <v>0</v>
      </c>
      <c r="D41" s="354">
        <v>0</v>
      </c>
      <c r="E41" s="354">
        <v>0</v>
      </c>
      <c r="F41" s="354">
        <v>0</v>
      </c>
      <c r="G41" s="354">
        <v>0</v>
      </c>
      <c r="H41" s="354">
        <v>0</v>
      </c>
      <c r="I41" s="354">
        <v>0</v>
      </c>
      <c r="J41" s="353">
        <v>0</v>
      </c>
      <c r="K41" s="353">
        <v>0</v>
      </c>
      <c r="L41" s="354">
        <v>0</v>
      </c>
      <c r="M41" s="354">
        <v>0</v>
      </c>
      <c r="N41" s="354">
        <v>0</v>
      </c>
      <c r="O41" s="353">
        <v>0</v>
      </c>
      <c r="P41" s="353">
        <v>0</v>
      </c>
      <c r="Q41" s="354">
        <v>0</v>
      </c>
      <c r="R41" s="354">
        <v>0</v>
      </c>
      <c r="S41" s="355">
        <v>0</v>
      </c>
    </row>
    <row r="42" spans="1:19" s="56" customFormat="1" ht="12.75">
      <c r="A42" s="58" t="s">
        <v>317</v>
      </c>
      <c r="B42" s="3" t="s">
        <v>907</v>
      </c>
      <c r="C42" s="11">
        <v>0</v>
      </c>
      <c r="D42" s="12">
        <v>0.9853581020225465</v>
      </c>
      <c r="E42" s="12">
        <v>0.8954943750674367</v>
      </c>
      <c r="F42" s="12">
        <v>0</v>
      </c>
      <c r="G42" s="12">
        <v>0.9598710630742281</v>
      </c>
      <c r="H42" s="12">
        <v>0.9423122468058586</v>
      </c>
      <c r="I42" s="12">
        <v>0</v>
      </c>
      <c r="J42" s="11">
        <v>0.9351290091958553</v>
      </c>
      <c r="K42" s="11">
        <v>0.9172289174183583</v>
      </c>
      <c r="L42" s="12">
        <v>0</v>
      </c>
      <c r="M42" s="12">
        <v>0.871999615841068</v>
      </c>
      <c r="N42" s="12">
        <v>0.8572096982046217</v>
      </c>
      <c r="O42" s="11">
        <v>0.8691046823208478</v>
      </c>
      <c r="P42" s="11">
        <v>0</v>
      </c>
      <c r="Q42" s="12">
        <v>0</v>
      </c>
      <c r="R42" s="12">
        <v>0</v>
      </c>
      <c r="S42" s="13">
        <v>0</v>
      </c>
    </row>
    <row r="43" spans="1:19" ht="12.75">
      <c r="A43" s="59"/>
      <c r="B43" s="5" t="s">
        <v>909</v>
      </c>
      <c r="C43" s="14">
        <v>0</v>
      </c>
      <c r="D43" s="15">
        <v>0.9776915461020089</v>
      </c>
      <c r="E43" s="15">
        <v>0.8850756688025132</v>
      </c>
      <c r="F43" s="15">
        <v>0</v>
      </c>
      <c r="G43" s="15">
        <v>0.9345566354726562</v>
      </c>
      <c r="H43" s="15">
        <v>0.9050628370541319</v>
      </c>
      <c r="I43" s="15">
        <v>0</v>
      </c>
      <c r="J43" s="14">
        <v>0.9193555807843103</v>
      </c>
      <c r="K43" s="14">
        <v>0.9137104903409327</v>
      </c>
      <c r="L43" s="15">
        <v>0</v>
      </c>
      <c r="M43" s="15">
        <v>0.8843882638224951</v>
      </c>
      <c r="N43" s="15">
        <v>0.8269103131448967</v>
      </c>
      <c r="O43" s="14">
        <v>0.8546018952788176</v>
      </c>
      <c r="P43" s="14">
        <v>0</v>
      </c>
      <c r="Q43" s="15">
        <v>0</v>
      </c>
      <c r="R43" s="15">
        <v>0</v>
      </c>
      <c r="S43" s="16">
        <v>0</v>
      </c>
    </row>
    <row r="44" spans="1:19" ht="12.75">
      <c r="A44" s="59"/>
      <c r="B44" s="5" t="s">
        <v>955</v>
      </c>
      <c r="C44" s="14">
        <v>0</v>
      </c>
      <c r="D44" s="361">
        <v>-0.7666555920537554</v>
      </c>
      <c r="E44" s="362">
        <v>-1.0418706264923472</v>
      </c>
      <c r="F44" s="362">
        <v>0</v>
      </c>
      <c r="G44" s="362">
        <v>-2.5314427601571876</v>
      </c>
      <c r="H44" s="362">
        <v>-3.7249409751726636</v>
      </c>
      <c r="I44" s="362">
        <v>0</v>
      </c>
      <c r="J44" s="363">
        <v>-1.5773428411544943</v>
      </c>
      <c r="K44" s="363">
        <v>-0.35184270774256676</v>
      </c>
      <c r="L44" s="362">
        <v>0</v>
      </c>
      <c r="M44" s="362">
        <v>1.2388647981427137</v>
      </c>
      <c r="N44" s="362">
        <v>-3.029938505972496</v>
      </c>
      <c r="O44" s="363">
        <v>-1.450278704203023</v>
      </c>
      <c r="P44" s="363">
        <v>0</v>
      </c>
      <c r="Q44" s="362">
        <v>0</v>
      </c>
      <c r="R44" s="362">
        <v>0</v>
      </c>
      <c r="S44" s="364">
        <v>0</v>
      </c>
    </row>
    <row r="45" spans="1:19" ht="12.75">
      <c r="A45" s="59"/>
      <c r="B45" s="5" t="s">
        <v>911</v>
      </c>
      <c r="C45" s="14">
        <v>0</v>
      </c>
      <c r="D45" s="15">
        <v>0.008201204330801862</v>
      </c>
      <c r="E45" s="15">
        <v>0.04468854171990618</v>
      </c>
      <c r="F45" s="15">
        <v>0</v>
      </c>
      <c r="G45" s="15">
        <v>0.021458703242489604</v>
      </c>
      <c r="H45" s="15">
        <v>0.03255219694608912</v>
      </c>
      <c r="I45" s="15">
        <v>0</v>
      </c>
      <c r="J45" s="14">
        <v>0.029921766032797423</v>
      </c>
      <c r="K45" s="14">
        <v>0.015942176821182402</v>
      </c>
      <c r="L45" s="15">
        <v>0</v>
      </c>
      <c r="M45" s="15">
        <v>0.0736624752183189</v>
      </c>
      <c r="N45" s="15">
        <v>0.0733720950657837</v>
      </c>
      <c r="O45" s="14">
        <v>0.06598130256461782</v>
      </c>
      <c r="P45" s="14">
        <v>0</v>
      </c>
      <c r="Q45" s="15">
        <v>0</v>
      </c>
      <c r="R45" s="15">
        <v>0</v>
      </c>
      <c r="S45" s="16">
        <v>0</v>
      </c>
    </row>
    <row r="46" spans="1:19" ht="12.75">
      <c r="A46" s="352"/>
      <c r="B46" s="5" t="s">
        <v>913</v>
      </c>
      <c r="C46" s="14">
        <v>0</v>
      </c>
      <c r="D46" s="15">
        <v>0.01577187995699062</v>
      </c>
      <c r="E46" s="15">
        <v>0.045577191043295905</v>
      </c>
      <c r="F46" s="15">
        <v>0</v>
      </c>
      <c r="G46" s="15">
        <v>0.04011157633603345</v>
      </c>
      <c r="H46" s="15">
        <v>0.0562603881428691</v>
      </c>
      <c r="I46" s="15">
        <v>0</v>
      </c>
      <c r="J46" s="14">
        <v>0.03855833831760128</v>
      </c>
      <c r="K46" s="14">
        <v>0.010777558375564423</v>
      </c>
      <c r="L46" s="15">
        <v>0</v>
      </c>
      <c r="M46" s="15">
        <v>0.09920305413210974</v>
      </c>
      <c r="N46" s="15">
        <v>0.08894115940703792</v>
      </c>
      <c r="O46" s="14">
        <v>0.08134089866694284</v>
      </c>
      <c r="P46" s="14">
        <v>0</v>
      </c>
      <c r="Q46" s="15">
        <v>0</v>
      </c>
      <c r="R46" s="15">
        <v>0</v>
      </c>
      <c r="S46" s="16">
        <v>0</v>
      </c>
    </row>
    <row r="47" spans="1:19" ht="12.75">
      <c r="A47" s="352"/>
      <c r="B47" s="289" t="s">
        <v>963</v>
      </c>
      <c r="C47" s="14">
        <v>0</v>
      </c>
      <c r="D47" s="361">
        <v>0.757067562618876</v>
      </c>
      <c r="E47" s="15">
        <v>0.0888649323389723</v>
      </c>
      <c r="F47" s="15">
        <v>0</v>
      </c>
      <c r="G47" s="15">
        <v>1.8652873093543842</v>
      </c>
      <c r="H47" s="15">
        <v>2.3708191196779977</v>
      </c>
      <c r="I47" s="15">
        <v>0</v>
      </c>
      <c r="J47" s="14">
        <v>0.863657228480386</v>
      </c>
      <c r="K47" s="14">
        <v>-0.5164618445617979</v>
      </c>
      <c r="L47" s="15">
        <v>0</v>
      </c>
      <c r="M47" s="15">
        <v>2.554057891379084</v>
      </c>
      <c r="N47" s="15">
        <v>1.5569064341254226</v>
      </c>
      <c r="O47" s="14">
        <v>1.5359596102325026</v>
      </c>
      <c r="P47" s="14">
        <v>0</v>
      </c>
      <c r="Q47" s="15">
        <v>0</v>
      </c>
      <c r="R47" s="15">
        <v>0</v>
      </c>
      <c r="S47" s="16">
        <v>0</v>
      </c>
    </row>
    <row r="48" spans="1:19" ht="12.75">
      <c r="A48" s="352"/>
      <c r="B48" s="5" t="s">
        <v>917</v>
      </c>
      <c r="C48" s="14">
        <v>0</v>
      </c>
      <c r="D48" s="15">
        <v>0.0008353582380743769</v>
      </c>
      <c r="E48" s="15">
        <v>0.04185903879244254</v>
      </c>
      <c r="F48" s="15">
        <v>0</v>
      </c>
      <c r="G48" s="15">
        <v>0.01820548875674774</v>
      </c>
      <c r="H48" s="15">
        <v>0.011000311623558742</v>
      </c>
      <c r="I48" s="15">
        <v>0</v>
      </c>
      <c r="J48" s="14">
        <v>0.024022489953692275</v>
      </c>
      <c r="K48" s="14">
        <v>0.06628244174693616</v>
      </c>
      <c r="L48" s="15">
        <v>0</v>
      </c>
      <c r="M48" s="15">
        <v>0.044761375563375935</v>
      </c>
      <c r="N48" s="15">
        <v>0.030960414806960504</v>
      </c>
      <c r="O48" s="14">
        <v>0.039369257761293484</v>
      </c>
      <c r="P48" s="14">
        <v>0</v>
      </c>
      <c r="Q48" s="15">
        <v>0</v>
      </c>
      <c r="R48" s="15">
        <v>0</v>
      </c>
      <c r="S48" s="16">
        <v>0</v>
      </c>
    </row>
    <row r="49" spans="1:19" ht="12.75">
      <c r="A49" s="352"/>
      <c r="B49" s="5" t="s">
        <v>919</v>
      </c>
      <c r="C49" s="14">
        <v>0</v>
      </c>
      <c r="D49" s="15">
        <v>0.0016687426144166586</v>
      </c>
      <c r="E49" s="15">
        <v>0.049110618010366196</v>
      </c>
      <c r="F49" s="15">
        <v>0</v>
      </c>
      <c r="G49" s="15">
        <v>0.0222395630120952</v>
      </c>
      <c r="H49" s="15">
        <v>0.017458058807351517</v>
      </c>
      <c r="I49" s="15">
        <v>0</v>
      </c>
      <c r="J49" s="14">
        <v>0.028998491663112396</v>
      </c>
      <c r="K49" s="14">
        <v>0.075304823319847</v>
      </c>
      <c r="L49" s="15">
        <v>0</v>
      </c>
      <c r="M49" s="15">
        <v>0.013117021030240275</v>
      </c>
      <c r="N49" s="15">
        <v>0.05278831859020947</v>
      </c>
      <c r="O49" s="14">
        <v>0.04471511636508899</v>
      </c>
      <c r="P49" s="14">
        <v>0</v>
      </c>
      <c r="Q49" s="15">
        <v>0</v>
      </c>
      <c r="R49" s="15">
        <v>0</v>
      </c>
      <c r="S49" s="16">
        <v>0</v>
      </c>
    </row>
    <row r="50" spans="1:19" ht="12.75">
      <c r="A50" s="352"/>
      <c r="B50" s="289" t="s">
        <v>965</v>
      </c>
      <c r="C50" s="14">
        <v>0</v>
      </c>
      <c r="D50" s="361">
        <v>0.08333843763422817</v>
      </c>
      <c r="E50" s="15">
        <v>0.7251579217923653</v>
      </c>
      <c r="F50" s="15">
        <v>0</v>
      </c>
      <c r="G50" s="15">
        <v>0.40340742553474607</v>
      </c>
      <c r="H50" s="15">
        <v>0.6457747183792776</v>
      </c>
      <c r="I50" s="15">
        <v>0</v>
      </c>
      <c r="J50" s="14">
        <v>0.49760017094201203</v>
      </c>
      <c r="K50" s="14">
        <v>0.902238157291084</v>
      </c>
      <c r="L50" s="15">
        <v>0</v>
      </c>
      <c r="M50" s="15">
        <v>-3.164435453313566</v>
      </c>
      <c r="N50" s="15">
        <v>2.182790378324897</v>
      </c>
      <c r="O50" s="14">
        <v>0.5345858603795508</v>
      </c>
      <c r="P50" s="14">
        <v>0</v>
      </c>
      <c r="Q50" s="15">
        <v>0</v>
      </c>
      <c r="R50" s="15">
        <v>0</v>
      </c>
      <c r="S50" s="16">
        <v>0</v>
      </c>
    </row>
    <row r="51" spans="1:19" ht="12.75">
      <c r="A51" s="352"/>
      <c r="B51" s="5" t="s">
        <v>921</v>
      </c>
      <c r="C51" s="14">
        <v>0</v>
      </c>
      <c r="D51" s="15">
        <v>0.005605335408577251</v>
      </c>
      <c r="E51" s="15">
        <v>0.005335309584249053</v>
      </c>
      <c r="F51" s="15">
        <v>0</v>
      </c>
      <c r="G51" s="15">
        <v>0.0004379327192344817</v>
      </c>
      <c r="H51" s="15">
        <v>0.014135244624493611</v>
      </c>
      <c r="I51" s="15">
        <v>0</v>
      </c>
      <c r="J51" s="14">
        <v>0.005250674590191641</v>
      </c>
      <c r="K51" s="14">
        <v>0.0005464640135231628</v>
      </c>
      <c r="L51" s="15">
        <v>0</v>
      </c>
      <c r="M51" s="15">
        <v>0.0010598670535695912</v>
      </c>
      <c r="N51" s="15">
        <v>0.014007879032734554</v>
      </c>
      <c r="O51" s="14">
        <v>0.008678582498191962</v>
      </c>
      <c r="P51" s="14">
        <v>0</v>
      </c>
      <c r="Q51" s="15">
        <v>0</v>
      </c>
      <c r="R51" s="15">
        <v>0</v>
      </c>
      <c r="S51" s="16">
        <v>0</v>
      </c>
    </row>
    <row r="52" spans="1:19" ht="12.75">
      <c r="A52" s="352"/>
      <c r="B52" s="5" t="s">
        <v>923</v>
      </c>
      <c r="C52" s="14">
        <v>0</v>
      </c>
      <c r="D52" s="15">
        <v>0.00485186249773775</v>
      </c>
      <c r="E52" s="15">
        <v>0.0060654161853393946</v>
      </c>
      <c r="F52" s="15">
        <v>0</v>
      </c>
      <c r="G52" s="15">
        <v>0.002681675508528369</v>
      </c>
      <c r="H52" s="15">
        <v>0.021218715995647442</v>
      </c>
      <c r="I52" s="15">
        <v>0</v>
      </c>
      <c r="J52" s="14">
        <v>0.006635190133760758</v>
      </c>
      <c r="K52" s="14">
        <v>0.00020712796365594664</v>
      </c>
      <c r="L52" s="15">
        <v>0</v>
      </c>
      <c r="M52" s="15">
        <v>0.0015680877599833266</v>
      </c>
      <c r="N52" s="15">
        <v>0.012504985756108635</v>
      </c>
      <c r="O52" s="14">
        <v>0.007800825578126619</v>
      </c>
      <c r="P52" s="14">
        <v>0</v>
      </c>
      <c r="Q52" s="15">
        <v>0</v>
      </c>
      <c r="R52" s="15">
        <v>0</v>
      </c>
      <c r="S52" s="16">
        <v>0</v>
      </c>
    </row>
    <row r="53" spans="1:19" ht="12.75">
      <c r="A53" s="352"/>
      <c r="B53" s="289" t="s">
        <v>971</v>
      </c>
      <c r="C53" s="14">
        <v>0</v>
      </c>
      <c r="D53" s="361">
        <v>-0.07534729108395018</v>
      </c>
      <c r="E53" s="15">
        <v>0.07301066010903419</v>
      </c>
      <c r="F53" s="15">
        <v>0</v>
      </c>
      <c r="G53" s="15">
        <v>0.22437427892938872</v>
      </c>
      <c r="H53" s="15">
        <v>0.7083471371153831</v>
      </c>
      <c r="I53" s="15">
        <v>0</v>
      </c>
      <c r="J53" s="14">
        <v>0.1384515543569117</v>
      </c>
      <c r="K53" s="14">
        <v>-0.03393360498672162</v>
      </c>
      <c r="L53" s="15">
        <v>0</v>
      </c>
      <c r="M53" s="15">
        <v>0.05082207064137354</v>
      </c>
      <c r="N53" s="15">
        <v>-0.15028932766259184</v>
      </c>
      <c r="O53" s="14">
        <v>-0.08777569200653437</v>
      </c>
      <c r="P53" s="14">
        <v>0</v>
      </c>
      <c r="Q53" s="15">
        <v>0</v>
      </c>
      <c r="R53" s="15">
        <v>0</v>
      </c>
      <c r="S53" s="16">
        <v>0</v>
      </c>
    </row>
    <row r="54" spans="1:19" ht="12.75">
      <c r="A54" s="59"/>
      <c r="B54" s="5" t="s">
        <v>925</v>
      </c>
      <c r="C54" s="14">
        <v>0</v>
      </c>
      <c r="D54" s="15">
        <v>0</v>
      </c>
      <c r="E54" s="15">
        <v>0.012622734835965495</v>
      </c>
      <c r="F54" s="15">
        <v>0</v>
      </c>
      <c r="G54" s="15">
        <v>2.681220730007031E-05</v>
      </c>
      <c r="H54" s="15">
        <v>0</v>
      </c>
      <c r="I54" s="15">
        <v>0</v>
      </c>
      <c r="J54" s="14">
        <v>0.00567606022746333</v>
      </c>
      <c r="K54" s="14">
        <v>0</v>
      </c>
      <c r="L54" s="15">
        <v>0</v>
      </c>
      <c r="M54" s="15">
        <v>0.00851666632366762</v>
      </c>
      <c r="N54" s="15">
        <v>0.02444991288989954</v>
      </c>
      <c r="O54" s="14">
        <v>0.016866174855048904</v>
      </c>
      <c r="P54" s="14">
        <v>0</v>
      </c>
      <c r="Q54" s="15">
        <v>0</v>
      </c>
      <c r="R54" s="15">
        <v>0</v>
      </c>
      <c r="S54" s="16">
        <v>0</v>
      </c>
    </row>
    <row r="55" spans="1:19" ht="12.75">
      <c r="A55" s="59"/>
      <c r="B55" s="5" t="s">
        <v>927</v>
      </c>
      <c r="C55" s="14">
        <v>0</v>
      </c>
      <c r="D55" s="297">
        <v>1.5968828846092428E-05</v>
      </c>
      <c r="E55" s="15">
        <v>0.01417110595848535</v>
      </c>
      <c r="F55" s="15">
        <v>0</v>
      </c>
      <c r="G55" s="15">
        <v>0.0004105496706867535</v>
      </c>
      <c r="H55" s="15">
        <v>0</v>
      </c>
      <c r="I55" s="15">
        <v>0</v>
      </c>
      <c r="J55" s="14">
        <v>0.00645239910121525</v>
      </c>
      <c r="K55" s="14">
        <v>0</v>
      </c>
      <c r="L55" s="15">
        <v>0</v>
      </c>
      <c r="M55" s="15">
        <v>0.0017235732551715468</v>
      </c>
      <c r="N55" s="15">
        <v>0.01885522310174726</v>
      </c>
      <c r="O55" s="14">
        <v>0.011541264111023982</v>
      </c>
      <c r="P55" s="14">
        <v>0</v>
      </c>
      <c r="Q55" s="15">
        <v>0</v>
      </c>
      <c r="R55" s="15">
        <v>0</v>
      </c>
      <c r="S55" s="16">
        <v>0</v>
      </c>
    </row>
    <row r="56" spans="1:19" ht="12.75">
      <c r="A56" s="59"/>
      <c r="B56" s="289" t="s">
        <v>973</v>
      </c>
      <c r="C56" s="14">
        <v>0</v>
      </c>
      <c r="D56" s="361">
        <v>0</v>
      </c>
      <c r="E56" s="15">
        <v>0.15483711225198551</v>
      </c>
      <c r="F56" s="15">
        <v>0</v>
      </c>
      <c r="G56" s="15">
        <v>0.038373746338668316</v>
      </c>
      <c r="H56" s="15">
        <v>0</v>
      </c>
      <c r="I56" s="15">
        <v>0</v>
      </c>
      <c r="J56" s="14">
        <v>0.07763388737519195</v>
      </c>
      <c r="K56" s="14">
        <v>0</v>
      </c>
      <c r="L56" s="15">
        <v>0</v>
      </c>
      <c r="M56" s="15">
        <v>-0.6793093068496072</v>
      </c>
      <c r="N56" s="15">
        <v>-0.559468978815228</v>
      </c>
      <c r="O56" s="14">
        <v>-0.5324910744024922</v>
      </c>
      <c r="P56" s="14">
        <v>0</v>
      </c>
      <c r="Q56" s="15">
        <v>0</v>
      </c>
      <c r="R56" s="15">
        <v>0</v>
      </c>
      <c r="S56" s="16">
        <v>0</v>
      </c>
    </row>
    <row r="57" spans="1:19" ht="12.75">
      <c r="A57" s="59"/>
      <c r="B57" s="5" t="s">
        <v>929</v>
      </c>
      <c r="C57" s="14">
        <v>0</v>
      </c>
      <c r="D57" s="15">
        <v>0</v>
      </c>
      <c r="E57" s="15">
        <v>0</v>
      </c>
      <c r="F57" s="15">
        <v>0</v>
      </c>
      <c r="G57" s="15">
        <v>0</v>
      </c>
      <c r="H57" s="15">
        <v>0</v>
      </c>
      <c r="I57" s="15">
        <v>0</v>
      </c>
      <c r="J57" s="14">
        <v>0</v>
      </c>
      <c r="K57" s="14">
        <v>0</v>
      </c>
      <c r="L57" s="15">
        <v>0</v>
      </c>
      <c r="M57" s="15">
        <v>0</v>
      </c>
      <c r="N57" s="15">
        <v>0</v>
      </c>
      <c r="O57" s="14">
        <v>0</v>
      </c>
      <c r="P57" s="14">
        <v>0</v>
      </c>
      <c r="Q57" s="15">
        <v>0</v>
      </c>
      <c r="R57" s="15">
        <v>0</v>
      </c>
      <c r="S57" s="16">
        <v>0</v>
      </c>
    </row>
    <row r="58" spans="1:19" ht="12.75">
      <c r="A58" s="59"/>
      <c r="B58" s="5" t="s">
        <v>931</v>
      </c>
      <c r="C58" s="14">
        <v>0</v>
      </c>
      <c r="D58" s="15">
        <v>0</v>
      </c>
      <c r="E58" s="15">
        <v>0</v>
      </c>
      <c r="F58" s="15">
        <v>0</v>
      </c>
      <c r="G58" s="15">
        <v>0</v>
      </c>
      <c r="H58" s="15">
        <v>0</v>
      </c>
      <c r="I58" s="15">
        <v>0</v>
      </c>
      <c r="J58" s="14">
        <v>0</v>
      </c>
      <c r="K58" s="14">
        <v>0</v>
      </c>
      <c r="L58" s="15">
        <v>0</v>
      </c>
      <c r="M58" s="15">
        <v>0</v>
      </c>
      <c r="N58" s="15">
        <v>0</v>
      </c>
      <c r="O58" s="14">
        <v>0</v>
      </c>
      <c r="P58" s="14">
        <v>0</v>
      </c>
      <c r="Q58" s="15">
        <v>0</v>
      </c>
      <c r="R58" s="15">
        <v>0</v>
      </c>
      <c r="S58" s="16">
        <v>0</v>
      </c>
    </row>
    <row r="59" spans="1:19" ht="13.5" thickBot="1">
      <c r="A59" s="59"/>
      <c r="B59" s="289" t="s">
        <v>959</v>
      </c>
      <c r="C59" s="14">
        <v>0</v>
      </c>
      <c r="D59" s="361">
        <v>0</v>
      </c>
      <c r="E59" s="15">
        <v>0</v>
      </c>
      <c r="F59" s="15">
        <v>0</v>
      </c>
      <c r="G59" s="15">
        <v>0</v>
      </c>
      <c r="H59" s="15">
        <v>0</v>
      </c>
      <c r="I59" s="15">
        <v>0</v>
      </c>
      <c r="J59" s="14">
        <v>0</v>
      </c>
      <c r="K59" s="14">
        <v>0</v>
      </c>
      <c r="L59" s="15">
        <v>0</v>
      </c>
      <c r="M59" s="15">
        <v>0</v>
      </c>
      <c r="N59" s="15">
        <v>0</v>
      </c>
      <c r="O59" s="14">
        <v>0</v>
      </c>
      <c r="P59" s="14">
        <v>0</v>
      </c>
      <c r="Q59" s="15">
        <v>0</v>
      </c>
      <c r="R59" s="15">
        <v>0</v>
      </c>
      <c r="S59" s="16">
        <v>0</v>
      </c>
    </row>
    <row r="60" spans="1:19" ht="12.75">
      <c r="A60" s="59"/>
      <c r="B60" s="5" t="s">
        <v>915</v>
      </c>
      <c r="C60" s="14">
        <v>0</v>
      </c>
      <c r="D60" s="15">
        <v>0.8797612980650676</v>
      </c>
      <c r="E60" s="15">
        <v>0.7315575862773126</v>
      </c>
      <c r="F60" s="15">
        <v>0</v>
      </c>
      <c r="G60" s="15">
        <v>0.7780592462389495</v>
      </c>
      <c r="H60" s="291">
        <v>0.7179540277490164</v>
      </c>
      <c r="I60" s="15">
        <v>0</v>
      </c>
      <c r="J60" s="14">
        <v>0.7918495528089475</v>
      </c>
      <c r="K60" s="14">
        <v>0</v>
      </c>
      <c r="L60" s="15">
        <v>0</v>
      </c>
      <c r="M60" s="15">
        <v>0</v>
      </c>
      <c r="N60" s="15">
        <v>0</v>
      </c>
      <c r="O60" s="14">
        <v>0</v>
      </c>
      <c r="P60" s="14">
        <v>0</v>
      </c>
      <c r="Q60" s="15">
        <v>0</v>
      </c>
      <c r="R60" s="15">
        <v>0</v>
      </c>
      <c r="S60" s="16">
        <v>0</v>
      </c>
    </row>
    <row r="61" spans="1:19" ht="12.75">
      <c r="A61" s="59"/>
      <c r="B61" s="5" t="s">
        <v>933</v>
      </c>
      <c r="C61" s="14">
        <v>0</v>
      </c>
      <c r="D61" s="15">
        <v>0.8680864245334159</v>
      </c>
      <c r="E61" s="15">
        <v>0.7144355903432666</v>
      </c>
      <c r="F61" s="15">
        <v>0</v>
      </c>
      <c r="G61" s="15">
        <v>0.7838114754098361</v>
      </c>
      <c r="H61" s="292">
        <v>0.5623301630434783</v>
      </c>
      <c r="I61" s="15">
        <v>0</v>
      </c>
      <c r="J61" s="14">
        <v>0.7738663450543574</v>
      </c>
      <c r="K61" s="14">
        <v>0</v>
      </c>
      <c r="L61" s="15">
        <v>0</v>
      </c>
      <c r="M61" s="15">
        <v>0</v>
      </c>
      <c r="N61" s="15">
        <v>0</v>
      </c>
      <c r="O61" s="14">
        <v>0</v>
      </c>
      <c r="P61" s="14">
        <v>0</v>
      </c>
      <c r="Q61" s="15">
        <v>0</v>
      </c>
      <c r="R61" s="15">
        <v>0</v>
      </c>
      <c r="S61" s="16">
        <v>0</v>
      </c>
    </row>
    <row r="62" spans="1:19" ht="13.5" thickBot="1">
      <c r="A62" s="59"/>
      <c r="B62" s="289" t="s">
        <v>957</v>
      </c>
      <c r="C62" s="14">
        <v>0</v>
      </c>
      <c r="D62" s="361">
        <v>-1.1674873531651753</v>
      </c>
      <c r="E62" s="15">
        <v>-1.7121995934045953</v>
      </c>
      <c r="F62" s="15">
        <v>0</v>
      </c>
      <c r="G62" s="15">
        <v>0.575222917088658</v>
      </c>
      <c r="H62" s="295">
        <v>-15.562386470553813</v>
      </c>
      <c r="I62" s="15">
        <v>0</v>
      </c>
      <c r="J62" s="14">
        <v>-1.798320775459017</v>
      </c>
      <c r="K62" s="14">
        <v>0</v>
      </c>
      <c r="L62" s="15">
        <v>0</v>
      </c>
      <c r="M62" s="15">
        <v>0</v>
      </c>
      <c r="N62" s="15">
        <v>0</v>
      </c>
      <c r="O62" s="14">
        <v>0</v>
      </c>
      <c r="P62" s="14">
        <v>0</v>
      </c>
      <c r="Q62" s="15">
        <v>0</v>
      </c>
      <c r="R62" s="15">
        <v>0</v>
      </c>
      <c r="S62" s="16">
        <v>0</v>
      </c>
    </row>
    <row r="63" spans="1:19" ht="12.75">
      <c r="A63" s="59"/>
      <c r="B63" s="5" t="s">
        <v>935</v>
      </c>
      <c r="C63" s="14">
        <v>0</v>
      </c>
      <c r="D63" s="15">
        <v>0.024823686070788605</v>
      </c>
      <c r="E63" s="15">
        <v>0.17379262813967736</v>
      </c>
      <c r="F63" s="15">
        <v>0</v>
      </c>
      <c r="G63" s="15">
        <v>0.17603267331851316</v>
      </c>
      <c r="H63" s="15">
        <v>0.018637399047421826</v>
      </c>
      <c r="I63" s="15">
        <v>0</v>
      </c>
      <c r="J63" s="14">
        <v>0.11399851854572612</v>
      </c>
      <c r="K63" s="14">
        <v>0</v>
      </c>
      <c r="L63" s="15">
        <v>0</v>
      </c>
      <c r="M63" s="15">
        <v>0</v>
      </c>
      <c r="N63" s="15">
        <v>0</v>
      </c>
      <c r="O63" s="14">
        <v>0</v>
      </c>
      <c r="P63" s="14">
        <v>0</v>
      </c>
      <c r="Q63" s="15">
        <v>0</v>
      </c>
      <c r="R63" s="15">
        <v>0</v>
      </c>
      <c r="S63" s="16">
        <v>0</v>
      </c>
    </row>
    <row r="64" spans="1:19" ht="12.75">
      <c r="A64" s="59"/>
      <c r="B64" s="5" t="s">
        <v>937</v>
      </c>
      <c r="C64" s="14">
        <v>0</v>
      </c>
      <c r="D64" s="15">
        <v>0.04575234260048014</v>
      </c>
      <c r="E64" s="15">
        <v>0.17122076574877404</v>
      </c>
      <c r="F64" s="15">
        <v>0</v>
      </c>
      <c r="G64" s="15">
        <v>0.16164129586260734</v>
      </c>
      <c r="H64" s="15">
        <v>0.036684782608695655</v>
      </c>
      <c r="I64" s="15">
        <v>0</v>
      </c>
      <c r="J64" s="14">
        <v>0.11951234775089457</v>
      </c>
      <c r="K64" s="14">
        <v>0</v>
      </c>
      <c r="L64" s="15">
        <v>0</v>
      </c>
      <c r="M64" s="15">
        <v>0</v>
      </c>
      <c r="N64" s="15">
        <v>0</v>
      </c>
      <c r="O64" s="14">
        <v>0</v>
      </c>
      <c r="P64" s="14">
        <v>0</v>
      </c>
      <c r="Q64" s="15">
        <v>0</v>
      </c>
      <c r="R64" s="15">
        <v>0</v>
      </c>
      <c r="S64" s="16">
        <v>0</v>
      </c>
    </row>
    <row r="65" spans="1:19" ht="13.5" thickBot="1">
      <c r="A65" s="59"/>
      <c r="B65" s="289" t="s">
        <v>961</v>
      </c>
      <c r="C65" s="14">
        <v>0</v>
      </c>
      <c r="D65" s="361">
        <v>2.0928656529691536</v>
      </c>
      <c r="E65" s="15">
        <v>-0.2571862390903318</v>
      </c>
      <c r="F65" s="15">
        <v>0</v>
      </c>
      <c r="G65" s="15">
        <v>-1.4391377455905823</v>
      </c>
      <c r="H65" s="15">
        <v>1.8047383561273829</v>
      </c>
      <c r="I65" s="15">
        <v>0</v>
      </c>
      <c r="J65" s="14">
        <v>0.551382920516845</v>
      </c>
      <c r="K65" s="14">
        <v>0</v>
      </c>
      <c r="L65" s="15">
        <v>0</v>
      </c>
      <c r="M65" s="15">
        <v>0</v>
      </c>
      <c r="N65" s="15">
        <v>0</v>
      </c>
      <c r="O65" s="14">
        <v>0</v>
      </c>
      <c r="P65" s="14">
        <v>0</v>
      </c>
      <c r="Q65" s="15">
        <v>0</v>
      </c>
      <c r="R65" s="15">
        <v>0</v>
      </c>
      <c r="S65" s="16">
        <v>0</v>
      </c>
    </row>
    <row r="66" spans="1:19" ht="12.75">
      <c r="A66" s="59"/>
      <c r="B66" s="5" t="s">
        <v>939</v>
      </c>
      <c r="C66" s="14">
        <v>0</v>
      </c>
      <c r="D66" s="15">
        <v>0.017064229232767264</v>
      </c>
      <c r="E66" s="15">
        <v>0.07227639371043496</v>
      </c>
      <c r="F66" s="15">
        <v>0</v>
      </c>
      <c r="G66" s="15">
        <v>0.03381068086646332</v>
      </c>
      <c r="H66" s="291">
        <v>0.2634085732035618</v>
      </c>
      <c r="I66" s="15">
        <v>0</v>
      </c>
      <c r="J66" s="14">
        <v>0.052812008350015</v>
      </c>
      <c r="K66" s="14">
        <v>0</v>
      </c>
      <c r="L66" s="15">
        <v>0</v>
      </c>
      <c r="M66" s="15">
        <v>0</v>
      </c>
      <c r="N66" s="15">
        <v>0</v>
      </c>
      <c r="O66" s="14">
        <v>0</v>
      </c>
      <c r="P66" s="14">
        <v>0</v>
      </c>
      <c r="Q66" s="15">
        <v>0</v>
      </c>
      <c r="R66" s="15">
        <v>0</v>
      </c>
      <c r="S66" s="16">
        <v>0</v>
      </c>
    </row>
    <row r="67" spans="1:19" ht="12.75">
      <c r="A67" s="59"/>
      <c r="B67" s="5" t="s">
        <v>941</v>
      </c>
      <c r="C67" s="14">
        <v>0</v>
      </c>
      <c r="D67" s="15">
        <v>0.027042515294664293</v>
      </c>
      <c r="E67" s="15">
        <v>0.07780082987551867</v>
      </c>
      <c r="F67" s="15">
        <v>0</v>
      </c>
      <c r="G67" s="15">
        <v>0.04415495706479313</v>
      </c>
      <c r="H67" s="292">
        <v>0.4009850543478261</v>
      </c>
      <c r="I67" s="15">
        <v>0</v>
      </c>
      <c r="J67" s="14">
        <v>0.06605947172902646</v>
      </c>
      <c r="K67" s="14">
        <v>0</v>
      </c>
      <c r="L67" s="15">
        <v>0</v>
      </c>
      <c r="M67" s="15">
        <v>0</v>
      </c>
      <c r="N67" s="15">
        <v>0</v>
      </c>
      <c r="O67" s="14">
        <v>0</v>
      </c>
      <c r="P67" s="14">
        <v>0</v>
      </c>
      <c r="Q67" s="15">
        <v>0</v>
      </c>
      <c r="R67" s="15">
        <v>0</v>
      </c>
      <c r="S67" s="16">
        <v>0</v>
      </c>
    </row>
    <row r="68" spans="1:19" ht="13.5" thickBot="1">
      <c r="A68" s="59"/>
      <c r="B68" s="289" t="s">
        <v>967</v>
      </c>
      <c r="C68" s="14">
        <v>0</v>
      </c>
      <c r="D68" s="361">
        <v>0.9978286061897028</v>
      </c>
      <c r="E68" s="15">
        <v>0.5524436165083718</v>
      </c>
      <c r="F68" s="15">
        <v>0</v>
      </c>
      <c r="G68" s="15">
        <v>1.034427619832981</v>
      </c>
      <c r="H68" s="295">
        <v>13.757648114426429</v>
      </c>
      <c r="I68" s="15">
        <v>0</v>
      </c>
      <c r="J68" s="14">
        <v>1.3247463379011462</v>
      </c>
      <c r="K68" s="14">
        <v>0</v>
      </c>
      <c r="L68" s="15">
        <v>0</v>
      </c>
      <c r="M68" s="15">
        <v>0</v>
      </c>
      <c r="N68" s="15">
        <v>0</v>
      </c>
      <c r="O68" s="14">
        <v>0</v>
      </c>
      <c r="P68" s="14">
        <v>0</v>
      </c>
      <c r="Q68" s="15">
        <v>0</v>
      </c>
      <c r="R68" s="15">
        <v>0</v>
      </c>
      <c r="S68" s="16">
        <v>0</v>
      </c>
    </row>
    <row r="69" spans="1:19" ht="12.75">
      <c r="A69" s="59"/>
      <c r="B69" s="5" t="s">
        <v>943</v>
      </c>
      <c r="C69" s="14">
        <v>0</v>
      </c>
      <c r="D69" s="15">
        <v>0.07835078663137648</v>
      </c>
      <c r="E69" s="15">
        <v>0.019182662854809067</v>
      </c>
      <c r="F69" s="15">
        <v>0</v>
      </c>
      <c r="G69" s="15">
        <v>0.012097399576074032</v>
      </c>
      <c r="H69" s="15">
        <v>0</v>
      </c>
      <c r="I69" s="15">
        <v>0</v>
      </c>
      <c r="J69" s="14">
        <v>0.039809492326434166</v>
      </c>
      <c r="K69" s="14">
        <v>0</v>
      </c>
      <c r="L69" s="15">
        <v>0</v>
      </c>
      <c r="M69" s="15">
        <v>0</v>
      </c>
      <c r="N69" s="15">
        <v>0</v>
      </c>
      <c r="O69" s="14">
        <v>0</v>
      </c>
      <c r="P69" s="14">
        <v>0</v>
      </c>
      <c r="Q69" s="15">
        <v>0</v>
      </c>
      <c r="R69" s="15">
        <v>0</v>
      </c>
      <c r="S69" s="16">
        <v>0</v>
      </c>
    </row>
    <row r="70" spans="1:19" ht="12.75">
      <c r="A70" s="59"/>
      <c r="B70" s="5" t="s">
        <v>945</v>
      </c>
      <c r="C70" s="14">
        <v>0</v>
      </c>
      <c r="D70" s="15">
        <v>0.04903585533958027</v>
      </c>
      <c r="E70" s="15">
        <v>0.02150132025650698</v>
      </c>
      <c r="F70" s="15">
        <v>0</v>
      </c>
      <c r="G70" s="15">
        <v>0.008050351288056206</v>
      </c>
      <c r="H70" s="15">
        <v>0</v>
      </c>
      <c r="I70" s="15">
        <v>0</v>
      </c>
      <c r="J70" s="14">
        <v>0.029326263930686478</v>
      </c>
      <c r="K70" s="14">
        <v>0</v>
      </c>
      <c r="L70" s="15">
        <v>0</v>
      </c>
      <c r="M70" s="15">
        <v>0</v>
      </c>
      <c r="N70" s="15">
        <v>0</v>
      </c>
      <c r="O70" s="14">
        <v>0</v>
      </c>
      <c r="P70" s="14">
        <v>0</v>
      </c>
      <c r="Q70" s="15">
        <v>0</v>
      </c>
      <c r="R70" s="15">
        <v>0</v>
      </c>
      <c r="S70" s="16">
        <v>0</v>
      </c>
    </row>
    <row r="71" spans="1:19" ht="12.75">
      <c r="A71" s="59"/>
      <c r="B71" s="289" t="s">
        <v>969</v>
      </c>
      <c r="C71" s="14">
        <v>0</v>
      </c>
      <c r="D71" s="361">
        <v>-2.9314931291796213</v>
      </c>
      <c r="E71" s="15">
        <v>0.23186574016979128</v>
      </c>
      <c r="F71" s="15">
        <v>0</v>
      </c>
      <c r="G71" s="15">
        <v>-0.4047048288017826</v>
      </c>
      <c r="H71" s="15">
        <v>0</v>
      </c>
      <c r="I71" s="15">
        <v>0</v>
      </c>
      <c r="J71" s="14">
        <v>-1.0483228395747688</v>
      </c>
      <c r="K71" s="14">
        <v>0</v>
      </c>
      <c r="L71" s="15">
        <v>0</v>
      </c>
      <c r="M71" s="15">
        <v>0</v>
      </c>
      <c r="N71" s="15">
        <v>0</v>
      </c>
      <c r="O71" s="14">
        <v>0</v>
      </c>
      <c r="P71" s="14">
        <v>0</v>
      </c>
      <c r="Q71" s="15">
        <v>0</v>
      </c>
      <c r="R71" s="15">
        <v>0</v>
      </c>
      <c r="S71" s="16">
        <v>0</v>
      </c>
    </row>
    <row r="72" spans="1:19" ht="12.75">
      <c r="A72" s="59"/>
      <c r="B72" s="5" t="s">
        <v>947</v>
      </c>
      <c r="C72" s="14">
        <v>0</v>
      </c>
      <c r="D72" s="15">
        <v>0</v>
      </c>
      <c r="E72" s="15">
        <v>0.003190729017765979</v>
      </c>
      <c r="F72" s="15">
        <v>0</v>
      </c>
      <c r="G72" s="15">
        <v>0</v>
      </c>
      <c r="H72" s="15">
        <v>0</v>
      </c>
      <c r="I72" s="15">
        <v>0</v>
      </c>
      <c r="J72" s="14">
        <v>0.0015304279688772167</v>
      </c>
      <c r="K72" s="14">
        <v>0</v>
      </c>
      <c r="L72" s="15">
        <v>0</v>
      </c>
      <c r="M72" s="15">
        <v>0</v>
      </c>
      <c r="N72" s="15">
        <v>0</v>
      </c>
      <c r="O72" s="14">
        <v>0</v>
      </c>
      <c r="P72" s="14">
        <v>0</v>
      </c>
      <c r="Q72" s="15">
        <v>0</v>
      </c>
      <c r="R72" s="15">
        <v>0</v>
      </c>
      <c r="S72" s="16">
        <v>0</v>
      </c>
    </row>
    <row r="73" spans="1:19" ht="12.75">
      <c r="A73" s="59"/>
      <c r="B73" s="5" t="s">
        <v>949</v>
      </c>
      <c r="C73" s="14">
        <v>0</v>
      </c>
      <c r="D73" s="15">
        <v>0.010082862231859367</v>
      </c>
      <c r="E73" s="15">
        <v>0.01504149377593361</v>
      </c>
      <c r="F73" s="15">
        <v>0</v>
      </c>
      <c r="G73" s="15">
        <v>0.00234192037470726</v>
      </c>
      <c r="H73" s="15">
        <v>0</v>
      </c>
      <c r="I73" s="15">
        <v>0</v>
      </c>
      <c r="J73" s="14">
        <v>0.011235571535035072</v>
      </c>
      <c r="K73" s="14">
        <v>0</v>
      </c>
      <c r="L73" s="15">
        <v>0</v>
      </c>
      <c r="M73" s="15">
        <v>0</v>
      </c>
      <c r="N73" s="15">
        <v>0</v>
      </c>
      <c r="O73" s="14">
        <v>0</v>
      </c>
      <c r="P73" s="14">
        <v>0</v>
      </c>
      <c r="Q73" s="15">
        <v>0</v>
      </c>
      <c r="R73" s="15">
        <v>0</v>
      </c>
      <c r="S73" s="16">
        <v>0</v>
      </c>
    </row>
    <row r="74" spans="1:19" ht="12.75">
      <c r="A74" s="59"/>
      <c r="B74" s="289" t="s">
        <v>975</v>
      </c>
      <c r="C74" s="14">
        <v>0</v>
      </c>
      <c r="D74" s="361">
        <v>0</v>
      </c>
      <c r="E74" s="15">
        <v>1.1850764758167631</v>
      </c>
      <c r="F74" s="15">
        <v>0</v>
      </c>
      <c r="G74" s="15">
        <v>0</v>
      </c>
      <c r="H74" s="15">
        <v>0</v>
      </c>
      <c r="I74" s="15">
        <v>0</v>
      </c>
      <c r="J74" s="14">
        <v>0.9705143566157854</v>
      </c>
      <c r="K74" s="14">
        <v>0</v>
      </c>
      <c r="L74" s="15">
        <v>0</v>
      </c>
      <c r="M74" s="15">
        <v>0</v>
      </c>
      <c r="N74" s="15">
        <v>0</v>
      </c>
      <c r="O74" s="14">
        <v>0</v>
      </c>
      <c r="P74" s="14">
        <v>0</v>
      </c>
      <c r="Q74" s="15">
        <v>0</v>
      </c>
      <c r="R74" s="15">
        <v>0</v>
      </c>
      <c r="S74" s="16">
        <v>0</v>
      </c>
    </row>
    <row r="75" spans="1:19" ht="12.75">
      <c r="A75" s="59"/>
      <c r="B75" s="5" t="s">
        <v>951</v>
      </c>
      <c r="C75" s="14">
        <v>0</v>
      </c>
      <c r="D75" s="15">
        <v>0</v>
      </c>
      <c r="E75" s="15">
        <v>0</v>
      </c>
      <c r="F75" s="15">
        <v>0</v>
      </c>
      <c r="G75" s="15">
        <v>0</v>
      </c>
      <c r="H75" s="15">
        <v>0</v>
      </c>
      <c r="I75" s="15">
        <v>0</v>
      </c>
      <c r="J75" s="14">
        <v>0</v>
      </c>
      <c r="K75" s="14">
        <v>0</v>
      </c>
      <c r="L75" s="15">
        <v>0</v>
      </c>
      <c r="M75" s="15">
        <v>0</v>
      </c>
      <c r="N75" s="15">
        <v>0</v>
      </c>
      <c r="O75" s="14">
        <v>0</v>
      </c>
      <c r="P75" s="14">
        <v>0</v>
      </c>
      <c r="Q75" s="15">
        <v>0</v>
      </c>
      <c r="R75" s="15">
        <v>0</v>
      </c>
      <c r="S75" s="16">
        <v>0</v>
      </c>
    </row>
    <row r="76" spans="1:19" ht="12.75">
      <c r="A76" s="59"/>
      <c r="B76" s="5" t="s">
        <v>953</v>
      </c>
      <c r="C76" s="14">
        <v>0</v>
      </c>
      <c r="D76" s="15">
        <v>0</v>
      </c>
      <c r="E76" s="15">
        <v>0</v>
      </c>
      <c r="F76" s="15">
        <v>0</v>
      </c>
      <c r="G76" s="15">
        <v>0</v>
      </c>
      <c r="H76" s="15">
        <v>0</v>
      </c>
      <c r="I76" s="15">
        <v>0</v>
      </c>
      <c r="J76" s="14">
        <v>0</v>
      </c>
      <c r="K76" s="14">
        <v>0</v>
      </c>
      <c r="L76" s="15">
        <v>0</v>
      </c>
      <c r="M76" s="15">
        <v>0</v>
      </c>
      <c r="N76" s="15">
        <v>0</v>
      </c>
      <c r="O76" s="14">
        <v>0</v>
      </c>
      <c r="P76" s="14">
        <v>0</v>
      </c>
      <c r="Q76" s="15">
        <v>0</v>
      </c>
      <c r="R76" s="15">
        <v>0</v>
      </c>
      <c r="S76" s="16">
        <v>0</v>
      </c>
    </row>
    <row r="77" spans="1:19" s="301" customFormat="1" ht="12.75">
      <c r="A77" s="345"/>
      <c r="B77" s="290" t="s">
        <v>977</v>
      </c>
      <c r="C77" s="353">
        <v>0</v>
      </c>
      <c r="D77" s="365">
        <v>0</v>
      </c>
      <c r="E77" s="354">
        <v>0</v>
      </c>
      <c r="F77" s="354">
        <v>0</v>
      </c>
      <c r="G77" s="354">
        <v>0</v>
      </c>
      <c r="H77" s="354">
        <v>0</v>
      </c>
      <c r="I77" s="354">
        <v>0</v>
      </c>
      <c r="J77" s="353">
        <v>0</v>
      </c>
      <c r="K77" s="353">
        <v>0</v>
      </c>
      <c r="L77" s="354">
        <v>0</v>
      </c>
      <c r="M77" s="354">
        <v>0</v>
      </c>
      <c r="N77" s="354">
        <v>0</v>
      </c>
      <c r="O77" s="353">
        <v>0</v>
      </c>
      <c r="P77" s="353">
        <v>0</v>
      </c>
      <c r="Q77" s="354">
        <v>0</v>
      </c>
      <c r="R77" s="354">
        <v>0</v>
      </c>
      <c r="S77" s="355">
        <v>0</v>
      </c>
    </row>
    <row r="78" spans="1:19" s="56" customFormat="1" ht="12.75">
      <c r="A78" s="58" t="s">
        <v>350</v>
      </c>
      <c r="B78" s="3" t="s">
        <v>907</v>
      </c>
      <c r="C78" s="11">
        <v>0</v>
      </c>
      <c r="D78" s="12">
        <v>0</v>
      </c>
      <c r="E78" s="12">
        <v>0</v>
      </c>
      <c r="F78" s="12">
        <v>0</v>
      </c>
      <c r="G78" s="12">
        <v>0</v>
      </c>
      <c r="H78" s="12">
        <v>0</v>
      </c>
      <c r="I78" s="12">
        <v>0</v>
      </c>
      <c r="J78" s="11">
        <v>0</v>
      </c>
      <c r="K78" s="11">
        <v>0</v>
      </c>
      <c r="L78" s="12">
        <v>0</v>
      </c>
      <c r="M78" s="12">
        <v>0</v>
      </c>
      <c r="N78" s="12">
        <v>0</v>
      </c>
      <c r="O78" s="11">
        <v>0</v>
      </c>
      <c r="P78" s="11">
        <v>0</v>
      </c>
      <c r="Q78" s="12">
        <v>0</v>
      </c>
      <c r="R78" s="12">
        <v>0</v>
      </c>
      <c r="S78" s="13">
        <v>0</v>
      </c>
    </row>
    <row r="79" spans="1:19" ht="12.75">
      <c r="A79" s="59"/>
      <c r="B79" s="5" t="s">
        <v>909</v>
      </c>
      <c r="C79" s="14">
        <v>0.9797513764080497</v>
      </c>
      <c r="D79" s="15">
        <v>0</v>
      </c>
      <c r="E79" s="15">
        <v>0</v>
      </c>
      <c r="F79" s="15">
        <v>0</v>
      </c>
      <c r="G79" s="15">
        <v>0</v>
      </c>
      <c r="H79" s="15">
        <v>0</v>
      </c>
      <c r="I79" s="15">
        <v>0</v>
      </c>
      <c r="J79" s="14">
        <v>0.9797513764080497</v>
      </c>
      <c r="K79" s="14">
        <v>0</v>
      </c>
      <c r="L79" s="15">
        <v>0</v>
      </c>
      <c r="M79" s="15">
        <v>0.9112451677400255</v>
      </c>
      <c r="N79" s="15">
        <v>0.8823552334190632</v>
      </c>
      <c r="O79" s="14">
        <v>0.9060314424054038</v>
      </c>
      <c r="P79" s="14">
        <v>0</v>
      </c>
      <c r="Q79" s="15">
        <v>0</v>
      </c>
      <c r="R79" s="15">
        <v>0</v>
      </c>
      <c r="S79" s="16">
        <v>0</v>
      </c>
    </row>
    <row r="80" spans="1:19" ht="12.75">
      <c r="A80" s="59"/>
      <c r="B80" s="5" t="s">
        <v>955</v>
      </c>
      <c r="C80" s="14">
        <v>0</v>
      </c>
      <c r="D80" s="15">
        <v>0</v>
      </c>
      <c r="E80" s="15">
        <v>0</v>
      </c>
      <c r="F80" s="15">
        <v>0</v>
      </c>
      <c r="G80" s="15">
        <v>0</v>
      </c>
      <c r="H80" s="15">
        <v>0</v>
      </c>
      <c r="I80" s="15">
        <v>0</v>
      </c>
      <c r="J80" s="14">
        <v>0</v>
      </c>
      <c r="K80" s="14">
        <v>0</v>
      </c>
      <c r="L80" s="15">
        <v>0</v>
      </c>
      <c r="M80" s="15">
        <v>0</v>
      </c>
      <c r="N80" s="15">
        <v>0</v>
      </c>
      <c r="O80" s="14">
        <v>0</v>
      </c>
      <c r="P80" s="14">
        <v>0</v>
      </c>
      <c r="Q80" s="15">
        <v>0</v>
      </c>
      <c r="R80" s="15">
        <v>0</v>
      </c>
      <c r="S80" s="16">
        <v>0</v>
      </c>
    </row>
    <row r="81" spans="1:19" ht="12.75">
      <c r="A81" s="59"/>
      <c r="B81" s="5" t="s">
        <v>911</v>
      </c>
      <c r="C81" s="14">
        <v>0</v>
      </c>
      <c r="D81" s="15">
        <v>0</v>
      </c>
      <c r="E81" s="15">
        <v>0</v>
      </c>
      <c r="F81" s="15">
        <v>0</v>
      </c>
      <c r="G81" s="15">
        <v>0</v>
      </c>
      <c r="H81" s="15">
        <v>0</v>
      </c>
      <c r="I81" s="15">
        <v>0</v>
      </c>
      <c r="J81" s="14">
        <v>0</v>
      </c>
      <c r="K81" s="14">
        <v>0</v>
      </c>
      <c r="L81" s="15">
        <v>0</v>
      </c>
      <c r="M81" s="15">
        <v>0</v>
      </c>
      <c r="N81" s="15">
        <v>0</v>
      </c>
      <c r="O81" s="14">
        <v>0</v>
      </c>
      <c r="P81" s="14">
        <v>0</v>
      </c>
      <c r="Q81" s="15">
        <v>0</v>
      </c>
      <c r="R81" s="15">
        <v>0</v>
      </c>
      <c r="S81" s="16">
        <v>0</v>
      </c>
    </row>
    <row r="82" spans="1:19" ht="12.75">
      <c r="A82" s="59"/>
      <c r="B82" s="5" t="s">
        <v>913</v>
      </c>
      <c r="C82" s="14">
        <v>0</v>
      </c>
      <c r="D82" s="15">
        <v>0</v>
      </c>
      <c r="E82" s="15">
        <v>0</v>
      </c>
      <c r="F82" s="15">
        <v>0</v>
      </c>
      <c r="G82" s="15">
        <v>0</v>
      </c>
      <c r="H82" s="15">
        <v>0</v>
      </c>
      <c r="I82" s="15">
        <v>0</v>
      </c>
      <c r="J82" s="14">
        <v>0</v>
      </c>
      <c r="K82" s="14">
        <v>0</v>
      </c>
      <c r="L82" s="15">
        <v>0</v>
      </c>
      <c r="M82" s="15">
        <v>0</v>
      </c>
      <c r="N82" s="15">
        <v>0</v>
      </c>
      <c r="O82" s="14">
        <v>0</v>
      </c>
      <c r="P82" s="14">
        <v>0</v>
      </c>
      <c r="Q82" s="15">
        <v>0</v>
      </c>
      <c r="R82" s="15">
        <v>0</v>
      </c>
      <c r="S82" s="16">
        <v>0</v>
      </c>
    </row>
    <row r="83" spans="1:19" ht="12.75">
      <c r="A83" s="59"/>
      <c r="B83" s="5" t="s">
        <v>963</v>
      </c>
      <c r="C83" s="14">
        <v>0</v>
      </c>
      <c r="D83" s="15">
        <v>0</v>
      </c>
      <c r="E83" s="15">
        <v>0</v>
      </c>
      <c r="F83" s="15">
        <v>0</v>
      </c>
      <c r="G83" s="15">
        <v>0</v>
      </c>
      <c r="H83" s="15">
        <v>0</v>
      </c>
      <c r="I83" s="15">
        <v>0</v>
      </c>
      <c r="J83" s="14">
        <v>0</v>
      </c>
      <c r="K83" s="14">
        <v>0</v>
      </c>
      <c r="L83" s="15">
        <v>0</v>
      </c>
      <c r="M83" s="15">
        <v>0</v>
      </c>
      <c r="N83" s="15">
        <v>0</v>
      </c>
      <c r="O83" s="14">
        <v>0</v>
      </c>
      <c r="P83" s="14">
        <v>0</v>
      </c>
      <c r="Q83" s="15">
        <v>0</v>
      </c>
      <c r="R83" s="15">
        <v>0</v>
      </c>
      <c r="S83" s="16">
        <v>0</v>
      </c>
    </row>
    <row r="84" spans="1:19" ht="12.75">
      <c r="A84" s="59"/>
      <c r="B84" s="5" t="s">
        <v>917</v>
      </c>
      <c r="C84" s="14">
        <v>0</v>
      </c>
      <c r="D84" s="15">
        <v>0</v>
      </c>
      <c r="E84" s="15">
        <v>0</v>
      </c>
      <c r="F84" s="15">
        <v>0</v>
      </c>
      <c r="G84" s="15">
        <v>0</v>
      </c>
      <c r="H84" s="15">
        <v>0</v>
      </c>
      <c r="I84" s="15">
        <v>0</v>
      </c>
      <c r="J84" s="14">
        <v>0</v>
      </c>
      <c r="K84" s="14">
        <v>0</v>
      </c>
      <c r="L84" s="15">
        <v>0</v>
      </c>
      <c r="M84" s="15">
        <v>0</v>
      </c>
      <c r="N84" s="15">
        <v>0</v>
      </c>
      <c r="O84" s="14">
        <v>0</v>
      </c>
      <c r="P84" s="14">
        <v>0</v>
      </c>
      <c r="Q84" s="15">
        <v>0</v>
      </c>
      <c r="R84" s="15">
        <v>0</v>
      </c>
      <c r="S84" s="16">
        <v>0</v>
      </c>
    </row>
    <row r="85" spans="1:19" ht="12.75">
      <c r="A85" s="59"/>
      <c r="B85" s="5" t="s">
        <v>919</v>
      </c>
      <c r="C85" s="14">
        <v>0.015239368434375395</v>
      </c>
      <c r="D85" s="15">
        <v>0</v>
      </c>
      <c r="E85" s="15">
        <v>0</v>
      </c>
      <c r="F85" s="15">
        <v>0</v>
      </c>
      <c r="G85" s="15">
        <v>0</v>
      </c>
      <c r="H85" s="15">
        <v>0</v>
      </c>
      <c r="I85" s="15">
        <v>0</v>
      </c>
      <c r="J85" s="14">
        <v>0.015239368434375395</v>
      </c>
      <c r="K85" s="14">
        <v>0</v>
      </c>
      <c r="L85" s="15">
        <v>0</v>
      </c>
      <c r="M85" s="15">
        <v>0.03596788933749233</v>
      </c>
      <c r="N85" s="15">
        <v>0.07840386563790819</v>
      </c>
      <c r="O85" s="14">
        <v>0.043626249591234664</v>
      </c>
      <c r="P85" s="14">
        <v>0</v>
      </c>
      <c r="Q85" s="15">
        <v>0</v>
      </c>
      <c r="R85" s="15">
        <v>0</v>
      </c>
      <c r="S85" s="16">
        <v>0</v>
      </c>
    </row>
    <row r="86" spans="1:19" ht="12.75">
      <c r="A86" s="59"/>
      <c r="B86" s="5" t="s">
        <v>965</v>
      </c>
      <c r="C86" s="14">
        <v>0</v>
      </c>
      <c r="D86" s="15">
        <v>0</v>
      </c>
      <c r="E86" s="15">
        <v>0</v>
      </c>
      <c r="F86" s="15">
        <v>0</v>
      </c>
      <c r="G86" s="15">
        <v>0</v>
      </c>
      <c r="H86" s="15">
        <v>0</v>
      </c>
      <c r="I86" s="15">
        <v>0</v>
      </c>
      <c r="J86" s="14">
        <v>0</v>
      </c>
      <c r="K86" s="14">
        <v>0</v>
      </c>
      <c r="L86" s="15">
        <v>0</v>
      </c>
      <c r="M86" s="15">
        <v>0</v>
      </c>
      <c r="N86" s="15">
        <v>0</v>
      </c>
      <c r="O86" s="14">
        <v>0</v>
      </c>
      <c r="P86" s="14">
        <v>0</v>
      </c>
      <c r="Q86" s="15">
        <v>0</v>
      </c>
      <c r="R86" s="15">
        <v>0</v>
      </c>
      <c r="S86" s="16">
        <v>0</v>
      </c>
    </row>
    <row r="87" spans="1:19" ht="12.75">
      <c r="A87" s="59"/>
      <c r="B87" s="5" t="s">
        <v>921</v>
      </c>
      <c r="C87" s="14">
        <v>0</v>
      </c>
      <c r="D87" s="15">
        <v>0</v>
      </c>
      <c r="E87" s="15">
        <v>0</v>
      </c>
      <c r="F87" s="15">
        <v>0</v>
      </c>
      <c r="G87" s="15">
        <v>0</v>
      </c>
      <c r="H87" s="15">
        <v>0</v>
      </c>
      <c r="I87" s="15">
        <v>0</v>
      </c>
      <c r="J87" s="14">
        <v>0</v>
      </c>
      <c r="K87" s="14">
        <v>0</v>
      </c>
      <c r="L87" s="15">
        <v>0</v>
      </c>
      <c r="M87" s="15">
        <v>0</v>
      </c>
      <c r="N87" s="15">
        <v>0</v>
      </c>
      <c r="O87" s="14">
        <v>0</v>
      </c>
      <c r="P87" s="14">
        <v>0</v>
      </c>
      <c r="Q87" s="15">
        <v>0</v>
      </c>
      <c r="R87" s="15">
        <v>0</v>
      </c>
      <c r="S87" s="16">
        <v>0</v>
      </c>
    </row>
    <row r="88" spans="1:19" ht="12.75">
      <c r="A88" s="59"/>
      <c r="B88" s="5" t="s">
        <v>923</v>
      </c>
      <c r="C88" s="14">
        <v>0.001934090621440324</v>
      </c>
      <c r="D88" s="15">
        <v>0</v>
      </c>
      <c r="E88" s="15">
        <v>0</v>
      </c>
      <c r="F88" s="15">
        <v>0</v>
      </c>
      <c r="G88" s="15">
        <v>0</v>
      </c>
      <c r="H88" s="15">
        <v>0</v>
      </c>
      <c r="I88" s="15">
        <v>0</v>
      </c>
      <c r="J88" s="14">
        <v>0.001934090621440324</v>
      </c>
      <c r="K88" s="14">
        <v>0</v>
      </c>
      <c r="L88" s="15">
        <v>0</v>
      </c>
      <c r="M88" s="15">
        <v>0.0019736644512998295</v>
      </c>
      <c r="N88" s="15">
        <v>0.002513444002805705</v>
      </c>
      <c r="O88" s="14">
        <v>0.002071077698818185</v>
      </c>
      <c r="P88" s="14">
        <v>0</v>
      </c>
      <c r="Q88" s="15">
        <v>0</v>
      </c>
      <c r="R88" s="15">
        <v>0</v>
      </c>
      <c r="S88" s="16">
        <v>0</v>
      </c>
    </row>
    <row r="89" spans="1:19" ht="12.75">
      <c r="A89" s="59"/>
      <c r="B89" s="5" t="s">
        <v>971</v>
      </c>
      <c r="C89" s="14">
        <v>0</v>
      </c>
      <c r="D89" s="15">
        <v>0</v>
      </c>
      <c r="E89" s="15">
        <v>0</v>
      </c>
      <c r="F89" s="15">
        <v>0</v>
      </c>
      <c r="G89" s="15">
        <v>0</v>
      </c>
      <c r="H89" s="15">
        <v>0</v>
      </c>
      <c r="I89" s="15">
        <v>0</v>
      </c>
      <c r="J89" s="14">
        <v>0</v>
      </c>
      <c r="K89" s="14">
        <v>0</v>
      </c>
      <c r="L89" s="15">
        <v>0</v>
      </c>
      <c r="M89" s="15">
        <v>0</v>
      </c>
      <c r="N89" s="15">
        <v>0</v>
      </c>
      <c r="O89" s="14">
        <v>0</v>
      </c>
      <c r="P89" s="14">
        <v>0</v>
      </c>
      <c r="Q89" s="15">
        <v>0</v>
      </c>
      <c r="R89" s="15">
        <v>0</v>
      </c>
      <c r="S89" s="16">
        <v>0</v>
      </c>
    </row>
    <row r="90" spans="1:19" ht="12.75">
      <c r="A90" s="59"/>
      <c r="B90" s="5" t="s">
        <v>925</v>
      </c>
      <c r="C90" s="14">
        <v>0</v>
      </c>
      <c r="D90" s="15">
        <v>0</v>
      </c>
      <c r="E90" s="15">
        <v>0</v>
      </c>
      <c r="F90" s="15">
        <v>0</v>
      </c>
      <c r="G90" s="15">
        <v>0</v>
      </c>
      <c r="H90" s="15">
        <v>0</v>
      </c>
      <c r="I90" s="15">
        <v>0</v>
      </c>
      <c r="J90" s="14">
        <v>0</v>
      </c>
      <c r="K90" s="14">
        <v>0</v>
      </c>
      <c r="L90" s="15">
        <v>0</v>
      </c>
      <c r="M90" s="15">
        <v>0</v>
      </c>
      <c r="N90" s="15">
        <v>0</v>
      </c>
      <c r="O90" s="14">
        <v>0</v>
      </c>
      <c r="P90" s="14">
        <v>0</v>
      </c>
      <c r="Q90" s="15">
        <v>0</v>
      </c>
      <c r="R90" s="15">
        <v>0</v>
      </c>
      <c r="S90" s="16">
        <v>0</v>
      </c>
    </row>
    <row r="91" spans="1:19" ht="12.75">
      <c r="A91" s="59"/>
      <c r="B91" s="5" t="s">
        <v>927</v>
      </c>
      <c r="C91" s="14">
        <v>0.0030751645361346666</v>
      </c>
      <c r="D91" s="15">
        <v>0</v>
      </c>
      <c r="E91" s="15">
        <v>0</v>
      </c>
      <c r="F91" s="15">
        <v>0</v>
      </c>
      <c r="G91" s="15">
        <v>0</v>
      </c>
      <c r="H91" s="15">
        <v>0</v>
      </c>
      <c r="I91" s="15">
        <v>0</v>
      </c>
      <c r="J91" s="14">
        <v>0.0030751645361346666</v>
      </c>
      <c r="K91" s="14">
        <v>0</v>
      </c>
      <c r="L91" s="15">
        <v>0</v>
      </c>
      <c r="M91" s="15">
        <v>0.05081327847118235</v>
      </c>
      <c r="N91" s="15">
        <v>0.0367274569402229</v>
      </c>
      <c r="O91" s="14">
        <v>0.04827123030454336</v>
      </c>
      <c r="P91" s="14">
        <v>0</v>
      </c>
      <c r="Q91" s="15">
        <v>0</v>
      </c>
      <c r="R91" s="15">
        <v>0</v>
      </c>
      <c r="S91" s="16">
        <v>0</v>
      </c>
    </row>
    <row r="92" spans="1:19" ht="12.75">
      <c r="A92" s="59"/>
      <c r="B92" s="5" t="s">
        <v>973</v>
      </c>
      <c r="C92" s="14">
        <v>0</v>
      </c>
      <c r="D92" s="15">
        <v>0</v>
      </c>
      <c r="E92" s="15">
        <v>0</v>
      </c>
      <c r="F92" s="15">
        <v>0</v>
      </c>
      <c r="G92" s="15">
        <v>0</v>
      </c>
      <c r="H92" s="15">
        <v>0</v>
      </c>
      <c r="I92" s="15">
        <v>0</v>
      </c>
      <c r="J92" s="14">
        <v>0</v>
      </c>
      <c r="K92" s="14">
        <v>0</v>
      </c>
      <c r="L92" s="15">
        <v>0</v>
      </c>
      <c r="M92" s="15">
        <v>0</v>
      </c>
      <c r="N92" s="15">
        <v>0</v>
      </c>
      <c r="O92" s="14">
        <v>0</v>
      </c>
      <c r="P92" s="14">
        <v>0</v>
      </c>
      <c r="Q92" s="15">
        <v>0</v>
      </c>
      <c r="R92" s="15">
        <v>0</v>
      </c>
      <c r="S92" s="16">
        <v>0</v>
      </c>
    </row>
    <row r="93" spans="1:19" ht="12.75">
      <c r="A93" s="59"/>
      <c r="B93" s="5" t="s">
        <v>929</v>
      </c>
      <c r="C93" s="14">
        <v>0</v>
      </c>
      <c r="D93" s="15">
        <v>0</v>
      </c>
      <c r="E93" s="15">
        <v>0</v>
      </c>
      <c r="F93" s="15">
        <v>0</v>
      </c>
      <c r="G93" s="15">
        <v>0</v>
      </c>
      <c r="H93" s="15">
        <v>0</v>
      </c>
      <c r="I93" s="15">
        <v>0</v>
      </c>
      <c r="J93" s="14">
        <v>0</v>
      </c>
      <c r="K93" s="14">
        <v>0</v>
      </c>
      <c r="L93" s="15">
        <v>0</v>
      </c>
      <c r="M93" s="15">
        <v>0</v>
      </c>
      <c r="N93" s="15">
        <v>0</v>
      </c>
      <c r="O93" s="14">
        <v>0</v>
      </c>
      <c r="P93" s="14">
        <v>0</v>
      </c>
      <c r="Q93" s="15">
        <v>0</v>
      </c>
      <c r="R93" s="15">
        <v>0</v>
      </c>
      <c r="S93" s="16">
        <v>0</v>
      </c>
    </row>
    <row r="94" spans="1:19" ht="12.75">
      <c r="A94" s="59"/>
      <c r="B94" s="5" t="s">
        <v>931</v>
      </c>
      <c r="C94" s="14">
        <v>0</v>
      </c>
      <c r="D94" s="15">
        <v>0</v>
      </c>
      <c r="E94" s="15">
        <v>0</v>
      </c>
      <c r="F94" s="15">
        <v>0</v>
      </c>
      <c r="G94" s="15">
        <v>0</v>
      </c>
      <c r="H94" s="15">
        <v>0</v>
      </c>
      <c r="I94" s="15">
        <v>0</v>
      </c>
      <c r="J94" s="14">
        <v>0</v>
      </c>
      <c r="K94" s="14">
        <v>0</v>
      </c>
      <c r="L94" s="15">
        <v>0</v>
      </c>
      <c r="M94" s="15">
        <v>0</v>
      </c>
      <c r="N94" s="15">
        <v>0</v>
      </c>
      <c r="O94" s="14">
        <v>0</v>
      </c>
      <c r="P94" s="14">
        <v>0</v>
      </c>
      <c r="Q94" s="15">
        <v>0</v>
      </c>
      <c r="R94" s="15">
        <v>0</v>
      </c>
      <c r="S94" s="16">
        <v>0</v>
      </c>
    </row>
    <row r="95" spans="1:19" ht="12.75">
      <c r="A95" s="59"/>
      <c r="B95" s="5" t="s">
        <v>959</v>
      </c>
      <c r="C95" s="14">
        <v>0</v>
      </c>
      <c r="D95" s="15">
        <v>0</v>
      </c>
      <c r="E95" s="15">
        <v>0</v>
      </c>
      <c r="F95" s="15">
        <v>0</v>
      </c>
      <c r="G95" s="15">
        <v>0</v>
      </c>
      <c r="H95" s="15">
        <v>0</v>
      </c>
      <c r="I95" s="15">
        <v>0</v>
      </c>
      <c r="J95" s="14">
        <v>0</v>
      </c>
      <c r="K95" s="14">
        <v>0</v>
      </c>
      <c r="L95" s="15">
        <v>0</v>
      </c>
      <c r="M95" s="15">
        <v>0</v>
      </c>
      <c r="N95" s="15">
        <v>0</v>
      </c>
      <c r="O95" s="14">
        <v>0</v>
      </c>
      <c r="P95" s="14">
        <v>0</v>
      </c>
      <c r="Q95" s="15">
        <v>0</v>
      </c>
      <c r="R95" s="15">
        <v>0</v>
      </c>
      <c r="S95" s="16">
        <v>0</v>
      </c>
    </row>
    <row r="96" spans="1:19" ht="12.75">
      <c r="A96" s="59"/>
      <c r="B96" s="5" t="s">
        <v>915</v>
      </c>
      <c r="C96" s="14">
        <v>0</v>
      </c>
      <c r="D96" s="15">
        <v>0</v>
      </c>
      <c r="E96" s="15">
        <v>0</v>
      </c>
      <c r="F96" s="15">
        <v>0</v>
      </c>
      <c r="G96" s="15">
        <v>0</v>
      </c>
      <c r="H96" s="15">
        <v>0</v>
      </c>
      <c r="I96" s="15">
        <v>0</v>
      </c>
      <c r="J96" s="14">
        <v>0</v>
      </c>
      <c r="K96" s="14">
        <v>0</v>
      </c>
      <c r="L96" s="15">
        <v>0</v>
      </c>
      <c r="M96" s="15">
        <v>0</v>
      </c>
      <c r="N96" s="15">
        <v>0</v>
      </c>
      <c r="O96" s="14">
        <v>0</v>
      </c>
      <c r="P96" s="14">
        <v>0</v>
      </c>
      <c r="Q96" s="15">
        <v>0</v>
      </c>
      <c r="R96" s="15">
        <v>0</v>
      </c>
      <c r="S96" s="16">
        <v>0</v>
      </c>
    </row>
    <row r="97" spans="1:19" ht="12.75">
      <c r="A97" s="59"/>
      <c r="B97" s="5" t="s">
        <v>933</v>
      </c>
      <c r="C97" s="14">
        <v>0.965020366598778</v>
      </c>
      <c r="D97" s="15">
        <v>0</v>
      </c>
      <c r="E97" s="15">
        <v>0</v>
      </c>
      <c r="F97" s="15">
        <v>0</v>
      </c>
      <c r="G97" s="15">
        <v>0</v>
      </c>
      <c r="H97" s="15">
        <v>0</v>
      </c>
      <c r="I97" s="15">
        <v>0</v>
      </c>
      <c r="J97" s="14">
        <v>0.965020366598778</v>
      </c>
      <c r="K97" s="14">
        <v>0</v>
      </c>
      <c r="L97" s="15">
        <v>0</v>
      </c>
      <c r="M97" s="15">
        <v>0</v>
      </c>
      <c r="N97" s="15">
        <v>0</v>
      </c>
      <c r="O97" s="14">
        <v>0</v>
      </c>
      <c r="P97" s="14">
        <v>0</v>
      </c>
      <c r="Q97" s="15">
        <v>0</v>
      </c>
      <c r="R97" s="15">
        <v>0</v>
      </c>
      <c r="S97" s="16">
        <v>0</v>
      </c>
    </row>
    <row r="98" spans="1:19" ht="12.75">
      <c r="A98" s="59"/>
      <c r="B98" s="5" t="s">
        <v>957</v>
      </c>
      <c r="C98" s="14">
        <v>0</v>
      </c>
      <c r="D98" s="15">
        <v>0</v>
      </c>
      <c r="E98" s="15">
        <v>0</v>
      </c>
      <c r="F98" s="15">
        <v>0</v>
      </c>
      <c r="G98" s="15">
        <v>0</v>
      </c>
      <c r="H98" s="15">
        <v>0</v>
      </c>
      <c r="I98" s="15">
        <v>0</v>
      </c>
      <c r="J98" s="14">
        <v>0</v>
      </c>
      <c r="K98" s="14">
        <v>0</v>
      </c>
      <c r="L98" s="15">
        <v>0</v>
      </c>
      <c r="M98" s="15">
        <v>0</v>
      </c>
      <c r="N98" s="15">
        <v>0</v>
      </c>
      <c r="O98" s="14">
        <v>0</v>
      </c>
      <c r="P98" s="14">
        <v>0</v>
      </c>
      <c r="Q98" s="15">
        <v>0</v>
      </c>
      <c r="R98" s="15">
        <v>0</v>
      </c>
      <c r="S98" s="16">
        <v>0</v>
      </c>
    </row>
    <row r="99" spans="1:19" ht="12.75">
      <c r="A99" s="59"/>
      <c r="B99" s="5" t="s">
        <v>935</v>
      </c>
      <c r="C99" s="14">
        <v>0</v>
      </c>
      <c r="D99" s="15">
        <v>0</v>
      </c>
      <c r="E99" s="15">
        <v>0</v>
      </c>
      <c r="F99" s="15">
        <v>0</v>
      </c>
      <c r="G99" s="15">
        <v>0</v>
      </c>
      <c r="H99" s="15">
        <v>0</v>
      </c>
      <c r="I99" s="15">
        <v>0</v>
      </c>
      <c r="J99" s="14">
        <v>0</v>
      </c>
      <c r="K99" s="14">
        <v>0</v>
      </c>
      <c r="L99" s="15">
        <v>0</v>
      </c>
      <c r="M99" s="15">
        <v>0</v>
      </c>
      <c r="N99" s="15">
        <v>0</v>
      </c>
      <c r="O99" s="14">
        <v>0</v>
      </c>
      <c r="P99" s="14">
        <v>0</v>
      </c>
      <c r="Q99" s="15">
        <v>0</v>
      </c>
      <c r="R99" s="15">
        <v>0</v>
      </c>
      <c r="S99" s="16">
        <v>0</v>
      </c>
    </row>
    <row r="100" spans="1:19" ht="12.75">
      <c r="A100" s="59"/>
      <c r="B100" s="5" t="s">
        <v>937</v>
      </c>
      <c r="C100" s="14">
        <v>0</v>
      </c>
      <c r="D100" s="15">
        <v>0</v>
      </c>
      <c r="E100" s="15">
        <v>0</v>
      </c>
      <c r="F100" s="15">
        <v>0</v>
      </c>
      <c r="G100" s="15">
        <v>0</v>
      </c>
      <c r="H100" s="15">
        <v>0</v>
      </c>
      <c r="I100" s="15">
        <v>0</v>
      </c>
      <c r="J100" s="14">
        <v>0</v>
      </c>
      <c r="K100" s="14">
        <v>0</v>
      </c>
      <c r="L100" s="15">
        <v>0</v>
      </c>
      <c r="M100" s="15">
        <v>0</v>
      </c>
      <c r="N100" s="15">
        <v>0</v>
      </c>
      <c r="O100" s="14">
        <v>0</v>
      </c>
      <c r="P100" s="14">
        <v>0</v>
      </c>
      <c r="Q100" s="15">
        <v>0</v>
      </c>
      <c r="R100" s="15">
        <v>0</v>
      </c>
      <c r="S100" s="16">
        <v>0</v>
      </c>
    </row>
    <row r="101" spans="1:19" ht="12.75">
      <c r="A101" s="59"/>
      <c r="B101" s="5" t="s">
        <v>961</v>
      </c>
      <c r="C101" s="14">
        <v>0</v>
      </c>
      <c r="D101" s="15">
        <v>0</v>
      </c>
      <c r="E101" s="15">
        <v>0</v>
      </c>
      <c r="F101" s="15">
        <v>0</v>
      </c>
      <c r="G101" s="15">
        <v>0</v>
      </c>
      <c r="H101" s="15">
        <v>0</v>
      </c>
      <c r="I101" s="15">
        <v>0</v>
      </c>
      <c r="J101" s="14">
        <v>0</v>
      </c>
      <c r="K101" s="14">
        <v>0</v>
      </c>
      <c r="L101" s="15">
        <v>0</v>
      </c>
      <c r="M101" s="15">
        <v>0</v>
      </c>
      <c r="N101" s="15">
        <v>0</v>
      </c>
      <c r="O101" s="14">
        <v>0</v>
      </c>
      <c r="P101" s="14">
        <v>0</v>
      </c>
      <c r="Q101" s="15">
        <v>0</v>
      </c>
      <c r="R101" s="15">
        <v>0</v>
      </c>
      <c r="S101" s="16">
        <v>0</v>
      </c>
    </row>
    <row r="102" spans="1:19" ht="12.75">
      <c r="A102" s="59"/>
      <c r="B102" s="5" t="s">
        <v>939</v>
      </c>
      <c r="C102" s="14">
        <v>0</v>
      </c>
      <c r="D102" s="15">
        <v>0</v>
      </c>
      <c r="E102" s="15">
        <v>0</v>
      </c>
      <c r="F102" s="15">
        <v>0</v>
      </c>
      <c r="G102" s="15">
        <v>0</v>
      </c>
      <c r="H102" s="15">
        <v>0</v>
      </c>
      <c r="I102" s="15">
        <v>0</v>
      </c>
      <c r="J102" s="14">
        <v>0</v>
      </c>
      <c r="K102" s="14">
        <v>0</v>
      </c>
      <c r="L102" s="15">
        <v>0</v>
      </c>
      <c r="M102" s="15">
        <v>0</v>
      </c>
      <c r="N102" s="15">
        <v>0</v>
      </c>
      <c r="O102" s="14">
        <v>0</v>
      </c>
      <c r="P102" s="14">
        <v>0</v>
      </c>
      <c r="Q102" s="15">
        <v>0</v>
      </c>
      <c r="R102" s="15">
        <v>0</v>
      </c>
      <c r="S102" s="16">
        <v>0</v>
      </c>
    </row>
    <row r="103" spans="1:19" ht="12.75">
      <c r="A103" s="59"/>
      <c r="B103" s="5" t="s">
        <v>941</v>
      </c>
      <c r="C103" s="14">
        <v>0.016479972844534962</v>
      </c>
      <c r="D103" s="15">
        <v>0</v>
      </c>
      <c r="E103" s="15">
        <v>0</v>
      </c>
      <c r="F103" s="15">
        <v>0</v>
      </c>
      <c r="G103" s="15">
        <v>0</v>
      </c>
      <c r="H103" s="15">
        <v>0</v>
      </c>
      <c r="I103" s="15">
        <v>0</v>
      </c>
      <c r="J103" s="14">
        <v>0.016479972844534962</v>
      </c>
      <c r="K103" s="14">
        <v>0</v>
      </c>
      <c r="L103" s="15">
        <v>0</v>
      </c>
      <c r="M103" s="15">
        <v>0</v>
      </c>
      <c r="N103" s="15">
        <v>0</v>
      </c>
      <c r="O103" s="14">
        <v>0</v>
      </c>
      <c r="P103" s="14">
        <v>0</v>
      </c>
      <c r="Q103" s="15">
        <v>0</v>
      </c>
      <c r="R103" s="15">
        <v>0</v>
      </c>
      <c r="S103" s="16">
        <v>0</v>
      </c>
    </row>
    <row r="104" spans="1:19" ht="12.75">
      <c r="A104" s="59"/>
      <c r="B104" s="5" t="s">
        <v>967</v>
      </c>
      <c r="C104" s="14">
        <v>0</v>
      </c>
      <c r="D104" s="15">
        <v>0</v>
      </c>
      <c r="E104" s="15">
        <v>0</v>
      </c>
      <c r="F104" s="15">
        <v>0</v>
      </c>
      <c r="G104" s="15">
        <v>0</v>
      </c>
      <c r="H104" s="15">
        <v>0</v>
      </c>
      <c r="I104" s="15">
        <v>0</v>
      </c>
      <c r="J104" s="14">
        <v>0</v>
      </c>
      <c r="K104" s="14">
        <v>0</v>
      </c>
      <c r="L104" s="15">
        <v>0</v>
      </c>
      <c r="M104" s="15">
        <v>0</v>
      </c>
      <c r="N104" s="15">
        <v>0</v>
      </c>
      <c r="O104" s="14">
        <v>0</v>
      </c>
      <c r="P104" s="14">
        <v>0</v>
      </c>
      <c r="Q104" s="15">
        <v>0</v>
      </c>
      <c r="R104" s="15">
        <v>0</v>
      </c>
      <c r="S104" s="16">
        <v>0</v>
      </c>
    </row>
    <row r="105" spans="1:19" ht="12.75">
      <c r="A105" s="59"/>
      <c r="B105" s="5" t="s">
        <v>943</v>
      </c>
      <c r="C105" s="14">
        <v>0</v>
      </c>
      <c r="D105" s="15">
        <v>0</v>
      </c>
      <c r="E105" s="15">
        <v>0</v>
      </c>
      <c r="F105" s="15">
        <v>0</v>
      </c>
      <c r="G105" s="15">
        <v>0</v>
      </c>
      <c r="H105" s="15">
        <v>0</v>
      </c>
      <c r="I105" s="15">
        <v>0</v>
      </c>
      <c r="J105" s="14">
        <v>0</v>
      </c>
      <c r="K105" s="14">
        <v>0</v>
      </c>
      <c r="L105" s="15">
        <v>0</v>
      </c>
      <c r="M105" s="15">
        <v>0</v>
      </c>
      <c r="N105" s="15">
        <v>0</v>
      </c>
      <c r="O105" s="14">
        <v>0</v>
      </c>
      <c r="P105" s="14">
        <v>0</v>
      </c>
      <c r="Q105" s="15">
        <v>0</v>
      </c>
      <c r="R105" s="15">
        <v>0</v>
      </c>
      <c r="S105" s="16">
        <v>0</v>
      </c>
    </row>
    <row r="106" spans="1:19" ht="12.75">
      <c r="A106" s="59"/>
      <c r="B106" s="5" t="s">
        <v>945</v>
      </c>
      <c r="C106" s="14">
        <v>0.003190767141887305</v>
      </c>
      <c r="D106" s="15">
        <v>0</v>
      </c>
      <c r="E106" s="15">
        <v>0</v>
      </c>
      <c r="F106" s="15">
        <v>0</v>
      </c>
      <c r="G106" s="15">
        <v>0</v>
      </c>
      <c r="H106" s="15">
        <v>0</v>
      </c>
      <c r="I106" s="15">
        <v>0</v>
      </c>
      <c r="J106" s="14">
        <v>0.003190767141887305</v>
      </c>
      <c r="K106" s="14">
        <v>0</v>
      </c>
      <c r="L106" s="15">
        <v>0</v>
      </c>
      <c r="M106" s="15">
        <v>0</v>
      </c>
      <c r="N106" s="15">
        <v>0</v>
      </c>
      <c r="O106" s="14">
        <v>0</v>
      </c>
      <c r="P106" s="14">
        <v>0</v>
      </c>
      <c r="Q106" s="15">
        <v>0</v>
      </c>
      <c r="R106" s="15">
        <v>0</v>
      </c>
      <c r="S106" s="16">
        <v>0</v>
      </c>
    </row>
    <row r="107" spans="1:19" ht="12.75">
      <c r="A107" s="59"/>
      <c r="B107" s="5" t="s">
        <v>969</v>
      </c>
      <c r="C107" s="14">
        <v>0</v>
      </c>
      <c r="D107" s="15">
        <v>0</v>
      </c>
      <c r="E107" s="15">
        <v>0</v>
      </c>
      <c r="F107" s="15">
        <v>0</v>
      </c>
      <c r="G107" s="15">
        <v>0</v>
      </c>
      <c r="H107" s="15">
        <v>0</v>
      </c>
      <c r="I107" s="15">
        <v>0</v>
      </c>
      <c r="J107" s="14">
        <v>0</v>
      </c>
      <c r="K107" s="14">
        <v>0</v>
      </c>
      <c r="L107" s="15">
        <v>0</v>
      </c>
      <c r="M107" s="15">
        <v>0</v>
      </c>
      <c r="N107" s="15">
        <v>0</v>
      </c>
      <c r="O107" s="14">
        <v>0</v>
      </c>
      <c r="P107" s="14">
        <v>0</v>
      </c>
      <c r="Q107" s="15">
        <v>0</v>
      </c>
      <c r="R107" s="15">
        <v>0</v>
      </c>
      <c r="S107" s="16">
        <v>0</v>
      </c>
    </row>
    <row r="108" spans="1:19" ht="12.75">
      <c r="A108" s="59"/>
      <c r="B108" s="5" t="s">
        <v>947</v>
      </c>
      <c r="C108" s="14">
        <v>0</v>
      </c>
      <c r="D108" s="15">
        <v>0</v>
      </c>
      <c r="E108" s="15">
        <v>0</v>
      </c>
      <c r="F108" s="15">
        <v>0</v>
      </c>
      <c r="G108" s="15">
        <v>0</v>
      </c>
      <c r="H108" s="15">
        <v>0</v>
      </c>
      <c r="I108" s="15">
        <v>0</v>
      </c>
      <c r="J108" s="14">
        <v>0</v>
      </c>
      <c r="K108" s="14">
        <v>0</v>
      </c>
      <c r="L108" s="15">
        <v>0</v>
      </c>
      <c r="M108" s="15">
        <v>0</v>
      </c>
      <c r="N108" s="15">
        <v>0</v>
      </c>
      <c r="O108" s="14">
        <v>0</v>
      </c>
      <c r="P108" s="14">
        <v>0</v>
      </c>
      <c r="Q108" s="15">
        <v>0</v>
      </c>
      <c r="R108" s="15">
        <v>0</v>
      </c>
      <c r="S108" s="16">
        <v>0</v>
      </c>
    </row>
    <row r="109" spans="1:19" ht="12.75">
      <c r="A109" s="59"/>
      <c r="B109" s="5" t="s">
        <v>949</v>
      </c>
      <c r="C109" s="14">
        <v>0.007773251866938221</v>
      </c>
      <c r="D109" s="15">
        <v>0</v>
      </c>
      <c r="E109" s="15">
        <v>0</v>
      </c>
      <c r="F109" s="15">
        <v>0</v>
      </c>
      <c r="G109" s="15">
        <v>0</v>
      </c>
      <c r="H109" s="15">
        <v>0</v>
      </c>
      <c r="I109" s="15">
        <v>0</v>
      </c>
      <c r="J109" s="14">
        <v>0.007773251866938221</v>
      </c>
      <c r="K109" s="14">
        <v>0</v>
      </c>
      <c r="L109" s="15">
        <v>0</v>
      </c>
      <c r="M109" s="15">
        <v>0</v>
      </c>
      <c r="N109" s="15">
        <v>0</v>
      </c>
      <c r="O109" s="14">
        <v>0</v>
      </c>
      <c r="P109" s="14">
        <v>0</v>
      </c>
      <c r="Q109" s="15">
        <v>0</v>
      </c>
      <c r="R109" s="15">
        <v>0</v>
      </c>
      <c r="S109" s="16">
        <v>0</v>
      </c>
    </row>
    <row r="110" spans="1:19" ht="12.75">
      <c r="A110" s="59"/>
      <c r="B110" s="5" t="s">
        <v>975</v>
      </c>
      <c r="C110" s="14">
        <v>0</v>
      </c>
      <c r="D110" s="15">
        <v>0</v>
      </c>
      <c r="E110" s="15">
        <v>0</v>
      </c>
      <c r="F110" s="15">
        <v>0</v>
      </c>
      <c r="G110" s="15">
        <v>0</v>
      </c>
      <c r="H110" s="15">
        <v>0</v>
      </c>
      <c r="I110" s="15">
        <v>0</v>
      </c>
      <c r="J110" s="14">
        <v>0</v>
      </c>
      <c r="K110" s="14">
        <v>0</v>
      </c>
      <c r="L110" s="15">
        <v>0</v>
      </c>
      <c r="M110" s="15">
        <v>0</v>
      </c>
      <c r="N110" s="15">
        <v>0</v>
      </c>
      <c r="O110" s="14">
        <v>0</v>
      </c>
      <c r="P110" s="14">
        <v>0</v>
      </c>
      <c r="Q110" s="15">
        <v>0</v>
      </c>
      <c r="R110" s="15">
        <v>0</v>
      </c>
      <c r="S110" s="16">
        <v>0</v>
      </c>
    </row>
    <row r="111" spans="1:19" ht="12.75">
      <c r="A111" s="59"/>
      <c r="B111" s="5" t="s">
        <v>951</v>
      </c>
      <c r="C111" s="14">
        <v>0</v>
      </c>
      <c r="D111" s="15">
        <v>0</v>
      </c>
      <c r="E111" s="15">
        <v>0</v>
      </c>
      <c r="F111" s="15">
        <v>0</v>
      </c>
      <c r="G111" s="15">
        <v>0</v>
      </c>
      <c r="H111" s="15">
        <v>0</v>
      </c>
      <c r="I111" s="15">
        <v>0</v>
      </c>
      <c r="J111" s="14">
        <v>0</v>
      </c>
      <c r="K111" s="14">
        <v>0</v>
      </c>
      <c r="L111" s="15">
        <v>0</v>
      </c>
      <c r="M111" s="15">
        <v>0</v>
      </c>
      <c r="N111" s="15">
        <v>0</v>
      </c>
      <c r="O111" s="14">
        <v>0</v>
      </c>
      <c r="P111" s="14">
        <v>0</v>
      </c>
      <c r="Q111" s="15">
        <v>0</v>
      </c>
      <c r="R111" s="15">
        <v>0</v>
      </c>
      <c r="S111" s="16">
        <v>0</v>
      </c>
    </row>
    <row r="112" spans="1:19" ht="12.75">
      <c r="A112" s="59"/>
      <c r="B112" s="5" t="s">
        <v>953</v>
      </c>
      <c r="C112" s="14">
        <v>0.007535641547861507</v>
      </c>
      <c r="D112" s="15">
        <v>0</v>
      </c>
      <c r="E112" s="15">
        <v>0</v>
      </c>
      <c r="F112" s="15">
        <v>0</v>
      </c>
      <c r="G112" s="15">
        <v>0</v>
      </c>
      <c r="H112" s="15">
        <v>0</v>
      </c>
      <c r="I112" s="15">
        <v>0</v>
      </c>
      <c r="J112" s="14">
        <v>0.007535641547861507</v>
      </c>
      <c r="K112" s="14">
        <v>0</v>
      </c>
      <c r="L112" s="15">
        <v>0</v>
      </c>
      <c r="M112" s="15">
        <v>0</v>
      </c>
      <c r="N112" s="15">
        <v>0</v>
      </c>
      <c r="O112" s="14">
        <v>0</v>
      </c>
      <c r="P112" s="14">
        <v>0</v>
      </c>
      <c r="Q112" s="15">
        <v>0</v>
      </c>
      <c r="R112" s="15">
        <v>0</v>
      </c>
      <c r="S112" s="16">
        <v>0</v>
      </c>
    </row>
    <row r="113" spans="1:19" s="301" customFormat="1" ht="12.75">
      <c r="A113" s="345"/>
      <c r="B113" s="5" t="s">
        <v>977</v>
      </c>
      <c r="C113" s="14">
        <v>0</v>
      </c>
      <c r="D113" s="15">
        <v>0</v>
      </c>
      <c r="E113" s="15">
        <v>0</v>
      </c>
      <c r="F113" s="15">
        <v>0</v>
      </c>
      <c r="G113" s="15">
        <v>0</v>
      </c>
      <c r="H113" s="15">
        <v>0</v>
      </c>
      <c r="I113" s="15">
        <v>0</v>
      </c>
      <c r="J113" s="14">
        <v>0</v>
      </c>
      <c r="K113" s="14">
        <v>0</v>
      </c>
      <c r="L113" s="15">
        <v>0</v>
      </c>
      <c r="M113" s="15">
        <v>0</v>
      </c>
      <c r="N113" s="15">
        <v>0</v>
      </c>
      <c r="O113" s="14">
        <v>0</v>
      </c>
      <c r="P113" s="14">
        <v>0</v>
      </c>
      <c r="Q113" s="15">
        <v>0</v>
      </c>
      <c r="R113" s="15">
        <v>0</v>
      </c>
      <c r="S113" s="16">
        <v>0</v>
      </c>
    </row>
    <row r="114" spans="1:19" s="56" customFormat="1" ht="12.75">
      <c r="A114" s="58" t="s">
        <v>351</v>
      </c>
      <c r="B114" s="3" t="s">
        <v>907</v>
      </c>
      <c r="C114" s="11">
        <v>0.7967386774570826</v>
      </c>
      <c r="D114" s="12">
        <v>0.7727370132430117</v>
      </c>
      <c r="E114" s="12">
        <v>0.9452030732102217</v>
      </c>
      <c r="F114" s="12">
        <v>0</v>
      </c>
      <c r="G114" s="12">
        <v>0.854745712596097</v>
      </c>
      <c r="H114" s="299">
        <v>1</v>
      </c>
      <c r="I114" s="12">
        <v>0</v>
      </c>
      <c r="J114" s="11">
        <v>0.8106840877314936</v>
      </c>
      <c r="K114" s="11">
        <v>0</v>
      </c>
      <c r="L114" s="300">
        <v>0.9287228089457166</v>
      </c>
      <c r="M114" s="12">
        <v>0.9088410718248688</v>
      </c>
      <c r="N114" s="375">
        <v>0.9389112767059141</v>
      </c>
      <c r="O114" s="299">
        <v>0.9265141395174542</v>
      </c>
      <c r="P114" s="11">
        <v>0</v>
      </c>
      <c r="Q114" s="12">
        <v>0</v>
      </c>
      <c r="R114" s="12">
        <v>0</v>
      </c>
      <c r="S114" s="13">
        <v>0</v>
      </c>
    </row>
    <row r="115" spans="1:19" ht="12.75">
      <c r="A115" s="59"/>
      <c r="B115" s="5" t="s">
        <v>909</v>
      </c>
      <c r="C115" s="14">
        <v>0.8027456203412348</v>
      </c>
      <c r="D115" s="15">
        <v>0.7446763374232004</v>
      </c>
      <c r="E115" s="15">
        <v>0.9493133964175577</v>
      </c>
      <c r="F115" s="15">
        <v>0</v>
      </c>
      <c r="G115" s="15">
        <v>0.8459792344442715</v>
      </c>
      <c r="H115" s="292">
        <v>1</v>
      </c>
      <c r="I115" s="15">
        <v>0</v>
      </c>
      <c r="J115" s="14">
        <v>0.8038322245829667</v>
      </c>
      <c r="K115" s="14">
        <v>0</v>
      </c>
      <c r="L115" s="296">
        <v>0.877656466031496</v>
      </c>
      <c r="M115" s="268">
        <v>0.8243434779561859</v>
      </c>
      <c r="N115" s="367">
        <v>0.8423510521614257</v>
      </c>
      <c r="O115" s="292">
        <v>0.8710024248917981</v>
      </c>
      <c r="P115" s="14">
        <v>0</v>
      </c>
      <c r="Q115" s="15">
        <v>0</v>
      </c>
      <c r="R115" s="15">
        <v>0</v>
      </c>
      <c r="S115" s="16">
        <v>0</v>
      </c>
    </row>
    <row r="116" spans="1:19" ht="13.5" thickBot="1">
      <c r="A116" s="59"/>
      <c r="B116" s="5" t="s">
        <v>955</v>
      </c>
      <c r="C116" s="363">
        <v>0.6006942884152155</v>
      </c>
      <c r="D116" s="15">
        <v>-2.806067581981131</v>
      </c>
      <c r="E116" s="15">
        <v>0.4110323207336064</v>
      </c>
      <c r="F116" s="15">
        <v>0</v>
      </c>
      <c r="G116" s="15">
        <v>-0.8766478151825519</v>
      </c>
      <c r="H116" s="295">
        <v>0</v>
      </c>
      <c r="I116" s="15">
        <v>0</v>
      </c>
      <c r="J116" s="14">
        <v>-0.6851863148526927</v>
      </c>
      <c r="K116" s="14">
        <v>0</v>
      </c>
      <c r="L116" s="296">
        <v>-5.106634291422052</v>
      </c>
      <c r="M116" s="268">
        <v>-8.449759386868294</v>
      </c>
      <c r="N116" s="367">
        <v>-9.656022454448843</v>
      </c>
      <c r="O116" s="292">
        <v>-5.551171462565607</v>
      </c>
      <c r="P116" s="14">
        <v>0</v>
      </c>
      <c r="Q116" s="15">
        <v>0</v>
      </c>
      <c r="R116" s="15">
        <v>0</v>
      </c>
      <c r="S116" s="16">
        <v>0</v>
      </c>
    </row>
    <row r="117" spans="1:19" ht="12.75">
      <c r="A117" s="59"/>
      <c r="B117" s="5" t="s">
        <v>911</v>
      </c>
      <c r="C117" s="14">
        <v>0.06002892210428473</v>
      </c>
      <c r="D117" s="15">
        <v>0.1557506267900946</v>
      </c>
      <c r="E117" s="15">
        <v>0.03634799167035798</v>
      </c>
      <c r="F117" s="15">
        <v>0</v>
      </c>
      <c r="G117" s="15">
        <v>0.02665767297457126</v>
      </c>
      <c r="H117" s="292">
        <v>0</v>
      </c>
      <c r="I117" s="15">
        <v>0</v>
      </c>
      <c r="J117" s="14">
        <v>0.09122452398355446</v>
      </c>
      <c r="K117" s="14">
        <v>0</v>
      </c>
      <c r="L117" s="296">
        <v>0</v>
      </c>
      <c r="M117" s="268">
        <v>0</v>
      </c>
      <c r="N117" s="367">
        <v>0</v>
      </c>
      <c r="O117" s="292">
        <v>0</v>
      </c>
      <c r="P117" s="14">
        <v>0</v>
      </c>
      <c r="Q117" s="15">
        <v>0</v>
      </c>
      <c r="R117" s="15">
        <v>0</v>
      </c>
      <c r="S117" s="16">
        <v>0</v>
      </c>
    </row>
    <row r="118" spans="1:19" ht="12.75">
      <c r="A118" s="59"/>
      <c r="B118" s="5" t="s">
        <v>913</v>
      </c>
      <c r="C118" s="14">
        <v>0.06410883260243205</v>
      </c>
      <c r="D118" s="15">
        <v>0.15657220816845396</v>
      </c>
      <c r="E118" s="15">
        <v>0.031745648654698644</v>
      </c>
      <c r="F118" s="15">
        <v>0</v>
      </c>
      <c r="G118" s="15">
        <v>0.024895721508821675</v>
      </c>
      <c r="H118" s="292">
        <v>0</v>
      </c>
      <c r="I118" s="15">
        <v>0</v>
      </c>
      <c r="J118" s="14">
        <v>0.09283578149819421</v>
      </c>
      <c r="K118" s="14">
        <v>0</v>
      </c>
      <c r="L118" s="296">
        <v>0.03112448152440936</v>
      </c>
      <c r="M118" s="268">
        <v>0.06153347092585602</v>
      </c>
      <c r="N118" s="367">
        <v>0.08506620532130217</v>
      </c>
      <c r="O118" s="292">
        <v>0.03531540595536066</v>
      </c>
      <c r="P118" s="14">
        <v>0</v>
      </c>
      <c r="Q118" s="15">
        <v>0</v>
      </c>
      <c r="R118" s="15">
        <v>0</v>
      </c>
      <c r="S118" s="16">
        <v>0</v>
      </c>
    </row>
    <row r="119" spans="1:19" ht="13.5" thickBot="1">
      <c r="A119" s="59"/>
      <c r="B119" s="5" t="s">
        <v>963</v>
      </c>
      <c r="C119" s="363">
        <v>0.4079910498147321</v>
      </c>
      <c r="D119" s="15">
        <v>0.08215813783593595</v>
      </c>
      <c r="E119" s="15">
        <v>-0.4602343015659337</v>
      </c>
      <c r="F119" s="15">
        <v>0</v>
      </c>
      <c r="G119" s="15">
        <v>-0.1761951465749586</v>
      </c>
      <c r="H119" s="295">
        <v>0</v>
      </c>
      <c r="I119" s="15">
        <v>0</v>
      </c>
      <c r="J119" s="14">
        <v>0.16112575146397523</v>
      </c>
      <c r="K119" s="14">
        <v>0</v>
      </c>
      <c r="L119" s="357">
        <v>0</v>
      </c>
      <c r="M119" s="368">
        <v>0</v>
      </c>
      <c r="N119" s="369">
        <v>0</v>
      </c>
      <c r="O119" s="295">
        <v>0</v>
      </c>
      <c r="P119" s="14">
        <v>0</v>
      </c>
      <c r="Q119" s="15">
        <v>0</v>
      </c>
      <c r="R119" s="15">
        <v>0</v>
      </c>
      <c r="S119" s="16">
        <v>0</v>
      </c>
    </row>
    <row r="120" spans="1:19" ht="12.75">
      <c r="A120" s="59"/>
      <c r="B120" s="5" t="s">
        <v>917</v>
      </c>
      <c r="C120" s="14">
        <v>0.03825438008561404</v>
      </c>
      <c r="D120" s="15">
        <v>0.058524272727580554</v>
      </c>
      <c r="E120" s="15">
        <v>0.01570717947934646</v>
      </c>
      <c r="F120" s="15">
        <v>0</v>
      </c>
      <c r="G120" s="15">
        <v>0.1165637936132466</v>
      </c>
      <c r="H120" s="15">
        <v>0</v>
      </c>
      <c r="I120" s="15">
        <v>0</v>
      </c>
      <c r="J120" s="14">
        <v>0.04394485318068544</v>
      </c>
      <c r="K120" s="14">
        <v>0</v>
      </c>
      <c r="L120" s="15">
        <v>0.048233650538112946</v>
      </c>
      <c r="M120" s="15">
        <v>0.04086323688534675</v>
      </c>
      <c r="N120" s="15">
        <v>0.022569170850311803</v>
      </c>
      <c r="O120" s="14">
        <v>0.04706230446029356</v>
      </c>
      <c r="P120" s="14">
        <v>0</v>
      </c>
      <c r="Q120" s="15">
        <v>0</v>
      </c>
      <c r="R120" s="15">
        <v>0</v>
      </c>
      <c r="S120" s="16">
        <v>0</v>
      </c>
    </row>
    <row r="121" spans="1:19" ht="12.75">
      <c r="A121" s="59"/>
      <c r="B121" s="5" t="s">
        <v>919</v>
      </c>
      <c r="C121" s="14">
        <v>0.04121107069467225</v>
      </c>
      <c r="D121" s="15">
        <v>0.08692864933190637</v>
      </c>
      <c r="E121" s="15">
        <v>0.013692852673617879</v>
      </c>
      <c r="F121" s="15">
        <v>0</v>
      </c>
      <c r="G121" s="15">
        <v>0.12890378516582124</v>
      </c>
      <c r="H121" s="15">
        <v>0</v>
      </c>
      <c r="I121" s="15">
        <v>0</v>
      </c>
      <c r="J121" s="14">
        <v>0.055985565459227456</v>
      </c>
      <c r="K121" s="14">
        <v>0</v>
      </c>
      <c r="L121" s="15">
        <v>0.061047083779823735</v>
      </c>
      <c r="M121" s="15">
        <v>0.05350962657871596</v>
      </c>
      <c r="N121" s="15">
        <v>0.027024887773217092</v>
      </c>
      <c r="O121" s="14">
        <v>0.05976662979998447</v>
      </c>
      <c r="P121" s="14">
        <v>0</v>
      </c>
      <c r="Q121" s="15">
        <v>0</v>
      </c>
      <c r="R121" s="15">
        <v>0</v>
      </c>
      <c r="S121" s="16">
        <v>0</v>
      </c>
    </row>
    <row r="122" spans="1:19" ht="12.75">
      <c r="A122" s="59"/>
      <c r="B122" s="5" t="s">
        <v>965</v>
      </c>
      <c r="C122" s="363">
        <v>0.2956690609058211</v>
      </c>
      <c r="D122" s="15">
        <v>2.840437660432582</v>
      </c>
      <c r="E122" s="15">
        <v>-0.20143268057285812</v>
      </c>
      <c r="F122" s="15">
        <v>0</v>
      </c>
      <c r="G122" s="15">
        <v>1.2339991552574634</v>
      </c>
      <c r="H122" s="15">
        <v>0</v>
      </c>
      <c r="I122" s="15">
        <v>0</v>
      </c>
      <c r="J122" s="14">
        <v>1.2040712278542018</v>
      </c>
      <c r="K122" s="14">
        <v>0</v>
      </c>
      <c r="L122" s="15">
        <v>1.281343324171079</v>
      </c>
      <c r="M122" s="15">
        <v>1.264638969336921</v>
      </c>
      <c r="N122" s="15">
        <v>0.4455716922905289</v>
      </c>
      <c r="O122" s="14">
        <v>1.270432533969091</v>
      </c>
      <c r="P122" s="14">
        <v>0</v>
      </c>
      <c r="Q122" s="15">
        <v>0</v>
      </c>
      <c r="R122" s="15">
        <v>0</v>
      </c>
      <c r="S122" s="16">
        <v>0</v>
      </c>
    </row>
    <row r="123" spans="1:19" ht="12.75">
      <c r="A123" s="59"/>
      <c r="B123" s="5" t="s">
        <v>921</v>
      </c>
      <c r="C123" s="14">
        <v>0.0010796817416253608</v>
      </c>
      <c r="D123" s="15">
        <v>0.002372200365794844</v>
      </c>
      <c r="E123" s="297">
        <v>0.00011837663627060136</v>
      </c>
      <c r="F123" s="15">
        <v>0</v>
      </c>
      <c r="G123" s="15">
        <v>0</v>
      </c>
      <c r="H123" s="15">
        <v>0</v>
      </c>
      <c r="I123" s="15">
        <v>0</v>
      </c>
      <c r="J123" s="14">
        <v>0.0013974269303928188</v>
      </c>
      <c r="K123" s="14">
        <v>0</v>
      </c>
      <c r="L123" s="15">
        <v>0.002263131619988932</v>
      </c>
      <c r="M123" s="15">
        <v>0.00439253636778638</v>
      </c>
      <c r="N123" s="15">
        <v>0.005740786600328688</v>
      </c>
      <c r="O123" s="14">
        <v>0.002554400645946591</v>
      </c>
      <c r="P123" s="14">
        <v>0</v>
      </c>
      <c r="Q123" s="15">
        <v>0</v>
      </c>
      <c r="R123" s="15">
        <v>0</v>
      </c>
      <c r="S123" s="16">
        <v>0</v>
      </c>
    </row>
    <row r="124" spans="1:19" ht="12.75">
      <c r="A124" s="59"/>
      <c r="B124" s="5" t="s">
        <v>923</v>
      </c>
      <c r="C124" s="293">
        <v>0.00036491658753229307</v>
      </c>
      <c r="D124" s="15">
        <v>0.0028311786156191097</v>
      </c>
      <c r="E124" s="15">
        <v>0</v>
      </c>
      <c r="F124" s="15">
        <v>0</v>
      </c>
      <c r="G124" s="297">
        <v>0.00022125888108564357</v>
      </c>
      <c r="H124" s="15">
        <v>0</v>
      </c>
      <c r="I124" s="15">
        <v>0</v>
      </c>
      <c r="J124" s="14">
        <v>0.001227095104021997</v>
      </c>
      <c r="K124" s="14">
        <v>0</v>
      </c>
      <c r="L124" s="15">
        <v>0.002129485861744702</v>
      </c>
      <c r="M124" s="15">
        <v>0.005935090388340955</v>
      </c>
      <c r="N124" s="15">
        <v>0.015027646799416533</v>
      </c>
      <c r="O124" s="14">
        <v>0.0027259028114164016</v>
      </c>
      <c r="P124" s="14">
        <v>0</v>
      </c>
      <c r="Q124" s="15">
        <v>0</v>
      </c>
      <c r="R124" s="15">
        <v>0</v>
      </c>
      <c r="S124" s="16">
        <v>0</v>
      </c>
    </row>
    <row r="125" spans="1:19" ht="12.75">
      <c r="A125" s="59"/>
      <c r="B125" s="5" t="s">
        <v>971</v>
      </c>
      <c r="C125" s="363">
        <v>-0.07147651540930677</v>
      </c>
      <c r="D125" s="15">
        <v>0.045897824982426554</v>
      </c>
      <c r="E125" s="15">
        <v>-0.011837663627060136</v>
      </c>
      <c r="F125" s="15">
        <v>0</v>
      </c>
      <c r="G125" s="15">
        <v>0</v>
      </c>
      <c r="H125" s="15">
        <v>0</v>
      </c>
      <c r="I125" s="15">
        <v>0</v>
      </c>
      <c r="J125" s="14">
        <v>-0.017033182637082173</v>
      </c>
      <c r="K125" s="14">
        <v>0</v>
      </c>
      <c r="L125" s="15">
        <v>-0.013364575824422993</v>
      </c>
      <c r="M125" s="15">
        <v>0.1542554020554575</v>
      </c>
      <c r="N125" s="15">
        <v>0.9286860199087844</v>
      </c>
      <c r="O125" s="14">
        <v>0.01715021654698106</v>
      </c>
      <c r="P125" s="14">
        <v>0</v>
      </c>
      <c r="Q125" s="15">
        <v>0</v>
      </c>
      <c r="R125" s="15">
        <v>0</v>
      </c>
      <c r="S125" s="16">
        <v>0</v>
      </c>
    </row>
    <row r="126" spans="1:19" ht="12.75">
      <c r="A126" s="59"/>
      <c r="B126" s="5" t="s">
        <v>925</v>
      </c>
      <c r="C126" s="14">
        <v>0.10045073159864723</v>
      </c>
      <c r="D126" s="15">
        <v>0.010615886873518282</v>
      </c>
      <c r="E126" s="15">
        <v>0.002623379003803327</v>
      </c>
      <c r="F126" s="15">
        <v>0</v>
      </c>
      <c r="G126" s="15">
        <v>0.0020328208160851568</v>
      </c>
      <c r="H126" s="15">
        <v>0</v>
      </c>
      <c r="I126" s="15">
        <v>0</v>
      </c>
      <c r="J126" s="14">
        <v>0.05114263991987704</v>
      </c>
      <c r="K126" s="14">
        <v>0</v>
      </c>
      <c r="L126" s="15">
        <v>0.017392367735668702</v>
      </c>
      <c r="M126" s="15">
        <v>0.03270024848877201</v>
      </c>
      <c r="N126" s="15">
        <v>0.010806186541795177</v>
      </c>
      <c r="O126" s="14">
        <v>0.019107995206623377</v>
      </c>
      <c r="P126" s="14">
        <v>0</v>
      </c>
      <c r="Q126" s="15">
        <v>0</v>
      </c>
      <c r="R126" s="15">
        <v>0</v>
      </c>
      <c r="S126" s="16">
        <v>0</v>
      </c>
    </row>
    <row r="127" spans="1:19" ht="12.75">
      <c r="A127" s="59"/>
      <c r="B127" s="5" t="s">
        <v>927</v>
      </c>
      <c r="C127" s="14">
        <v>0.08922323659148304</v>
      </c>
      <c r="D127" s="15">
        <v>0.00899162646082016</v>
      </c>
      <c r="E127" s="15">
        <v>0.005248102254125685</v>
      </c>
      <c r="F127" s="15">
        <v>0</v>
      </c>
      <c r="G127" s="15">
        <v>0</v>
      </c>
      <c r="H127" s="15">
        <v>0</v>
      </c>
      <c r="I127" s="15">
        <v>0</v>
      </c>
      <c r="J127" s="14">
        <v>0.045042727783636875</v>
      </c>
      <c r="K127" s="14">
        <v>0</v>
      </c>
      <c r="L127" s="15">
        <v>0.024175481055442566</v>
      </c>
      <c r="M127" s="15">
        <v>0.041120648146682974</v>
      </c>
      <c r="N127" s="15">
        <v>0.014688422266698328</v>
      </c>
      <c r="O127" s="14">
        <v>0.02604810380923814</v>
      </c>
      <c r="P127" s="14">
        <v>0</v>
      </c>
      <c r="Q127" s="15">
        <v>0</v>
      </c>
      <c r="R127" s="15">
        <v>0</v>
      </c>
      <c r="S127" s="16">
        <v>0</v>
      </c>
    </row>
    <row r="128" spans="1:19" ht="12.75">
      <c r="A128" s="59"/>
      <c r="B128" s="5" t="s">
        <v>973</v>
      </c>
      <c r="C128" s="363">
        <v>-1.122749500716419</v>
      </c>
      <c r="D128" s="15">
        <v>-0.1624260412698121</v>
      </c>
      <c r="E128" s="15">
        <v>0.26247232503223583</v>
      </c>
      <c r="F128" s="15">
        <v>0</v>
      </c>
      <c r="G128" s="15">
        <v>-0.20328208160851569</v>
      </c>
      <c r="H128" s="15">
        <v>0</v>
      </c>
      <c r="I128" s="15">
        <v>0</v>
      </c>
      <c r="J128" s="14">
        <v>-0.6099912136240164</v>
      </c>
      <c r="K128" s="14">
        <v>0</v>
      </c>
      <c r="L128" s="15">
        <v>0.6783113319773864</v>
      </c>
      <c r="M128" s="15">
        <v>0.8420399657910964</v>
      </c>
      <c r="N128" s="15">
        <v>0.3882235724903151</v>
      </c>
      <c r="O128" s="14">
        <v>0.6940108602614764</v>
      </c>
      <c r="P128" s="14">
        <v>0</v>
      </c>
      <c r="Q128" s="15">
        <v>0</v>
      </c>
      <c r="R128" s="15">
        <v>0</v>
      </c>
      <c r="S128" s="16">
        <v>0</v>
      </c>
    </row>
    <row r="129" spans="1:19" ht="12.75">
      <c r="A129" s="59"/>
      <c r="B129" s="5" t="s">
        <v>929</v>
      </c>
      <c r="C129" s="14">
        <v>0.003447607012746083</v>
      </c>
      <c r="D129" s="15">
        <v>0</v>
      </c>
      <c r="E129" s="15">
        <v>0</v>
      </c>
      <c r="F129" s="15">
        <v>0</v>
      </c>
      <c r="G129" s="15">
        <v>0</v>
      </c>
      <c r="H129" s="15">
        <v>0</v>
      </c>
      <c r="I129" s="15">
        <v>0</v>
      </c>
      <c r="J129" s="14">
        <v>0.0016064682539966625</v>
      </c>
      <c r="K129" s="14">
        <v>0</v>
      </c>
      <c r="L129" s="15">
        <v>0.0033880411605128422</v>
      </c>
      <c r="M129" s="15">
        <v>0.013202906433225973</v>
      </c>
      <c r="N129" s="15">
        <v>0.021972579301650193</v>
      </c>
      <c r="O129" s="14">
        <v>0.004761160169682297</v>
      </c>
      <c r="P129" s="14">
        <v>0</v>
      </c>
      <c r="Q129" s="15">
        <v>0</v>
      </c>
      <c r="R129" s="15">
        <v>0</v>
      </c>
      <c r="S129" s="16">
        <v>0</v>
      </c>
    </row>
    <row r="130" spans="1:19" ht="12.75">
      <c r="A130" s="59"/>
      <c r="B130" s="5" t="s">
        <v>931</v>
      </c>
      <c r="C130" s="14">
        <v>0.002346323182645653</v>
      </c>
      <c r="D130" s="15">
        <v>0</v>
      </c>
      <c r="E130" s="15">
        <v>0</v>
      </c>
      <c r="F130" s="15">
        <v>0</v>
      </c>
      <c r="G130" s="15">
        <v>0</v>
      </c>
      <c r="H130" s="15">
        <v>0</v>
      </c>
      <c r="I130" s="15">
        <v>0</v>
      </c>
      <c r="J130" s="14">
        <v>0.0010766055719527642</v>
      </c>
      <c r="K130" s="14">
        <v>0</v>
      </c>
      <c r="L130" s="15">
        <v>0.0038670017470835366</v>
      </c>
      <c r="M130" s="15">
        <v>0.013557686004218198</v>
      </c>
      <c r="N130" s="15">
        <v>0.01584178567794023</v>
      </c>
      <c r="O130" s="14">
        <v>0.005141532732202211</v>
      </c>
      <c r="P130" s="14">
        <v>0</v>
      </c>
      <c r="Q130" s="15">
        <v>0</v>
      </c>
      <c r="R130" s="15">
        <v>0</v>
      </c>
      <c r="S130" s="16">
        <v>0</v>
      </c>
    </row>
    <row r="131" spans="1:19" ht="12.75">
      <c r="A131" s="59"/>
      <c r="B131" s="5" t="s">
        <v>959</v>
      </c>
      <c r="C131" s="363">
        <v>-0.110128383010043</v>
      </c>
      <c r="D131" s="15">
        <v>0</v>
      </c>
      <c r="E131" s="15">
        <v>0</v>
      </c>
      <c r="F131" s="15">
        <v>0</v>
      </c>
      <c r="G131" s="15">
        <v>0</v>
      </c>
      <c r="H131" s="15">
        <v>0</v>
      </c>
      <c r="I131" s="15">
        <v>0</v>
      </c>
      <c r="J131" s="14">
        <v>-0.05298626820438982</v>
      </c>
      <c r="K131" s="14">
        <v>0</v>
      </c>
      <c r="L131" s="15">
        <v>0.047896058657069446</v>
      </c>
      <c r="M131" s="15">
        <v>0.035477957099222523</v>
      </c>
      <c r="N131" s="15">
        <v>-0.6130793623709965</v>
      </c>
      <c r="O131" s="14">
        <v>0.03803725625199138</v>
      </c>
      <c r="P131" s="14">
        <v>0</v>
      </c>
      <c r="Q131" s="15">
        <v>0</v>
      </c>
      <c r="R131" s="15">
        <v>0</v>
      </c>
      <c r="S131" s="16">
        <v>0</v>
      </c>
    </row>
    <row r="132" spans="1:19" ht="12.75">
      <c r="A132" s="59"/>
      <c r="B132" s="5" t="s">
        <v>915</v>
      </c>
      <c r="C132" s="14">
        <v>0.7880173128521637</v>
      </c>
      <c r="D132" s="15">
        <v>0.6468463990948169</v>
      </c>
      <c r="E132" s="15">
        <v>0.8059979647860659</v>
      </c>
      <c r="F132" s="15">
        <v>0</v>
      </c>
      <c r="G132" s="15">
        <v>0.6612158776209943</v>
      </c>
      <c r="H132" s="15">
        <v>0</v>
      </c>
      <c r="I132" s="15">
        <v>0</v>
      </c>
      <c r="J132" s="14">
        <v>0.7446931875916205</v>
      </c>
      <c r="K132" s="14">
        <v>0</v>
      </c>
      <c r="L132" s="15">
        <v>0</v>
      </c>
      <c r="M132" s="15">
        <v>0</v>
      </c>
      <c r="N132" s="15">
        <v>0</v>
      </c>
      <c r="O132" s="14">
        <v>0</v>
      </c>
      <c r="P132" s="14">
        <v>0</v>
      </c>
      <c r="Q132" s="15">
        <v>0</v>
      </c>
      <c r="R132" s="15">
        <v>0</v>
      </c>
      <c r="S132" s="16">
        <v>0</v>
      </c>
    </row>
    <row r="133" spans="1:19" ht="12.75">
      <c r="A133" s="59"/>
      <c r="B133" s="5" t="s">
        <v>933</v>
      </c>
      <c r="C133" s="14">
        <v>0.7706897664946628</v>
      </c>
      <c r="D133" s="15">
        <v>0.6301726408963979</v>
      </c>
      <c r="E133" s="15">
        <v>0.8091662091237019</v>
      </c>
      <c r="F133" s="15">
        <v>0</v>
      </c>
      <c r="G133" s="15">
        <v>0.6877401091864932</v>
      </c>
      <c r="H133" s="15">
        <v>0</v>
      </c>
      <c r="I133" s="15">
        <v>0</v>
      </c>
      <c r="J133" s="14">
        <v>0.7310180747906161</v>
      </c>
      <c r="K133" s="14">
        <v>0</v>
      </c>
      <c r="L133" s="15">
        <v>0</v>
      </c>
      <c r="M133" s="15">
        <v>0</v>
      </c>
      <c r="N133" s="15">
        <v>0</v>
      </c>
      <c r="O133" s="14">
        <v>0</v>
      </c>
      <c r="P133" s="14">
        <v>0</v>
      </c>
      <c r="Q133" s="15">
        <v>0</v>
      </c>
      <c r="R133" s="15">
        <v>0</v>
      </c>
      <c r="S133" s="16">
        <v>0</v>
      </c>
    </row>
    <row r="134" spans="1:19" ht="12.75">
      <c r="A134" s="59"/>
      <c r="B134" s="5" t="s">
        <v>957</v>
      </c>
      <c r="C134" s="363">
        <v>-1.732754635750089</v>
      </c>
      <c r="D134" s="15">
        <v>-1.6673758198418986</v>
      </c>
      <c r="E134" s="15">
        <v>0.31682443376359615</v>
      </c>
      <c r="F134" s="15">
        <v>0</v>
      </c>
      <c r="G134" s="15">
        <v>2.652423156549888</v>
      </c>
      <c r="H134" s="15">
        <v>0</v>
      </c>
      <c r="I134" s="15">
        <v>0</v>
      </c>
      <c r="J134" s="14">
        <v>-1.3675112801004419</v>
      </c>
      <c r="K134" s="14">
        <v>0</v>
      </c>
      <c r="L134" s="15">
        <v>0</v>
      </c>
      <c r="M134" s="15">
        <v>0</v>
      </c>
      <c r="N134" s="15">
        <v>0</v>
      </c>
      <c r="O134" s="14">
        <v>0</v>
      </c>
      <c r="P134" s="14">
        <v>0</v>
      </c>
      <c r="Q134" s="15">
        <v>0</v>
      </c>
      <c r="R134" s="15">
        <v>0</v>
      </c>
      <c r="S134" s="16">
        <v>0</v>
      </c>
    </row>
    <row r="135" spans="1:19" ht="12.75">
      <c r="A135" s="59"/>
      <c r="B135" s="5" t="s">
        <v>935</v>
      </c>
      <c r="C135" s="14">
        <v>0.09858172484222764</v>
      </c>
      <c r="D135" s="15">
        <v>0.21442230247145308</v>
      </c>
      <c r="E135" s="15">
        <v>0.1553329704657327</v>
      </c>
      <c r="F135" s="15">
        <v>0</v>
      </c>
      <c r="G135" s="15">
        <v>0.0658710272979032</v>
      </c>
      <c r="H135" s="15">
        <v>0</v>
      </c>
      <c r="I135" s="15">
        <v>0</v>
      </c>
      <c r="J135" s="14">
        <v>0.13838280160969313</v>
      </c>
      <c r="K135" s="14">
        <v>0</v>
      </c>
      <c r="L135" s="15">
        <v>0</v>
      </c>
      <c r="M135" s="15">
        <v>0</v>
      </c>
      <c r="N135" s="15">
        <v>0</v>
      </c>
      <c r="O135" s="14">
        <v>0</v>
      </c>
      <c r="P135" s="14">
        <v>0</v>
      </c>
      <c r="Q135" s="15">
        <v>0</v>
      </c>
      <c r="R135" s="15">
        <v>0</v>
      </c>
      <c r="S135" s="16">
        <v>0</v>
      </c>
    </row>
    <row r="136" spans="1:19" ht="12.75">
      <c r="A136" s="59"/>
      <c r="B136" s="5" t="s">
        <v>937</v>
      </c>
      <c r="C136" s="14">
        <v>0.10658599875403325</v>
      </c>
      <c r="D136" s="15">
        <v>0.18432708688245314</v>
      </c>
      <c r="E136" s="15">
        <v>0.16101970091449555</v>
      </c>
      <c r="F136" s="15">
        <v>0</v>
      </c>
      <c r="G136" s="15">
        <v>0.04980791265080542</v>
      </c>
      <c r="H136" s="15">
        <v>0</v>
      </c>
      <c r="I136" s="15">
        <v>0</v>
      </c>
      <c r="J136" s="14">
        <v>0.1336421969710819</v>
      </c>
      <c r="K136" s="14">
        <v>0</v>
      </c>
      <c r="L136" s="15">
        <v>0</v>
      </c>
      <c r="M136" s="15">
        <v>0</v>
      </c>
      <c r="N136" s="15">
        <v>0</v>
      </c>
      <c r="O136" s="14">
        <v>0</v>
      </c>
      <c r="P136" s="14">
        <v>0</v>
      </c>
      <c r="Q136" s="15">
        <v>0</v>
      </c>
      <c r="R136" s="15">
        <v>0</v>
      </c>
      <c r="S136" s="16">
        <v>0</v>
      </c>
    </row>
    <row r="137" spans="1:19" ht="12.75">
      <c r="A137" s="59"/>
      <c r="B137" s="5" t="s">
        <v>961</v>
      </c>
      <c r="C137" s="363">
        <v>0.8004273911805609</v>
      </c>
      <c r="D137" s="15">
        <v>-3.009521558899994</v>
      </c>
      <c r="E137" s="15">
        <v>0.5686730448762861</v>
      </c>
      <c r="F137" s="15">
        <v>0</v>
      </c>
      <c r="G137" s="15">
        <v>-1.606311464709778</v>
      </c>
      <c r="H137" s="15">
        <v>0</v>
      </c>
      <c r="I137" s="15">
        <v>0</v>
      </c>
      <c r="J137" s="14">
        <v>-0.4740604638611229</v>
      </c>
      <c r="K137" s="14">
        <v>0</v>
      </c>
      <c r="L137" s="15">
        <v>0</v>
      </c>
      <c r="M137" s="15">
        <v>0</v>
      </c>
      <c r="N137" s="15">
        <v>0</v>
      </c>
      <c r="O137" s="14">
        <v>0</v>
      </c>
      <c r="P137" s="14">
        <v>0</v>
      </c>
      <c r="Q137" s="15">
        <v>0</v>
      </c>
      <c r="R137" s="15">
        <v>0</v>
      </c>
      <c r="S137" s="16">
        <v>0</v>
      </c>
    </row>
    <row r="138" spans="1:19" ht="12.75">
      <c r="A138" s="59"/>
      <c r="B138" s="5" t="s">
        <v>939</v>
      </c>
      <c r="C138" s="14">
        <v>0.0520308587544609</v>
      </c>
      <c r="D138" s="15">
        <v>0.10169210731777814</v>
      </c>
      <c r="E138" s="15">
        <v>0.03398333964407421</v>
      </c>
      <c r="F138" s="15">
        <v>0</v>
      </c>
      <c r="G138" s="15">
        <v>0.27291309508110245</v>
      </c>
      <c r="H138" s="15">
        <v>0</v>
      </c>
      <c r="I138" s="15">
        <v>0</v>
      </c>
      <c r="J138" s="14">
        <v>0.06907359539539351</v>
      </c>
      <c r="K138" s="14">
        <v>0</v>
      </c>
      <c r="L138" s="15">
        <v>0</v>
      </c>
      <c r="M138" s="15">
        <v>0</v>
      </c>
      <c r="N138" s="15">
        <v>0</v>
      </c>
      <c r="O138" s="14">
        <v>0</v>
      </c>
      <c r="P138" s="14">
        <v>0</v>
      </c>
      <c r="Q138" s="15">
        <v>0</v>
      </c>
      <c r="R138" s="15">
        <v>0</v>
      </c>
      <c r="S138" s="16">
        <v>0</v>
      </c>
    </row>
    <row r="139" spans="1:19" ht="12.75">
      <c r="A139" s="59"/>
      <c r="B139" s="5" t="s">
        <v>941</v>
      </c>
      <c r="C139" s="14">
        <v>0.06683372626075607</v>
      </c>
      <c r="D139" s="15">
        <v>0.15372240467869122</v>
      </c>
      <c r="E139" s="15">
        <v>0.02712196619495463</v>
      </c>
      <c r="F139" s="15">
        <v>0</v>
      </c>
      <c r="G139" s="15">
        <v>0.2624519781627013</v>
      </c>
      <c r="H139" s="15">
        <v>0</v>
      </c>
      <c r="I139" s="15">
        <v>0</v>
      </c>
      <c r="J139" s="14">
        <v>0.09219318428138279</v>
      </c>
      <c r="K139" s="14">
        <v>0</v>
      </c>
      <c r="L139" s="15">
        <v>0</v>
      </c>
      <c r="M139" s="15">
        <v>0</v>
      </c>
      <c r="N139" s="15">
        <v>0</v>
      </c>
      <c r="O139" s="14">
        <v>0</v>
      </c>
      <c r="P139" s="14">
        <v>0</v>
      </c>
      <c r="Q139" s="15">
        <v>0</v>
      </c>
      <c r="R139" s="15">
        <v>0</v>
      </c>
      <c r="S139" s="16">
        <v>0</v>
      </c>
    </row>
    <row r="140" spans="1:19" ht="12.75">
      <c r="A140" s="59"/>
      <c r="B140" s="5" t="s">
        <v>967</v>
      </c>
      <c r="C140" s="363">
        <v>1.4802867506295163</v>
      </c>
      <c r="D140" s="15">
        <v>5.203029736091308</v>
      </c>
      <c r="E140" s="15">
        <v>-0.6861373449119582</v>
      </c>
      <c r="F140" s="15">
        <v>0</v>
      </c>
      <c r="G140" s="15">
        <v>-1.0461116918401125</v>
      </c>
      <c r="H140" s="15">
        <v>0</v>
      </c>
      <c r="I140" s="15">
        <v>0</v>
      </c>
      <c r="J140" s="14">
        <v>2.311958888598928</v>
      </c>
      <c r="K140" s="14">
        <v>0</v>
      </c>
      <c r="L140" s="15">
        <v>0</v>
      </c>
      <c r="M140" s="15">
        <v>0</v>
      </c>
      <c r="N140" s="15">
        <v>0</v>
      </c>
      <c r="O140" s="14">
        <v>0</v>
      </c>
      <c r="P140" s="14">
        <v>0</v>
      </c>
      <c r="Q140" s="15">
        <v>0</v>
      </c>
      <c r="R140" s="15">
        <v>0</v>
      </c>
      <c r="S140" s="16">
        <v>0</v>
      </c>
    </row>
    <row r="141" spans="1:19" ht="12.75">
      <c r="A141" s="59"/>
      <c r="B141" s="5" t="s">
        <v>943</v>
      </c>
      <c r="C141" s="14">
        <v>0.00407728897349526</v>
      </c>
      <c r="D141" s="15">
        <v>0.0014134674188710237</v>
      </c>
      <c r="E141" s="15">
        <v>0</v>
      </c>
      <c r="F141" s="15">
        <v>0</v>
      </c>
      <c r="G141" s="15">
        <v>0</v>
      </c>
      <c r="H141" s="15">
        <v>0</v>
      </c>
      <c r="I141" s="15">
        <v>0</v>
      </c>
      <c r="J141" s="14">
        <v>0.0028326846182119454</v>
      </c>
      <c r="K141" s="14">
        <v>0</v>
      </c>
      <c r="L141" s="15">
        <v>0</v>
      </c>
      <c r="M141" s="15">
        <v>0</v>
      </c>
      <c r="N141" s="15">
        <v>0</v>
      </c>
      <c r="O141" s="14">
        <v>0</v>
      </c>
      <c r="P141" s="14">
        <v>0</v>
      </c>
      <c r="Q141" s="15">
        <v>0</v>
      </c>
      <c r="R141" s="15">
        <v>0</v>
      </c>
      <c r="S141" s="16">
        <v>0</v>
      </c>
    </row>
    <row r="142" spans="1:19" ht="12.75">
      <c r="A142" s="59"/>
      <c r="B142" s="5" t="s">
        <v>945</v>
      </c>
      <c r="C142" s="14">
        <v>0.003734410146427269</v>
      </c>
      <c r="D142" s="15">
        <v>0.004060485783030963</v>
      </c>
      <c r="E142" s="15">
        <v>0</v>
      </c>
      <c r="F142" s="15">
        <v>0</v>
      </c>
      <c r="G142" s="15">
        <v>0</v>
      </c>
      <c r="H142" s="15">
        <v>0</v>
      </c>
      <c r="I142" s="15">
        <v>0</v>
      </c>
      <c r="J142" s="14">
        <v>0.003443115727235453</v>
      </c>
      <c r="K142" s="14">
        <v>0</v>
      </c>
      <c r="L142" s="15">
        <v>0</v>
      </c>
      <c r="M142" s="15">
        <v>0</v>
      </c>
      <c r="N142" s="15">
        <v>0</v>
      </c>
      <c r="O142" s="14">
        <v>0</v>
      </c>
      <c r="P142" s="14">
        <v>0</v>
      </c>
      <c r="Q142" s="15">
        <v>0</v>
      </c>
      <c r="R142" s="15">
        <v>0</v>
      </c>
      <c r="S142" s="16">
        <v>0</v>
      </c>
    </row>
    <row r="143" spans="1:19" ht="12.75">
      <c r="A143" s="59"/>
      <c r="B143" s="5" t="s">
        <v>969</v>
      </c>
      <c r="C143" s="363">
        <v>-0.03428788270679914</v>
      </c>
      <c r="D143" s="15">
        <v>0.26470183641599393</v>
      </c>
      <c r="E143" s="15">
        <v>0</v>
      </c>
      <c r="F143" s="15">
        <v>0</v>
      </c>
      <c r="G143" s="15">
        <v>0</v>
      </c>
      <c r="H143" s="15">
        <v>0</v>
      </c>
      <c r="I143" s="15">
        <v>0</v>
      </c>
      <c r="J143" s="14">
        <v>0.06104311090235075</v>
      </c>
      <c r="K143" s="14">
        <v>0</v>
      </c>
      <c r="L143" s="15">
        <v>0</v>
      </c>
      <c r="M143" s="15">
        <v>0</v>
      </c>
      <c r="N143" s="15">
        <v>0</v>
      </c>
      <c r="O143" s="14">
        <v>0</v>
      </c>
      <c r="P143" s="14">
        <v>0</v>
      </c>
      <c r="Q143" s="15">
        <v>0</v>
      </c>
      <c r="R143" s="15">
        <v>0</v>
      </c>
      <c r="S143" s="16">
        <v>0</v>
      </c>
    </row>
    <row r="144" spans="1:19" ht="12.75">
      <c r="A144" s="59"/>
      <c r="B144" s="5" t="s">
        <v>947</v>
      </c>
      <c r="C144" s="14">
        <v>0.05725465813003972</v>
      </c>
      <c r="D144" s="15">
        <v>0.03562572369708089</v>
      </c>
      <c r="E144" s="15">
        <v>0.004685725104127224</v>
      </c>
      <c r="F144" s="15">
        <v>0</v>
      </c>
      <c r="G144" s="15">
        <v>0</v>
      </c>
      <c r="H144" s="15">
        <v>0</v>
      </c>
      <c r="I144" s="15">
        <v>0</v>
      </c>
      <c r="J144" s="14">
        <v>0.0449952406614581</v>
      </c>
      <c r="K144" s="14">
        <v>0</v>
      </c>
      <c r="L144" s="15">
        <v>0</v>
      </c>
      <c r="M144" s="15">
        <v>0</v>
      </c>
      <c r="N144" s="15">
        <v>0</v>
      </c>
      <c r="O144" s="14">
        <v>0</v>
      </c>
      <c r="P144" s="14">
        <v>0</v>
      </c>
      <c r="Q144" s="15">
        <v>0</v>
      </c>
      <c r="R144" s="15">
        <v>0</v>
      </c>
      <c r="S144" s="16">
        <v>0</v>
      </c>
    </row>
    <row r="145" spans="1:19" ht="12.75">
      <c r="A145" s="59"/>
      <c r="B145" s="5" t="s">
        <v>949</v>
      </c>
      <c r="C145" s="14">
        <v>0.052025219483848674</v>
      </c>
      <c r="D145" s="15">
        <v>0.027717381759426753</v>
      </c>
      <c r="E145" s="15">
        <v>0.0026921237668479127</v>
      </c>
      <c r="F145" s="15">
        <v>0</v>
      </c>
      <c r="G145" s="15">
        <v>0</v>
      </c>
      <c r="H145" s="15">
        <v>0</v>
      </c>
      <c r="I145" s="15">
        <v>0</v>
      </c>
      <c r="J145" s="14">
        <v>0.03962508063273519</v>
      </c>
      <c r="K145" s="14">
        <v>0</v>
      </c>
      <c r="L145" s="15">
        <v>0</v>
      </c>
      <c r="M145" s="15">
        <v>0</v>
      </c>
      <c r="N145" s="15">
        <v>0</v>
      </c>
      <c r="O145" s="14">
        <v>0</v>
      </c>
      <c r="P145" s="14">
        <v>0</v>
      </c>
      <c r="Q145" s="15">
        <v>0</v>
      </c>
      <c r="R145" s="15">
        <v>0</v>
      </c>
      <c r="S145" s="16">
        <v>0</v>
      </c>
    </row>
    <row r="146" spans="1:19" ht="12.75">
      <c r="A146" s="59"/>
      <c r="B146" s="5" t="s">
        <v>975</v>
      </c>
      <c r="C146" s="363">
        <v>-0.5229438646191048</v>
      </c>
      <c r="D146" s="15">
        <v>-0.7908341937654138</v>
      </c>
      <c r="E146" s="15">
        <v>-0.19936013372793115</v>
      </c>
      <c r="F146" s="15">
        <v>0</v>
      </c>
      <c r="G146" s="15">
        <v>0</v>
      </c>
      <c r="H146" s="15">
        <v>0</v>
      </c>
      <c r="I146" s="15">
        <v>0</v>
      </c>
      <c r="J146" s="14">
        <v>-0.5370160028722912</v>
      </c>
      <c r="K146" s="14">
        <v>0</v>
      </c>
      <c r="L146" s="15">
        <v>0</v>
      </c>
      <c r="M146" s="15">
        <v>0</v>
      </c>
      <c r="N146" s="15">
        <v>0</v>
      </c>
      <c r="O146" s="14">
        <v>0</v>
      </c>
      <c r="P146" s="14">
        <v>0</v>
      </c>
      <c r="Q146" s="15">
        <v>0</v>
      </c>
      <c r="R146" s="15">
        <v>0</v>
      </c>
      <c r="S146" s="16">
        <v>0</v>
      </c>
    </row>
    <row r="147" spans="1:19" ht="12.75">
      <c r="A147" s="59"/>
      <c r="B147" s="5" t="s">
        <v>951</v>
      </c>
      <c r="C147" s="294">
        <v>3.815644761292356E-05</v>
      </c>
      <c r="D147" s="15">
        <v>0</v>
      </c>
      <c r="E147" s="15">
        <v>0</v>
      </c>
      <c r="F147" s="15">
        <v>0</v>
      </c>
      <c r="G147" s="15">
        <v>0</v>
      </c>
      <c r="H147" s="15">
        <v>0</v>
      </c>
      <c r="I147" s="15">
        <v>0</v>
      </c>
      <c r="J147" s="294">
        <v>2.2490123622854764E-05</v>
      </c>
      <c r="K147" s="14">
        <v>0</v>
      </c>
      <c r="L147" s="15">
        <v>0</v>
      </c>
      <c r="M147" s="15">
        <v>0</v>
      </c>
      <c r="N147" s="15">
        <v>0</v>
      </c>
      <c r="O147" s="14">
        <v>0</v>
      </c>
      <c r="P147" s="14">
        <v>0</v>
      </c>
      <c r="Q147" s="15">
        <v>0</v>
      </c>
      <c r="R147" s="15">
        <v>0</v>
      </c>
      <c r="S147" s="16">
        <v>0</v>
      </c>
    </row>
    <row r="148" spans="1:19" ht="12.75">
      <c r="A148" s="59"/>
      <c r="B148" s="5" t="s">
        <v>953</v>
      </c>
      <c r="C148" s="293">
        <v>0.0001308788602719837</v>
      </c>
      <c r="D148" s="15">
        <v>0</v>
      </c>
      <c r="E148" s="15">
        <v>0</v>
      </c>
      <c r="F148" s="15">
        <v>0</v>
      </c>
      <c r="G148" s="15">
        <v>0</v>
      </c>
      <c r="H148" s="15">
        <v>0</v>
      </c>
      <c r="I148" s="15">
        <v>0</v>
      </c>
      <c r="J148" s="293">
        <v>7.834759694862226E-05</v>
      </c>
      <c r="K148" s="14">
        <v>0</v>
      </c>
      <c r="L148" s="15">
        <v>0</v>
      </c>
      <c r="M148" s="15">
        <v>0</v>
      </c>
      <c r="N148" s="15">
        <v>0</v>
      </c>
      <c r="O148" s="14">
        <v>0</v>
      </c>
      <c r="P148" s="14">
        <v>0</v>
      </c>
      <c r="Q148" s="15">
        <v>0</v>
      </c>
      <c r="R148" s="15">
        <v>0</v>
      </c>
      <c r="S148" s="16">
        <v>0</v>
      </c>
    </row>
    <row r="149" spans="1:19" s="301" customFormat="1" ht="12.75">
      <c r="A149" s="345"/>
      <c r="B149" s="5" t="s">
        <v>977</v>
      </c>
      <c r="C149" s="363">
        <v>0.009272241265906016</v>
      </c>
      <c r="D149" s="15">
        <v>0</v>
      </c>
      <c r="E149" s="15">
        <v>0</v>
      </c>
      <c r="F149" s="15">
        <v>0</v>
      </c>
      <c r="G149" s="15">
        <v>0</v>
      </c>
      <c r="H149" s="15">
        <v>0</v>
      </c>
      <c r="I149" s="15">
        <v>0</v>
      </c>
      <c r="J149" s="14">
        <v>0.00558574733257675</v>
      </c>
      <c r="K149" s="14">
        <v>0</v>
      </c>
      <c r="L149" s="15">
        <v>0</v>
      </c>
      <c r="M149" s="15">
        <v>0</v>
      </c>
      <c r="N149" s="15">
        <v>0</v>
      </c>
      <c r="O149" s="14">
        <v>0</v>
      </c>
      <c r="P149" s="14">
        <v>0</v>
      </c>
      <c r="Q149" s="15">
        <v>0</v>
      </c>
      <c r="R149" s="15">
        <v>0</v>
      </c>
      <c r="S149" s="16">
        <v>0</v>
      </c>
    </row>
    <row r="150" spans="1:19" s="56" customFormat="1" ht="12.75">
      <c r="A150" s="58" t="s">
        <v>391</v>
      </c>
      <c r="B150" s="3" t="s">
        <v>907</v>
      </c>
      <c r="C150" s="11">
        <v>0.9865441747794689</v>
      </c>
      <c r="D150" s="12">
        <v>0.9741162254900544</v>
      </c>
      <c r="E150" s="12">
        <v>0.9661242639893212</v>
      </c>
      <c r="F150" s="12">
        <v>0.9469758387113979</v>
      </c>
      <c r="G150" s="12">
        <v>0.9643733669332452</v>
      </c>
      <c r="H150" s="12">
        <v>0.8712901634197031</v>
      </c>
      <c r="I150" s="12">
        <v>0</v>
      </c>
      <c r="J150" s="11">
        <v>0.9644522149732578</v>
      </c>
      <c r="K150" s="11">
        <v>0.8323608901012857</v>
      </c>
      <c r="L150" s="12">
        <v>0.930251798561151</v>
      </c>
      <c r="M150" s="12">
        <v>0.7870077112546798</v>
      </c>
      <c r="N150" s="12">
        <v>0.8050339284029202</v>
      </c>
      <c r="O150" s="11">
        <v>0.8440714111581032</v>
      </c>
      <c r="P150" s="11">
        <v>0.9254627398412147</v>
      </c>
      <c r="Q150" s="12">
        <v>0.9432643427741467</v>
      </c>
      <c r="R150" s="12">
        <v>0</v>
      </c>
      <c r="S150" s="13">
        <v>0.9259884514675866</v>
      </c>
    </row>
    <row r="151" spans="1:19" ht="12.75">
      <c r="A151" s="59"/>
      <c r="B151" s="5" t="s">
        <v>909</v>
      </c>
      <c r="C151" s="14">
        <v>0.9822101302607521</v>
      </c>
      <c r="D151" s="15">
        <v>0.9664490914686906</v>
      </c>
      <c r="E151" s="15">
        <v>0.9651698759635822</v>
      </c>
      <c r="F151" s="15">
        <v>0.9478642700379943</v>
      </c>
      <c r="G151" s="15">
        <v>0.9595282171314957</v>
      </c>
      <c r="H151" s="15">
        <v>0.8727308519763207</v>
      </c>
      <c r="I151" s="15">
        <v>0.9828595317725752</v>
      </c>
      <c r="J151" s="14">
        <v>0.9616541635436807</v>
      </c>
      <c r="K151" s="14">
        <v>0.8204992671968477</v>
      </c>
      <c r="L151" s="15">
        <v>0.9308045576589743</v>
      </c>
      <c r="M151" s="15">
        <v>0.7541035502072629</v>
      </c>
      <c r="N151" s="15">
        <v>0.7738464576710644</v>
      </c>
      <c r="O151" s="14">
        <v>0.8247724332878417</v>
      </c>
      <c r="P151" s="14">
        <v>0.887911869250342</v>
      </c>
      <c r="Q151" s="15">
        <v>0.8860113833106981</v>
      </c>
      <c r="R151" s="15">
        <v>0</v>
      </c>
      <c r="S151" s="16">
        <v>0.887856668239148</v>
      </c>
    </row>
    <row r="152" spans="1:19" ht="12.75">
      <c r="A152" s="59"/>
      <c r="B152" s="5" t="s">
        <v>955</v>
      </c>
      <c r="C152" s="14">
        <v>-0.4334044518716773</v>
      </c>
      <c r="D152" s="15">
        <v>-0.7667134021363764</v>
      </c>
      <c r="E152" s="15">
        <v>-0.09543880257389947</v>
      </c>
      <c r="F152" s="15">
        <v>0.08884313265964394</v>
      </c>
      <c r="G152" s="15">
        <v>-0.48451498017494377</v>
      </c>
      <c r="H152" s="15">
        <v>0.14406885566176086</v>
      </c>
      <c r="I152" s="15">
        <v>0</v>
      </c>
      <c r="J152" s="14">
        <v>-0.27980514295771197</v>
      </c>
      <c r="K152" s="14">
        <v>-1.186162290443793</v>
      </c>
      <c r="L152" s="15">
        <v>0.05527590978232633</v>
      </c>
      <c r="M152" s="15">
        <v>-3.290416104741689</v>
      </c>
      <c r="N152" s="15">
        <v>-3.1187470731855793</v>
      </c>
      <c r="O152" s="14">
        <v>-1.929897787026158</v>
      </c>
      <c r="P152" s="14">
        <v>-3.75508705908727</v>
      </c>
      <c r="Q152" s="15">
        <v>-5.7252959463448665</v>
      </c>
      <c r="R152" s="15">
        <v>0</v>
      </c>
      <c r="S152" s="16">
        <v>-3.8131783228438576</v>
      </c>
    </row>
    <row r="153" spans="1:19" ht="12.75">
      <c r="A153" s="59"/>
      <c r="B153" s="5" t="s">
        <v>911</v>
      </c>
      <c r="C153" s="14">
        <v>0.011765898210910999</v>
      </c>
      <c r="D153" s="15">
        <v>0.02063706346063232</v>
      </c>
      <c r="E153" s="15">
        <v>0.014105199367788323</v>
      </c>
      <c r="F153" s="15">
        <v>0.02588404714918129</v>
      </c>
      <c r="G153" s="15">
        <v>0.01786883797031756</v>
      </c>
      <c r="H153" s="15">
        <v>0</v>
      </c>
      <c r="I153" s="15">
        <v>0</v>
      </c>
      <c r="J153" s="14">
        <v>0.01725786309407408</v>
      </c>
      <c r="K153" s="14">
        <v>0.1344497486802556</v>
      </c>
      <c r="L153" s="15">
        <v>0.02081160071942446</v>
      </c>
      <c r="M153" s="15">
        <v>0.17707282671505645</v>
      </c>
      <c r="N153" s="15">
        <v>0.1763401933618715</v>
      </c>
      <c r="O153" s="14">
        <v>0.1198554997294921</v>
      </c>
      <c r="P153" s="14">
        <v>0</v>
      </c>
      <c r="Q153" s="15">
        <v>0</v>
      </c>
      <c r="R153" s="15">
        <v>0</v>
      </c>
      <c r="S153" s="16">
        <v>0</v>
      </c>
    </row>
    <row r="154" spans="1:19" ht="12.75">
      <c r="A154" s="59"/>
      <c r="B154" s="5" t="s">
        <v>913</v>
      </c>
      <c r="C154" s="14">
        <v>0.01614123099949817</v>
      </c>
      <c r="D154" s="15">
        <v>0.024735628712957532</v>
      </c>
      <c r="E154" s="15">
        <v>0.015057259778574375</v>
      </c>
      <c r="F154" s="15">
        <v>0.02386979863613242</v>
      </c>
      <c r="G154" s="15">
        <v>0.016438874664729184</v>
      </c>
      <c r="H154" s="15">
        <v>0</v>
      </c>
      <c r="I154" s="15">
        <v>0</v>
      </c>
      <c r="J154" s="14">
        <v>0.018400545952175523</v>
      </c>
      <c r="K154" s="14">
        <v>0.14015521011028087</v>
      </c>
      <c r="L154" s="15">
        <v>0.01955740407164463</v>
      </c>
      <c r="M154" s="15">
        <v>0.20344711051030753</v>
      </c>
      <c r="N154" s="15">
        <v>0.18880635523306555</v>
      </c>
      <c r="O154" s="14">
        <v>0.13199999178274116</v>
      </c>
      <c r="P154" s="14">
        <v>0</v>
      </c>
      <c r="Q154" s="15">
        <v>0</v>
      </c>
      <c r="R154" s="15">
        <v>0</v>
      </c>
      <c r="S154" s="16">
        <v>0</v>
      </c>
    </row>
    <row r="155" spans="1:19" ht="12.75">
      <c r="A155" s="59"/>
      <c r="B155" s="5" t="s">
        <v>963</v>
      </c>
      <c r="C155" s="14">
        <v>0.43753327885871723</v>
      </c>
      <c r="D155" s="15">
        <v>0.40985652523252114</v>
      </c>
      <c r="E155" s="15">
        <v>0.09520604107860521</v>
      </c>
      <c r="F155" s="15">
        <v>-0.20142485130488705</v>
      </c>
      <c r="G155" s="15">
        <v>-0.1429963305588377</v>
      </c>
      <c r="H155" s="15">
        <v>0</v>
      </c>
      <c r="I155" s="15">
        <v>0</v>
      </c>
      <c r="J155" s="14">
        <v>0.11426828581014431</v>
      </c>
      <c r="K155" s="14">
        <v>0.570546143002526</v>
      </c>
      <c r="L155" s="15">
        <v>-0.1254196647779829</v>
      </c>
      <c r="M155" s="15">
        <v>2.6374283795251086</v>
      </c>
      <c r="N155" s="15">
        <v>1.2466161871194037</v>
      </c>
      <c r="O155" s="14">
        <v>1.2144492053249065</v>
      </c>
      <c r="P155" s="14">
        <v>0</v>
      </c>
      <c r="Q155" s="15">
        <v>0</v>
      </c>
      <c r="R155" s="15">
        <v>0</v>
      </c>
      <c r="S155" s="16">
        <v>0</v>
      </c>
    </row>
    <row r="156" spans="1:19" ht="12.75">
      <c r="A156" s="59"/>
      <c r="B156" s="5" t="s">
        <v>917</v>
      </c>
      <c r="C156" s="14">
        <v>0.0016644906670482118</v>
      </c>
      <c r="D156" s="15">
        <v>0.0009134769650595061</v>
      </c>
      <c r="E156" s="15">
        <v>0.017746148995585985</v>
      </c>
      <c r="F156" s="15">
        <v>0.021422075844045017</v>
      </c>
      <c r="G156" s="15">
        <v>0.011254195267760628</v>
      </c>
      <c r="H156" s="15">
        <v>0.12203287830988442</v>
      </c>
      <c r="I156" s="15">
        <v>0</v>
      </c>
      <c r="J156" s="14">
        <v>0.01497853304842719</v>
      </c>
      <c r="K156" s="14">
        <v>0.03318936121845874</v>
      </c>
      <c r="L156" s="15">
        <v>0.034249999999999996</v>
      </c>
      <c r="M156" s="15">
        <v>0.024647296081376377</v>
      </c>
      <c r="N156" s="15">
        <v>0.011124741569370931</v>
      </c>
      <c r="O156" s="14">
        <v>0.0261271833721464</v>
      </c>
      <c r="P156" s="14">
        <v>0.0745372601587852</v>
      </c>
      <c r="Q156" s="15">
        <v>0.0567356572258533</v>
      </c>
      <c r="R156" s="15">
        <v>0</v>
      </c>
      <c r="S156" s="16">
        <v>0.07401154853241347</v>
      </c>
    </row>
    <row r="157" spans="1:19" ht="12.75">
      <c r="A157" s="59"/>
      <c r="B157" s="5" t="s">
        <v>919</v>
      </c>
      <c r="C157" s="14">
        <v>0.0016351187886760072</v>
      </c>
      <c r="D157" s="15">
        <v>0.0011701441919617192</v>
      </c>
      <c r="E157" s="15">
        <v>0.018126447355898866</v>
      </c>
      <c r="F157" s="15">
        <v>0.022858366490533587</v>
      </c>
      <c r="G157" s="15">
        <v>0.016954424922178014</v>
      </c>
      <c r="H157" s="15">
        <v>0.12153915378882686</v>
      </c>
      <c r="I157" s="15">
        <v>0.017140468227424748</v>
      </c>
      <c r="J157" s="14">
        <v>0.016430984226861314</v>
      </c>
      <c r="K157" s="14">
        <v>0.039345522692871386</v>
      </c>
      <c r="L157" s="15">
        <v>0.03672722020188288</v>
      </c>
      <c r="M157" s="15">
        <v>0.03278348398578035</v>
      </c>
      <c r="N157" s="15">
        <v>0.031193262535595293</v>
      </c>
      <c r="O157" s="14">
        <v>0.03464807192292759</v>
      </c>
      <c r="P157" s="14">
        <v>0.11185863134244871</v>
      </c>
      <c r="Q157" s="15">
        <v>0.11398861668930196</v>
      </c>
      <c r="R157" s="15">
        <v>0</v>
      </c>
      <c r="S157" s="16">
        <v>0.11192049833263382</v>
      </c>
    </row>
    <row r="158" spans="1:19" ht="12.75">
      <c r="A158" s="59"/>
      <c r="B158" s="5" t="s">
        <v>965</v>
      </c>
      <c r="C158" s="14">
        <v>-0.0029371878372204657</v>
      </c>
      <c r="D158" s="15">
        <v>0.025666722690221307</v>
      </c>
      <c r="E158" s="15">
        <v>0.038029836031288136</v>
      </c>
      <c r="F158" s="15">
        <v>0.14362906464885708</v>
      </c>
      <c r="G158" s="15">
        <v>0.5700229654417386</v>
      </c>
      <c r="H158" s="15">
        <v>-0.049372452105755915</v>
      </c>
      <c r="I158" s="15">
        <v>0</v>
      </c>
      <c r="J158" s="14">
        <v>0.14524511784341237</v>
      </c>
      <c r="K158" s="14">
        <v>0.6156161474412648</v>
      </c>
      <c r="L158" s="15">
        <v>0.24772202018828876</v>
      </c>
      <c r="M158" s="15">
        <v>0.8136187904403971</v>
      </c>
      <c r="N158" s="15">
        <v>2.0068520966224366</v>
      </c>
      <c r="O158" s="14">
        <v>0.8520888550781193</v>
      </c>
      <c r="P158" s="14">
        <v>3.7321371183663508</v>
      </c>
      <c r="Q158" s="15">
        <v>5.7252959463448665</v>
      </c>
      <c r="R158" s="15">
        <v>0</v>
      </c>
      <c r="S158" s="16">
        <v>3.7908949800220344</v>
      </c>
    </row>
    <row r="159" spans="1:19" ht="12.75">
      <c r="A159" s="59"/>
      <c r="B159" s="5" t="s">
        <v>921</v>
      </c>
      <c r="C159" s="294">
        <v>2.5436342571892445E-05</v>
      </c>
      <c r="D159" s="15">
        <v>0.0031884971280399846</v>
      </c>
      <c r="E159" s="15">
        <v>0.0020243876473045016</v>
      </c>
      <c r="F159" s="15">
        <v>0.001217309367610717</v>
      </c>
      <c r="G159" s="15">
        <v>0.006429155779554967</v>
      </c>
      <c r="H159" s="15">
        <v>0</v>
      </c>
      <c r="I159" s="15">
        <v>0</v>
      </c>
      <c r="J159" s="14">
        <v>0.0016802633180615022</v>
      </c>
      <c r="K159" s="14">
        <v>0</v>
      </c>
      <c r="L159" s="15">
        <v>0.0007778776978417266</v>
      </c>
      <c r="M159" s="15">
        <v>0.003286460546840169</v>
      </c>
      <c r="N159" s="15">
        <v>0.007501136665837401</v>
      </c>
      <c r="O159" s="14">
        <v>0.0028924945221234467</v>
      </c>
      <c r="P159" s="14">
        <v>0</v>
      </c>
      <c r="Q159" s="15">
        <v>0</v>
      </c>
      <c r="R159" s="15">
        <v>0</v>
      </c>
      <c r="S159" s="16">
        <v>0</v>
      </c>
    </row>
    <row r="160" spans="1:19" ht="12.75">
      <c r="A160" s="59"/>
      <c r="B160" s="5" t="s">
        <v>923</v>
      </c>
      <c r="C160" s="14">
        <v>0</v>
      </c>
      <c r="D160" s="15">
        <v>0.006173018739728573</v>
      </c>
      <c r="E160" s="15">
        <v>0.0016464169019446118</v>
      </c>
      <c r="F160" s="15">
        <v>0.00046297354279712196</v>
      </c>
      <c r="G160" s="15">
        <v>0.0070066978027117505</v>
      </c>
      <c r="H160" s="15">
        <v>0</v>
      </c>
      <c r="I160" s="15">
        <v>0</v>
      </c>
      <c r="J160" s="14">
        <v>0.0017221243541723132</v>
      </c>
      <c r="K160" s="14">
        <v>0</v>
      </c>
      <c r="L160" s="15">
        <v>0.001183173027903341</v>
      </c>
      <c r="M160" s="15">
        <v>0.0029175097642463884</v>
      </c>
      <c r="N160" s="15">
        <v>0.006153924560274697</v>
      </c>
      <c r="O160" s="14">
        <v>0.002638424861042729</v>
      </c>
      <c r="P160" s="14">
        <v>0.00022949940720923384</v>
      </c>
      <c r="Q160" s="15">
        <v>0</v>
      </c>
      <c r="R160" s="15">
        <v>0</v>
      </c>
      <c r="S160" s="16">
        <v>0.00022283342821821607</v>
      </c>
    </row>
    <row r="161" spans="1:19" ht="12.75">
      <c r="A161" s="59"/>
      <c r="B161" s="5" t="s">
        <v>971</v>
      </c>
      <c r="C161" s="14">
        <v>-0.0025436342571892446</v>
      </c>
      <c r="D161" s="15">
        <v>0.29845216116885886</v>
      </c>
      <c r="E161" s="15">
        <v>-0.037797074535988975</v>
      </c>
      <c r="F161" s="15">
        <v>-0.0754335824813595</v>
      </c>
      <c r="G161" s="15">
        <v>0.05775420231567832</v>
      </c>
      <c r="H161" s="15">
        <v>0</v>
      </c>
      <c r="I161" s="15">
        <v>0</v>
      </c>
      <c r="J161" s="14">
        <v>0.004186103611081098</v>
      </c>
      <c r="K161" s="14">
        <v>0</v>
      </c>
      <c r="L161" s="15">
        <v>0.040529533006161425</v>
      </c>
      <c r="M161" s="15">
        <v>-0.036895078259378045</v>
      </c>
      <c r="N161" s="15">
        <v>-0.1347212105562704</v>
      </c>
      <c r="O161" s="14">
        <v>-0.02540696610807175</v>
      </c>
      <c r="P161" s="14">
        <v>0</v>
      </c>
      <c r="Q161" s="15">
        <v>0</v>
      </c>
      <c r="R161" s="15">
        <v>0</v>
      </c>
      <c r="S161" s="16">
        <v>0</v>
      </c>
    </row>
    <row r="162" spans="1:19" ht="12.75">
      <c r="A162" s="59"/>
      <c r="B162" s="5" t="s">
        <v>925</v>
      </c>
      <c r="C162" s="14">
        <v>0</v>
      </c>
      <c r="D162" s="15">
        <v>0.0011447369562138114</v>
      </c>
      <c r="E162" s="15">
        <v>0</v>
      </c>
      <c r="F162" s="15">
        <v>0.004216002631251444</v>
      </c>
      <c r="G162" s="15">
        <v>7.444404912174151E-05</v>
      </c>
      <c r="H162" s="15">
        <v>0.0015456094971816456</v>
      </c>
      <c r="I162" s="15">
        <v>0</v>
      </c>
      <c r="J162" s="14">
        <v>0.0013739538748891783</v>
      </c>
      <c r="K162" s="14">
        <v>0</v>
      </c>
      <c r="L162" s="15">
        <v>0.013908723021582735</v>
      </c>
      <c r="M162" s="15">
        <v>0.007985705402047148</v>
      </c>
      <c r="N162" s="15">
        <v>0</v>
      </c>
      <c r="O162" s="14">
        <v>0.007053411218134791</v>
      </c>
      <c r="P162" s="14">
        <v>0</v>
      </c>
      <c r="Q162" s="15">
        <v>0</v>
      </c>
      <c r="R162" s="15">
        <v>0</v>
      </c>
      <c r="S162" s="16">
        <v>0</v>
      </c>
    </row>
    <row r="163" spans="1:19" ht="12.75">
      <c r="A163" s="59"/>
      <c r="B163" s="5" t="s">
        <v>927</v>
      </c>
      <c r="C163" s="294">
        <v>1.3519951073682937E-05</v>
      </c>
      <c r="D163" s="15">
        <v>0.0014721168866615177</v>
      </c>
      <c r="E163" s="15">
        <v>0</v>
      </c>
      <c r="F163" s="15">
        <v>0.004230240890127999</v>
      </c>
      <c r="G163" s="15">
        <v>7.178547888528029E-05</v>
      </c>
      <c r="H163" s="15">
        <v>0.0006327600995542557</v>
      </c>
      <c r="I163" s="15">
        <v>0</v>
      </c>
      <c r="J163" s="14">
        <v>0.0014023935342329355</v>
      </c>
      <c r="K163" s="14">
        <v>0</v>
      </c>
      <c r="L163" s="15">
        <v>0.011727645039594874</v>
      </c>
      <c r="M163" s="15">
        <v>0.006748345532402753</v>
      </c>
      <c r="N163" s="15">
        <v>0</v>
      </c>
      <c r="O163" s="14">
        <v>0.005941078145446851</v>
      </c>
      <c r="P163" s="14">
        <v>0</v>
      </c>
      <c r="Q163" s="15">
        <v>0</v>
      </c>
      <c r="R163" s="15">
        <v>0</v>
      </c>
      <c r="S163" s="16">
        <v>0</v>
      </c>
    </row>
    <row r="164" spans="1:19" ht="12.75">
      <c r="A164" s="59"/>
      <c r="B164" s="5" t="s">
        <v>973</v>
      </c>
      <c r="C164" s="14">
        <v>0</v>
      </c>
      <c r="D164" s="15">
        <v>0.03273799304477063</v>
      </c>
      <c r="E164" s="15">
        <v>0</v>
      </c>
      <c r="F164" s="15">
        <v>0.0014238258876554492</v>
      </c>
      <c r="G164" s="15">
        <v>-0.00026585702364612275</v>
      </c>
      <c r="H164" s="15">
        <v>-0.09128493976273899</v>
      </c>
      <c r="I164" s="15">
        <v>0</v>
      </c>
      <c r="J164" s="14">
        <v>0.002843965934375722</v>
      </c>
      <c r="K164" s="14">
        <v>0</v>
      </c>
      <c r="L164" s="15">
        <v>-0.2181077981987861</v>
      </c>
      <c r="M164" s="15">
        <v>-0.1237359869644395</v>
      </c>
      <c r="N164" s="15">
        <v>0</v>
      </c>
      <c r="O164" s="14">
        <v>-0.11123330726879399</v>
      </c>
      <c r="P164" s="14">
        <v>0</v>
      </c>
      <c r="Q164" s="15">
        <v>0</v>
      </c>
      <c r="R164" s="15">
        <v>0</v>
      </c>
      <c r="S164" s="16">
        <v>0</v>
      </c>
    </row>
    <row r="165" spans="1:19" ht="12.75">
      <c r="A165" s="59"/>
      <c r="B165" s="5" t="s">
        <v>929</v>
      </c>
      <c r="C165" s="14">
        <v>0</v>
      </c>
      <c r="D165" s="15">
        <v>0</v>
      </c>
      <c r="E165" s="15">
        <v>0</v>
      </c>
      <c r="F165" s="297">
        <v>0.00028472629651359185</v>
      </c>
      <c r="G165" s="15">
        <v>0</v>
      </c>
      <c r="H165" s="15">
        <v>0.005131348773230866</v>
      </c>
      <c r="I165" s="15">
        <v>0</v>
      </c>
      <c r="J165" s="14">
        <v>0.00025717169129025366</v>
      </c>
      <c r="K165" s="14">
        <v>0</v>
      </c>
      <c r="L165" s="15">
        <v>0</v>
      </c>
      <c r="M165" s="15">
        <v>0</v>
      </c>
      <c r="N165" s="15">
        <v>0</v>
      </c>
      <c r="O165" s="14">
        <v>0</v>
      </c>
      <c r="P165" s="14">
        <v>0</v>
      </c>
      <c r="Q165" s="15">
        <v>0</v>
      </c>
      <c r="R165" s="15">
        <v>0</v>
      </c>
      <c r="S165" s="16">
        <v>0</v>
      </c>
    </row>
    <row r="166" spans="1:19" ht="12.75">
      <c r="A166" s="59"/>
      <c r="B166" s="5" t="s">
        <v>931</v>
      </c>
      <c r="C166" s="14">
        <v>0</v>
      </c>
      <c r="D166" s="15">
        <v>0</v>
      </c>
      <c r="E166" s="15">
        <v>0</v>
      </c>
      <c r="F166" s="15">
        <v>0.000714350402414572</v>
      </c>
      <c r="G166" s="15">
        <v>0</v>
      </c>
      <c r="H166" s="15">
        <v>0.00509723413529817</v>
      </c>
      <c r="I166" s="15">
        <v>0</v>
      </c>
      <c r="J166" s="14">
        <v>0.0003897883888771436</v>
      </c>
      <c r="K166" s="14">
        <v>0</v>
      </c>
      <c r="L166" s="15">
        <v>0</v>
      </c>
      <c r="M166" s="15">
        <v>0</v>
      </c>
      <c r="N166" s="15">
        <v>0</v>
      </c>
      <c r="O166" s="14">
        <v>0</v>
      </c>
      <c r="P166" s="14">
        <v>0</v>
      </c>
      <c r="Q166" s="15">
        <v>0</v>
      </c>
      <c r="R166" s="15">
        <v>0</v>
      </c>
      <c r="S166" s="16">
        <v>0</v>
      </c>
    </row>
    <row r="167" spans="1:19" ht="12.75">
      <c r="A167" s="59"/>
      <c r="B167" s="5" t="s">
        <v>959</v>
      </c>
      <c r="C167" s="14">
        <v>0</v>
      </c>
      <c r="D167" s="15">
        <v>0</v>
      </c>
      <c r="E167" s="15">
        <v>0</v>
      </c>
      <c r="F167" s="15">
        <v>0.04296241059009802</v>
      </c>
      <c r="G167" s="15">
        <v>0</v>
      </c>
      <c r="H167" s="15">
        <v>-0.0034114637932695403</v>
      </c>
      <c r="I167" s="15">
        <v>0</v>
      </c>
      <c r="J167" s="14">
        <v>0.013261669758688996</v>
      </c>
      <c r="K167" s="14">
        <v>0</v>
      </c>
      <c r="L167" s="15">
        <v>0</v>
      </c>
      <c r="M167" s="15">
        <v>0</v>
      </c>
      <c r="N167" s="15">
        <v>0</v>
      </c>
      <c r="O167" s="14">
        <v>0</v>
      </c>
      <c r="P167" s="14">
        <v>0</v>
      </c>
      <c r="Q167" s="15">
        <v>0</v>
      </c>
      <c r="R167" s="15">
        <v>0</v>
      </c>
      <c r="S167" s="16">
        <v>0</v>
      </c>
    </row>
    <row r="168" spans="1:19" ht="12.75">
      <c r="A168" s="59"/>
      <c r="B168" s="5" t="s">
        <v>915</v>
      </c>
      <c r="C168" s="14">
        <v>0.9304844197832022</v>
      </c>
      <c r="D168" s="15">
        <v>0.9692509883998783</v>
      </c>
      <c r="E168" s="15">
        <v>0.6043995062813858</v>
      </c>
      <c r="F168" s="15">
        <v>0.6465067336495787</v>
      </c>
      <c r="G168" s="15">
        <v>0.8576543209876544</v>
      </c>
      <c r="H168" s="15">
        <v>0</v>
      </c>
      <c r="I168" s="15">
        <v>0</v>
      </c>
      <c r="J168" s="14">
        <v>0.8697436074053524</v>
      </c>
      <c r="K168" s="14">
        <v>0</v>
      </c>
      <c r="L168" s="15">
        <v>0</v>
      </c>
      <c r="M168" s="15">
        <v>0</v>
      </c>
      <c r="N168" s="15">
        <v>0</v>
      </c>
      <c r="O168" s="14">
        <v>0</v>
      </c>
      <c r="P168" s="14">
        <v>0</v>
      </c>
      <c r="Q168" s="15">
        <v>0</v>
      </c>
      <c r="R168" s="15">
        <v>0</v>
      </c>
      <c r="S168" s="16">
        <v>0</v>
      </c>
    </row>
    <row r="169" spans="1:19" ht="12.75">
      <c r="A169" s="59"/>
      <c r="B169" s="5" t="s">
        <v>933</v>
      </c>
      <c r="C169" s="14">
        <v>0.9323921007952819</v>
      </c>
      <c r="D169" s="15">
        <v>0.9656535275183368</v>
      </c>
      <c r="E169" s="15">
        <v>0.6249808585575009</v>
      </c>
      <c r="F169" s="15">
        <v>0.6852257819512532</v>
      </c>
      <c r="G169" s="15">
        <v>0.8642652906957636</v>
      </c>
      <c r="H169" s="15">
        <v>0</v>
      </c>
      <c r="I169" s="15">
        <v>0</v>
      </c>
      <c r="J169" s="14">
        <v>0.8783708676148699</v>
      </c>
      <c r="K169" s="14">
        <v>0</v>
      </c>
      <c r="L169" s="15">
        <v>0</v>
      </c>
      <c r="M169" s="15">
        <v>0</v>
      </c>
      <c r="N169" s="15">
        <v>0</v>
      </c>
      <c r="O169" s="14">
        <v>0</v>
      </c>
      <c r="P169" s="14">
        <v>0</v>
      </c>
      <c r="Q169" s="15">
        <v>0</v>
      </c>
      <c r="R169" s="15">
        <v>0</v>
      </c>
      <c r="S169" s="16">
        <v>0</v>
      </c>
    </row>
    <row r="170" spans="1:19" ht="12.75">
      <c r="A170" s="59"/>
      <c r="B170" s="5" t="s">
        <v>957</v>
      </c>
      <c r="C170" s="14">
        <v>0.19076810120797205</v>
      </c>
      <c r="D170" s="15">
        <v>-0.3597460881541559</v>
      </c>
      <c r="E170" s="15">
        <v>2.0581352276115017</v>
      </c>
      <c r="F170" s="15">
        <v>3.8719048301674497</v>
      </c>
      <c r="G170" s="15">
        <v>0.661096970810926</v>
      </c>
      <c r="H170" s="15">
        <v>0</v>
      </c>
      <c r="I170" s="15">
        <v>0</v>
      </c>
      <c r="J170" s="14">
        <v>0.862726020951754</v>
      </c>
      <c r="K170" s="14">
        <v>0</v>
      </c>
      <c r="L170" s="15">
        <v>0</v>
      </c>
      <c r="M170" s="15">
        <v>0</v>
      </c>
      <c r="N170" s="15">
        <v>0</v>
      </c>
      <c r="O170" s="14">
        <v>0</v>
      </c>
      <c r="P170" s="14">
        <v>0</v>
      </c>
      <c r="Q170" s="15">
        <v>0</v>
      </c>
      <c r="R170" s="15">
        <v>0</v>
      </c>
      <c r="S170" s="16">
        <v>0</v>
      </c>
    </row>
    <row r="171" spans="1:19" ht="12.75">
      <c r="A171" s="59"/>
      <c r="B171" s="5" t="s">
        <v>935</v>
      </c>
      <c r="C171" s="14">
        <v>0.0402612698621802</v>
      </c>
      <c r="D171" s="15">
        <v>0.015130121214754311</v>
      </c>
      <c r="E171" s="15">
        <v>0.18255753005427522</v>
      </c>
      <c r="F171" s="15">
        <v>0.23863511002113016</v>
      </c>
      <c r="G171" s="15">
        <v>0.08330246913580247</v>
      </c>
      <c r="H171" s="15">
        <v>0</v>
      </c>
      <c r="I171" s="15">
        <v>0</v>
      </c>
      <c r="J171" s="14">
        <v>0.07642295034765215</v>
      </c>
      <c r="K171" s="14">
        <v>0</v>
      </c>
      <c r="L171" s="15">
        <v>0</v>
      </c>
      <c r="M171" s="15">
        <v>0</v>
      </c>
      <c r="N171" s="15">
        <v>0</v>
      </c>
      <c r="O171" s="14">
        <v>0</v>
      </c>
      <c r="P171" s="14">
        <v>0</v>
      </c>
      <c r="Q171" s="15">
        <v>0</v>
      </c>
      <c r="R171" s="15">
        <v>0</v>
      </c>
      <c r="S171" s="16">
        <v>0</v>
      </c>
    </row>
    <row r="172" spans="1:19" ht="12.75">
      <c r="A172" s="59"/>
      <c r="B172" s="5" t="s">
        <v>937</v>
      </c>
      <c r="C172" s="14">
        <v>0.036123415499700016</v>
      </c>
      <c r="D172" s="15">
        <v>0.017381668513534905</v>
      </c>
      <c r="E172" s="15">
        <v>0.14314396066220883</v>
      </c>
      <c r="F172" s="15">
        <v>0.18813436442725956</v>
      </c>
      <c r="G172" s="15">
        <v>0.0645479344003681</v>
      </c>
      <c r="H172" s="15">
        <v>0</v>
      </c>
      <c r="I172" s="15">
        <v>0</v>
      </c>
      <c r="J172" s="14">
        <v>0.06310643185006468</v>
      </c>
      <c r="K172" s="14">
        <v>0</v>
      </c>
      <c r="L172" s="15">
        <v>0</v>
      </c>
      <c r="M172" s="15">
        <v>0</v>
      </c>
      <c r="N172" s="15">
        <v>0</v>
      </c>
      <c r="O172" s="14">
        <v>0</v>
      </c>
      <c r="P172" s="14">
        <v>0</v>
      </c>
      <c r="Q172" s="15">
        <v>0</v>
      </c>
      <c r="R172" s="15">
        <v>0</v>
      </c>
      <c r="S172" s="16">
        <v>0</v>
      </c>
    </row>
    <row r="173" spans="1:19" ht="12.75">
      <c r="A173" s="59"/>
      <c r="B173" s="5" t="s">
        <v>961</v>
      </c>
      <c r="C173" s="14">
        <v>-0.4137854362480181</v>
      </c>
      <c r="D173" s="15">
        <v>0.22515472987805935</v>
      </c>
      <c r="E173" s="15">
        <v>-3.941356939206639</v>
      </c>
      <c r="F173" s="15">
        <v>-5.050074559387061</v>
      </c>
      <c r="G173" s="15">
        <v>-1.875453473543437</v>
      </c>
      <c r="H173" s="15">
        <v>0</v>
      </c>
      <c r="I173" s="15">
        <v>0</v>
      </c>
      <c r="J173" s="14">
        <v>-1.331651849758747</v>
      </c>
      <c r="K173" s="14">
        <v>0</v>
      </c>
      <c r="L173" s="15">
        <v>0</v>
      </c>
      <c r="M173" s="15">
        <v>0</v>
      </c>
      <c r="N173" s="15">
        <v>0</v>
      </c>
      <c r="O173" s="14">
        <v>0</v>
      </c>
      <c r="P173" s="14">
        <v>0</v>
      </c>
      <c r="Q173" s="15">
        <v>0</v>
      </c>
      <c r="R173" s="15">
        <v>0</v>
      </c>
      <c r="S173" s="16">
        <v>0</v>
      </c>
    </row>
    <row r="174" spans="1:19" ht="12.75">
      <c r="A174" s="59"/>
      <c r="B174" s="5" t="s">
        <v>939</v>
      </c>
      <c r="C174" s="14">
        <v>0.027183694709366046</v>
      </c>
      <c r="D174" s="15">
        <v>0.0017432767085197897</v>
      </c>
      <c r="E174" s="15">
        <v>0.19302267385827568</v>
      </c>
      <c r="F174" s="15">
        <v>0.08885532200168023</v>
      </c>
      <c r="G174" s="15">
        <v>0.04398148148148148</v>
      </c>
      <c r="H174" s="15">
        <v>0</v>
      </c>
      <c r="I174" s="15">
        <v>0</v>
      </c>
      <c r="J174" s="14">
        <v>0.0435624175312968</v>
      </c>
      <c r="K174" s="14">
        <v>0</v>
      </c>
      <c r="L174" s="15">
        <v>0</v>
      </c>
      <c r="M174" s="15">
        <v>0</v>
      </c>
      <c r="N174" s="15">
        <v>0</v>
      </c>
      <c r="O174" s="14">
        <v>0</v>
      </c>
      <c r="P174" s="14">
        <v>0</v>
      </c>
      <c r="Q174" s="15">
        <v>0</v>
      </c>
      <c r="R174" s="15">
        <v>0</v>
      </c>
      <c r="S174" s="16">
        <v>0</v>
      </c>
    </row>
    <row r="175" spans="1:19" ht="12.75">
      <c r="A175" s="59"/>
      <c r="B175" s="5" t="s">
        <v>941</v>
      </c>
      <c r="C175" s="14">
        <v>0.029909238290973614</v>
      </c>
      <c r="D175" s="15">
        <v>0.0027069811619439606</v>
      </c>
      <c r="E175" s="15">
        <v>0.2224490837629524</v>
      </c>
      <c r="F175" s="15">
        <v>0.10291376096112684</v>
      </c>
      <c r="G175" s="15">
        <v>0.06504091760607356</v>
      </c>
      <c r="H175" s="15">
        <v>0</v>
      </c>
      <c r="I175" s="15">
        <v>0</v>
      </c>
      <c r="J175" s="14">
        <v>0.0498627042742913</v>
      </c>
      <c r="K175" s="14">
        <v>0</v>
      </c>
      <c r="L175" s="15">
        <v>0</v>
      </c>
      <c r="M175" s="15">
        <v>0</v>
      </c>
      <c r="N175" s="15">
        <v>0</v>
      </c>
      <c r="O175" s="14">
        <v>0</v>
      </c>
      <c r="P175" s="14">
        <v>0</v>
      </c>
      <c r="Q175" s="15">
        <v>0</v>
      </c>
      <c r="R175" s="15">
        <v>0</v>
      </c>
      <c r="S175" s="16">
        <v>0</v>
      </c>
    </row>
    <row r="176" spans="1:19" ht="12.75">
      <c r="A176" s="59"/>
      <c r="B176" s="5" t="s">
        <v>967</v>
      </c>
      <c r="C176" s="14">
        <v>0.2725543581607568</v>
      </c>
      <c r="D176" s="15">
        <v>0.0963704453424171</v>
      </c>
      <c r="E176" s="15">
        <v>2.942640990467671</v>
      </c>
      <c r="F176" s="15">
        <v>1.405843895944661</v>
      </c>
      <c r="G176" s="15">
        <v>2.1059436124592072</v>
      </c>
      <c r="H176" s="15">
        <v>0</v>
      </c>
      <c r="I176" s="15">
        <v>0</v>
      </c>
      <c r="J176" s="14">
        <v>0.6300286742994501</v>
      </c>
      <c r="K176" s="14">
        <v>0</v>
      </c>
      <c r="L176" s="15">
        <v>0</v>
      </c>
      <c r="M176" s="15">
        <v>0</v>
      </c>
      <c r="N176" s="15">
        <v>0</v>
      </c>
      <c r="O176" s="14">
        <v>0</v>
      </c>
      <c r="P176" s="14">
        <v>0</v>
      </c>
      <c r="Q176" s="15">
        <v>0</v>
      </c>
      <c r="R176" s="15">
        <v>0</v>
      </c>
      <c r="S176" s="16">
        <v>0</v>
      </c>
    </row>
    <row r="177" spans="1:19" ht="12.75">
      <c r="A177" s="59"/>
      <c r="B177" s="5" t="s">
        <v>943</v>
      </c>
      <c r="C177" s="14">
        <v>0.001291358748141637</v>
      </c>
      <c r="D177" s="297">
        <v>8.406829734544033E-05</v>
      </c>
      <c r="E177" s="15">
        <v>0.019842754003009652</v>
      </c>
      <c r="F177" s="15">
        <v>0.019959097427890125</v>
      </c>
      <c r="G177" s="15">
        <v>0.015061728395061728</v>
      </c>
      <c r="H177" s="15">
        <v>0</v>
      </c>
      <c r="I177" s="15">
        <v>0</v>
      </c>
      <c r="J177" s="14">
        <v>0.005749451137186517</v>
      </c>
      <c r="K177" s="14">
        <v>0</v>
      </c>
      <c r="L177" s="15">
        <v>0</v>
      </c>
      <c r="M177" s="15">
        <v>0</v>
      </c>
      <c r="N177" s="15">
        <v>0</v>
      </c>
      <c r="O177" s="14">
        <v>0</v>
      </c>
      <c r="P177" s="14">
        <v>0</v>
      </c>
      <c r="Q177" s="15">
        <v>0</v>
      </c>
      <c r="R177" s="15">
        <v>0</v>
      </c>
      <c r="S177" s="16">
        <v>0</v>
      </c>
    </row>
    <row r="178" spans="1:19" ht="12.75">
      <c r="A178" s="59"/>
      <c r="B178" s="5" t="s">
        <v>945</v>
      </c>
      <c r="C178" s="14">
        <v>0.0010620779452876674</v>
      </c>
      <c r="D178" s="15">
        <v>0.0006965331644768086</v>
      </c>
      <c r="E178" s="15">
        <v>0.008677453932928385</v>
      </c>
      <c r="F178" s="15">
        <v>0.01273044258786163</v>
      </c>
      <c r="G178" s="15">
        <v>0.006112991750747691</v>
      </c>
      <c r="H178" s="15">
        <v>0</v>
      </c>
      <c r="I178" s="15">
        <v>0</v>
      </c>
      <c r="J178" s="14">
        <v>0.003458148014839894</v>
      </c>
      <c r="K178" s="14">
        <v>0</v>
      </c>
      <c r="L178" s="15">
        <v>0</v>
      </c>
      <c r="M178" s="15">
        <v>0</v>
      </c>
      <c r="N178" s="15">
        <v>0</v>
      </c>
      <c r="O178" s="14">
        <v>0</v>
      </c>
      <c r="P178" s="14">
        <v>0</v>
      </c>
      <c r="Q178" s="15">
        <v>0</v>
      </c>
      <c r="R178" s="15">
        <v>0</v>
      </c>
      <c r="S178" s="16">
        <v>0</v>
      </c>
    </row>
    <row r="179" spans="1:19" ht="12.75">
      <c r="A179" s="59"/>
      <c r="B179" s="5" t="s">
        <v>969</v>
      </c>
      <c r="C179" s="14">
        <v>-0.02292808028539696</v>
      </c>
      <c r="D179" s="15">
        <v>0.06124648671313683</v>
      </c>
      <c r="E179" s="15">
        <v>-1.1165300070081268</v>
      </c>
      <c r="F179" s="15">
        <v>-0.7228654840028494</v>
      </c>
      <c r="G179" s="15">
        <v>-0.8948736644314037</v>
      </c>
      <c r="H179" s="15">
        <v>0</v>
      </c>
      <c r="I179" s="15">
        <v>0</v>
      </c>
      <c r="J179" s="14">
        <v>-0.22913031223466235</v>
      </c>
      <c r="K179" s="14">
        <v>0</v>
      </c>
      <c r="L179" s="15">
        <v>0</v>
      </c>
      <c r="M179" s="15">
        <v>0</v>
      </c>
      <c r="N179" s="15">
        <v>0</v>
      </c>
      <c r="O179" s="14">
        <v>0</v>
      </c>
      <c r="P179" s="14">
        <v>0</v>
      </c>
      <c r="Q179" s="15">
        <v>0</v>
      </c>
      <c r="R179" s="15">
        <v>0</v>
      </c>
      <c r="S179" s="16">
        <v>0</v>
      </c>
    </row>
    <row r="180" spans="1:19" ht="12.75">
      <c r="A180" s="59"/>
      <c r="B180" s="5" t="s">
        <v>947</v>
      </c>
      <c r="C180" s="14">
        <v>0.0007792568971099759</v>
      </c>
      <c r="D180" s="15">
        <v>0.013791545379502107</v>
      </c>
      <c r="E180" s="297">
        <v>0.0001775358030536158</v>
      </c>
      <c r="F180" s="15">
        <v>0.004675367656418395</v>
      </c>
      <c r="G180" s="15">
        <v>0</v>
      </c>
      <c r="H180" s="15">
        <v>0</v>
      </c>
      <c r="I180" s="15">
        <v>0</v>
      </c>
      <c r="J180" s="14">
        <v>0.004317400030616535</v>
      </c>
      <c r="K180" s="14">
        <v>0</v>
      </c>
      <c r="L180" s="15">
        <v>0</v>
      </c>
      <c r="M180" s="15">
        <v>0</v>
      </c>
      <c r="N180" s="15">
        <v>0</v>
      </c>
      <c r="O180" s="14">
        <v>0</v>
      </c>
      <c r="P180" s="14">
        <v>0</v>
      </c>
      <c r="Q180" s="15">
        <v>0</v>
      </c>
      <c r="R180" s="15">
        <v>0</v>
      </c>
      <c r="S180" s="16">
        <v>0</v>
      </c>
    </row>
    <row r="181" spans="1:19" ht="12.75">
      <c r="A181" s="59"/>
      <c r="B181" s="5" t="s">
        <v>949</v>
      </c>
      <c r="C181" s="14">
        <v>0.0005131674687567816</v>
      </c>
      <c r="D181" s="15">
        <v>0.013561289641707561</v>
      </c>
      <c r="E181" s="15">
        <v>0</v>
      </c>
      <c r="F181" s="15">
        <v>0.007940343851412</v>
      </c>
      <c r="G181" s="15">
        <v>0</v>
      </c>
      <c r="H181" s="15">
        <v>0</v>
      </c>
      <c r="I181" s="15">
        <v>0</v>
      </c>
      <c r="J181" s="14">
        <v>0.004694381876709838</v>
      </c>
      <c r="K181" s="14">
        <v>0</v>
      </c>
      <c r="L181" s="15">
        <v>0</v>
      </c>
      <c r="M181" s="15">
        <v>0</v>
      </c>
      <c r="N181" s="15">
        <v>0</v>
      </c>
      <c r="O181" s="14">
        <v>0</v>
      </c>
      <c r="P181" s="14">
        <v>0</v>
      </c>
      <c r="Q181" s="15">
        <v>0</v>
      </c>
      <c r="R181" s="15">
        <v>0</v>
      </c>
      <c r="S181" s="16">
        <v>0</v>
      </c>
    </row>
    <row r="182" spans="1:19" ht="12.75">
      <c r="A182" s="59"/>
      <c r="B182" s="5" t="s">
        <v>975</v>
      </c>
      <c r="C182" s="14">
        <v>-0.026608942835319435</v>
      </c>
      <c r="D182" s="15">
        <v>-0.023025573779454633</v>
      </c>
      <c r="E182" s="15">
        <v>-0.01775358030536158</v>
      </c>
      <c r="F182" s="15">
        <v>0.32649761949936057</v>
      </c>
      <c r="G182" s="15">
        <v>0</v>
      </c>
      <c r="H182" s="15">
        <v>0</v>
      </c>
      <c r="I182" s="15">
        <v>0</v>
      </c>
      <c r="J182" s="14">
        <v>0.037698184609330235</v>
      </c>
      <c r="K182" s="14">
        <v>0</v>
      </c>
      <c r="L182" s="15">
        <v>0</v>
      </c>
      <c r="M182" s="15">
        <v>0</v>
      </c>
      <c r="N182" s="15">
        <v>0</v>
      </c>
      <c r="O182" s="14">
        <v>0</v>
      </c>
      <c r="P182" s="14">
        <v>0</v>
      </c>
      <c r="Q182" s="15">
        <v>0</v>
      </c>
      <c r="R182" s="15">
        <v>0</v>
      </c>
      <c r="S182" s="16">
        <v>0</v>
      </c>
    </row>
    <row r="183" spans="1:19" ht="12.75">
      <c r="A183" s="59"/>
      <c r="B183" s="5" t="s">
        <v>951</v>
      </c>
      <c r="C183" s="14">
        <v>0</v>
      </c>
      <c r="D183" s="15">
        <v>0</v>
      </c>
      <c r="E183" s="15">
        <v>0</v>
      </c>
      <c r="F183" s="15">
        <v>0.001368369243302416</v>
      </c>
      <c r="G183" s="15">
        <v>0</v>
      </c>
      <c r="H183" s="15">
        <v>0</v>
      </c>
      <c r="I183" s="15">
        <v>0</v>
      </c>
      <c r="J183" s="14">
        <v>0.000204173547895569</v>
      </c>
      <c r="K183" s="14">
        <v>0</v>
      </c>
      <c r="L183" s="15">
        <v>0</v>
      </c>
      <c r="M183" s="15">
        <v>0</v>
      </c>
      <c r="N183" s="15">
        <v>0</v>
      </c>
      <c r="O183" s="14">
        <v>0</v>
      </c>
      <c r="P183" s="14">
        <v>0</v>
      </c>
      <c r="Q183" s="15">
        <v>0</v>
      </c>
      <c r="R183" s="15">
        <v>0</v>
      </c>
      <c r="S183" s="16">
        <v>0</v>
      </c>
    </row>
    <row r="184" spans="1:19" ht="12.75">
      <c r="A184" s="59"/>
      <c r="B184" s="5" t="s">
        <v>953</v>
      </c>
      <c r="C184" s="14">
        <v>0</v>
      </c>
      <c r="D184" s="15">
        <v>0</v>
      </c>
      <c r="E184" s="15">
        <v>0.0007486430844095078</v>
      </c>
      <c r="F184" s="15">
        <v>0.0030553062210867915</v>
      </c>
      <c r="G184" s="15">
        <v>3.28655470470306E-05</v>
      </c>
      <c r="H184" s="15">
        <v>0</v>
      </c>
      <c r="I184" s="15">
        <v>0</v>
      </c>
      <c r="J184" s="14">
        <v>0.0005074663692243905</v>
      </c>
      <c r="K184" s="14">
        <v>0</v>
      </c>
      <c r="L184" s="15">
        <v>0</v>
      </c>
      <c r="M184" s="15">
        <v>0</v>
      </c>
      <c r="N184" s="15">
        <v>0</v>
      </c>
      <c r="O184" s="14">
        <v>0</v>
      </c>
      <c r="P184" s="14">
        <v>0</v>
      </c>
      <c r="Q184" s="15">
        <v>0</v>
      </c>
      <c r="R184" s="15">
        <v>0</v>
      </c>
      <c r="S184" s="16">
        <v>0</v>
      </c>
    </row>
    <row r="185" spans="1:19" s="301" customFormat="1" ht="13.5" thickBot="1">
      <c r="A185" s="345"/>
      <c r="B185" s="5" t="s">
        <v>977</v>
      </c>
      <c r="C185" s="14">
        <v>0</v>
      </c>
      <c r="D185" s="15">
        <v>0</v>
      </c>
      <c r="E185" s="15">
        <v>0</v>
      </c>
      <c r="F185" s="15">
        <v>0.16869369777843757</v>
      </c>
      <c r="G185" s="15">
        <v>0</v>
      </c>
      <c r="H185" s="15">
        <v>0</v>
      </c>
      <c r="I185" s="15">
        <v>0</v>
      </c>
      <c r="J185" s="14">
        <v>0.03032928213288215</v>
      </c>
      <c r="K185" s="14">
        <v>0</v>
      </c>
      <c r="L185" s="15">
        <v>0</v>
      </c>
      <c r="M185" s="15">
        <v>0</v>
      </c>
      <c r="N185" s="15">
        <v>0</v>
      </c>
      <c r="O185" s="14">
        <v>0</v>
      </c>
      <c r="P185" s="14">
        <v>0</v>
      </c>
      <c r="Q185" s="15">
        <v>0</v>
      </c>
      <c r="R185" s="15">
        <v>0</v>
      </c>
      <c r="S185" s="16">
        <v>0</v>
      </c>
    </row>
    <row r="186" spans="1:19" s="56" customFormat="1" ht="12.75">
      <c r="A186" s="58" t="s">
        <v>457</v>
      </c>
      <c r="B186" s="3" t="s">
        <v>907</v>
      </c>
      <c r="C186" s="11">
        <v>0.9836407128623408</v>
      </c>
      <c r="D186" s="291">
        <v>0.8857075064650028</v>
      </c>
      <c r="E186" s="12">
        <v>0.8794423578814581</v>
      </c>
      <c r="F186" s="12">
        <v>0.9338448524693772</v>
      </c>
      <c r="G186" s="12">
        <v>0.9435547208468499</v>
      </c>
      <c r="H186" s="12">
        <v>0</v>
      </c>
      <c r="I186" s="12">
        <v>0</v>
      </c>
      <c r="J186" s="11">
        <v>0.9148809197083485</v>
      </c>
      <c r="K186" s="11">
        <v>0</v>
      </c>
      <c r="L186" s="291">
        <v>0.911912133432739</v>
      </c>
      <c r="M186" s="12">
        <v>0.7691392182631897</v>
      </c>
      <c r="N186" s="291">
        <v>0.6844919743762686</v>
      </c>
      <c r="O186" s="11">
        <v>0.8130007510774514</v>
      </c>
      <c r="P186" s="11">
        <v>0.9729349147834107</v>
      </c>
      <c r="Q186" s="12">
        <v>0.984437627811861</v>
      </c>
      <c r="R186" s="12">
        <v>0</v>
      </c>
      <c r="S186" s="13">
        <v>0.978066220976818</v>
      </c>
    </row>
    <row r="187" spans="1:19" ht="12.75">
      <c r="A187" s="59"/>
      <c r="B187" s="5" t="s">
        <v>909</v>
      </c>
      <c r="C187" s="14">
        <v>0.9775472002132489</v>
      </c>
      <c r="D187" s="292">
        <v>0.6298245709898721</v>
      </c>
      <c r="E187" s="15">
        <v>0.8743336971706923</v>
      </c>
      <c r="F187" s="15">
        <v>0.9203420070000292</v>
      </c>
      <c r="G187" s="15">
        <v>0.9080117417166665</v>
      </c>
      <c r="H187" s="15">
        <v>0</v>
      </c>
      <c r="I187" s="15">
        <v>0</v>
      </c>
      <c r="J187" s="14">
        <v>0.8694209188600261</v>
      </c>
      <c r="K187" s="14">
        <v>0</v>
      </c>
      <c r="L187" s="292">
        <v>0.6713750002628983</v>
      </c>
      <c r="M187" s="15">
        <v>0.736861704882285</v>
      </c>
      <c r="N187" s="292">
        <v>0.631457906762812</v>
      </c>
      <c r="O187" s="14">
        <v>0.7027316725985077</v>
      </c>
      <c r="P187" s="14">
        <v>0.9296892193997521</v>
      </c>
      <c r="Q187" s="15">
        <v>0.9590037389058395</v>
      </c>
      <c r="R187" s="15">
        <v>0</v>
      </c>
      <c r="S187" s="16">
        <v>0.942641101983946</v>
      </c>
    </row>
    <row r="188" spans="1:19" ht="13.5" thickBot="1">
      <c r="A188" s="59"/>
      <c r="B188" s="5" t="s">
        <v>955</v>
      </c>
      <c r="C188" s="14">
        <v>-0.6093512649091859</v>
      </c>
      <c r="D188" s="295">
        <v>-25.588293547513075</v>
      </c>
      <c r="E188" s="15">
        <v>-0.5108660710765767</v>
      </c>
      <c r="F188" s="15">
        <v>-1.350284546934799</v>
      </c>
      <c r="G188" s="15">
        <v>-3.554297913018334</v>
      </c>
      <c r="H188" s="15">
        <v>0</v>
      </c>
      <c r="I188" s="15">
        <v>0</v>
      </c>
      <c r="J188" s="14">
        <v>-4.546000084832236</v>
      </c>
      <c r="K188" s="14">
        <v>0</v>
      </c>
      <c r="L188" s="295">
        <v>-24.053713316984073</v>
      </c>
      <c r="M188" s="15">
        <v>-3.2277513380904677</v>
      </c>
      <c r="N188" s="295">
        <v>-5.303406761345664</v>
      </c>
      <c r="O188" s="14">
        <v>-11.026907847894375</v>
      </c>
      <c r="P188" s="14">
        <v>-4.324569538365852</v>
      </c>
      <c r="Q188" s="15">
        <v>-2.5433888906021496</v>
      </c>
      <c r="R188" s="15">
        <v>0</v>
      </c>
      <c r="S188" s="16">
        <v>-3.542511899287193</v>
      </c>
    </row>
    <row r="189" spans="1:19" ht="12.75">
      <c r="A189" s="59"/>
      <c r="B189" s="5" t="s">
        <v>911</v>
      </c>
      <c r="C189" s="14">
        <v>0.0054013279441069454</v>
      </c>
      <c r="D189" s="15">
        <v>0.014049994138774058</v>
      </c>
      <c r="E189" s="15">
        <v>0.07979960960431635</v>
      </c>
      <c r="F189" s="15">
        <v>0.04421583230085341</v>
      </c>
      <c r="G189" s="15">
        <v>0</v>
      </c>
      <c r="H189" s="15">
        <v>0</v>
      </c>
      <c r="I189" s="15">
        <v>0</v>
      </c>
      <c r="J189" s="14">
        <v>0.04541918400481381</v>
      </c>
      <c r="K189" s="14">
        <v>0</v>
      </c>
      <c r="L189" s="15">
        <v>0.03339041279840493</v>
      </c>
      <c r="M189" s="15">
        <v>0.15563344111072028</v>
      </c>
      <c r="N189" s="15">
        <v>0.15718047124613285</v>
      </c>
      <c r="O189" s="14">
        <v>0.11103092695921242</v>
      </c>
      <c r="P189" s="14">
        <v>2.744937648741309E-05</v>
      </c>
      <c r="Q189" s="15">
        <v>0.00022494887525562372</v>
      </c>
      <c r="R189" s="15">
        <v>0</v>
      </c>
      <c r="S189" s="16">
        <v>0.00011555297419671678</v>
      </c>
    </row>
    <row r="190" spans="1:19" ht="12.75">
      <c r="A190" s="59"/>
      <c r="B190" s="5" t="s">
        <v>913</v>
      </c>
      <c r="C190" s="14">
        <v>0.006604349720210304</v>
      </c>
      <c r="D190" s="15">
        <v>0.015252023813101577</v>
      </c>
      <c r="E190" s="15">
        <v>0.08387149231629704</v>
      </c>
      <c r="F190" s="15">
        <v>0.048686275847949226</v>
      </c>
      <c r="G190" s="15">
        <v>0</v>
      </c>
      <c r="H190" s="15">
        <v>0</v>
      </c>
      <c r="I190" s="15">
        <v>0</v>
      </c>
      <c r="J190" s="14">
        <v>0.04847467834031835</v>
      </c>
      <c r="K190" s="14">
        <v>0</v>
      </c>
      <c r="L190" s="15">
        <v>0.044509736702077314</v>
      </c>
      <c r="M190" s="15">
        <v>0.1332212489120563</v>
      </c>
      <c r="N190" s="15">
        <v>0.1271922015490074</v>
      </c>
      <c r="O190" s="14">
        <v>0.10086199486584527</v>
      </c>
      <c r="P190" s="14">
        <v>0.0014189572691153814</v>
      </c>
      <c r="Q190" s="15">
        <v>0.0015219029640523593</v>
      </c>
      <c r="R190" s="15">
        <v>0</v>
      </c>
      <c r="S190" s="16">
        <v>0.0014644412332340873</v>
      </c>
    </row>
    <row r="191" spans="1:19" ht="13.5" thickBot="1">
      <c r="A191" s="59"/>
      <c r="B191" s="5" t="s">
        <v>963</v>
      </c>
      <c r="C191" s="14">
        <v>0.1203021776103359</v>
      </c>
      <c r="D191" s="15">
        <v>0.12020296743275194</v>
      </c>
      <c r="E191" s="15">
        <v>0.40718827119806816</v>
      </c>
      <c r="F191" s="15">
        <v>0.44704435470958176</v>
      </c>
      <c r="G191" s="15">
        <v>0</v>
      </c>
      <c r="H191" s="15">
        <v>0</v>
      </c>
      <c r="I191" s="15">
        <v>0</v>
      </c>
      <c r="J191" s="14">
        <v>0.30554943355045394</v>
      </c>
      <c r="K191" s="14">
        <v>0</v>
      </c>
      <c r="L191" s="15">
        <v>1.1119323903672387</v>
      </c>
      <c r="M191" s="15">
        <v>-2.241219219866397</v>
      </c>
      <c r="N191" s="15">
        <v>-2.998826969712545</v>
      </c>
      <c r="O191" s="14">
        <v>-1.0168932093367153</v>
      </c>
      <c r="P191" s="14">
        <v>0.13915078926279684</v>
      </c>
      <c r="Q191" s="15">
        <v>0.12969540887967354</v>
      </c>
      <c r="R191" s="15">
        <v>0</v>
      </c>
      <c r="S191" s="16">
        <v>0.13488882590373705</v>
      </c>
    </row>
    <row r="192" spans="1:19" ht="12.75">
      <c r="A192" s="59"/>
      <c r="B192" s="5" t="s">
        <v>917</v>
      </c>
      <c r="C192" s="14">
        <v>0.0072669845342111</v>
      </c>
      <c r="D192" s="291">
        <v>0.09714946691090795</v>
      </c>
      <c r="E192" s="15">
        <v>0.01948362713445852</v>
      </c>
      <c r="F192" s="15">
        <v>0.010892582908298441</v>
      </c>
      <c r="G192" s="15">
        <v>0.03877411644186444</v>
      </c>
      <c r="H192" s="15">
        <v>0</v>
      </c>
      <c r="I192" s="15">
        <v>0</v>
      </c>
      <c r="J192" s="14">
        <v>0.026957580780089713</v>
      </c>
      <c r="K192" s="14">
        <v>0</v>
      </c>
      <c r="L192" s="291">
        <v>0.047684629151779095</v>
      </c>
      <c r="M192" s="15">
        <v>0.04919888092045911</v>
      </c>
      <c r="N192" s="15">
        <v>0.14167149565707518</v>
      </c>
      <c r="O192" s="14">
        <v>0.05783327842633069</v>
      </c>
      <c r="P192" s="14">
        <v>0.027037635840101895</v>
      </c>
      <c r="Q192" s="15">
        <v>0.015337423312883436</v>
      </c>
      <c r="R192" s="15">
        <v>0</v>
      </c>
      <c r="S192" s="16">
        <v>0.02181822604898534</v>
      </c>
    </row>
    <row r="193" spans="1:19" ht="12.75">
      <c r="A193" s="59"/>
      <c r="B193" s="5" t="s">
        <v>919</v>
      </c>
      <c r="C193" s="14">
        <v>0.010553034718589056</v>
      </c>
      <c r="D193" s="292">
        <v>0.3529808724731365</v>
      </c>
      <c r="E193" s="15">
        <v>0.02238905629787685</v>
      </c>
      <c r="F193" s="15">
        <v>0.01656413606184984</v>
      </c>
      <c r="G193" s="15">
        <v>0.06451057529246688</v>
      </c>
      <c r="H193" s="15">
        <v>0</v>
      </c>
      <c r="I193" s="15">
        <v>0</v>
      </c>
      <c r="J193" s="14">
        <v>0.0690465150580491</v>
      </c>
      <c r="K193" s="14">
        <v>0</v>
      </c>
      <c r="L193" s="292">
        <v>0.28122758791845526</v>
      </c>
      <c r="M193" s="15">
        <v>0.10838508780673332</v>
      </c>
      <c r="N193" s="15">
        <v>0.22299623134217633</v>
      </c>
      <c r="O193" s="14">
        <v>0.18186914483792851</v>
      </c>
      <c r="P193" s="14">
        <v>0.0688918233311325</v>
      </c>
      <c r="Q193" s="15">
        <v>0.03947435813010807</v>
      </c>
      <c r="R193" s="15">
        <v>0</v>
      </c>
      <c r="S193" s="16">
        <v>0.055894456782819804</v>
      </c>
    </row>
    <row r="194" spans="1:19" ht="13.5" thickBot="1">
      <c r="A194" s="59"/>
      <c r="B194" s="5" t="s">
        <v>965</v>
      </c>
      <c r="C194" s="14">
        <v>0.3286050184377956</v>
      </c>
      <c r="D194" s="295">
        <v>25.58314055622285</v>
      </c>
      <c r="E194" s="15">
        <v>0.2905429163418328</v>
      </c>
      <c r="F194" s="15">
        <v>0.56715531535514</v>
      </c>
      <c r="G194" s="15">
        <v>2.5736458850602446</v>
      </c>
      <c r="H194" s="15">
        <v>0</v>
      </c>
      <c r="I194" s="15">
        <v>0</v>
      </c>
      <c r="J194" s="14">
        <v>4.208893427795939</v>
      </c>
      <c r="K194" s="14">
        <v>0</v>
      </c>
      <c r="L194" s="295">
        <v>23.354295876667617</v>
      </c>
      <c r="M194" s="15">
        <v>5.9186206886274215</v>
      </c>
      <c r="N194" s="15">
        <v>8.132473568510115</v>
      </c>
      <c r="O194" s="14">
        <v>12.403586641159784</v>
      </c>
      <c r="P194" s="14">
        <v>4.185418749103061</v>
      </c>
      <c r="Q194" s="15">
        <v>2.4136934817224636</v>
      </c>
      <c r="R194" s="15">
        <v>0</v>
      </c>
      <c r="S194" s="16">
        <v>3.4076230733834465</v>
      </c>
    </row>
    <row r="195" spans="1:19" ht="12.75">
      <c r="A195" s="59"/>
      <c r="B195" s="5" t="s">
        <v>921</v>
      </c>
      <c r="C195" s="14">
        <v>0.0016579132076385023</v>
      </c>
      <c r="D195" s="15">
        <v>0</v>
      </c>
      <c r="E195" s="15">
        <v>0.011344273853482603</v>
      </c>
      <c r="F195" s="15">
        <v>0.008162211427481372</v>
      </c>
      <c r="G195" s="15">
        <v>0.003124466450401229</v>
      </c>
      <c r="H195" s="15">
        <v>0</v>
      </c>
      <c r="I195" s="15">
        <v>0</v>
      </c>
      <c r="J195" s="14">
        <v>0.00682451592614038</v>
      </c>
      <c r="K195" s="14">
        <v>0</v>
      </c>
      <c r="L195" s="15">
        <v>0.0030874476025550403</v>
      </c>
      <c r="M195" s="15">
        <v>0.014668418969016331</v>
      </c>
      <c r="N195" s="15">
        <v>0.01318868527965396</v>
      </c>
      <c r="O195" s="14">
        <v>0.010281296912841976</v>
      </c>
      <c r="P195" s="14">
        <v>0</v>
      </c>
      <c r="Q195" s="15">
        <v>0</v>
      </c>
      <c r="R195" s="15">
        <v>0</v>
      </c>
      <c r="S195" s="16">
        <v>0</v>
      </c>
    </row>
    <row r="196" spans="1:19" ht="12.75">
      <c r="A196" s="59"/>
      <c r="B196" s="5" t="s">
        <v>923</v>
      </c>
      <c r="C196" s="14">
        <v>0.0025999653868418278</v>
      </c>
      <c r="D196" s="15">
        <v>0</v>
      </c>
      <c r="E196" s="15">
        <v>0.011616842302375948</v>
      </c>
      <c r="F196" s="15">
        <v>0.010728178529993858</v>
      </c>
      <c r="G196" s="15">
        <v>0.007265402394828135</v>
      </c>
      <c r="H196" s="15">
        <v>0</v>
      </c>
      <c r="I196" s="15">
        <v>0</v>
      </c>
      <c r="J196" s="14">
        <v>0.007748842644466737</v>
      </c>
      <c r="K196" s="14">
        <v>0</v>
      </c>
      <c r="L196" s="15">
        <v>0.001303975653512637</v>
      </c>
      <c r="M196" s="15">
        <v>0.011934666021464304</v>
      </c>
      <c r="N196" s="15">
        <v>0.012641324668387787</v>
      </c>
      <c r="O196" s="14">
        <v>0.008201912309311372</v>
      </c>
      <c r="P196" s="14">
        <v>0</v>
      </c>
      <c r="Q196" s="15">
        <v>0</v>
      </c>
      <c r="R196" s="15">
        <v>0</v>
      </c>
      <c r="S196" s="16">
        <v>0</v>
      </c>
    </row>
    <row r="197" spans="1:19" ht="12.75">
      <c r="A197" s="59"/>
      <c r="B197" s="5" t="s">
        <v>971</v>
      </c>
      <c r="C197" s="14">
        <v>0.09420521792033254</v>
      </c>
      <c r="D197" s="15">
        <v>0</v>
      </c>
      <c r="E197" s="15">
        <v>0.027256844889334518</v>
      </c>
      <c r="F197" s="15">
        <v>0.2565967102512485</v>
      </c>
      <c r="G197" s="15">
        <v>0.41409359444269067</v>
      </c>
      <c r="H197" s="15">
        <v>0</v>
      </c>
      <c r="I197" s="15">
        <v>0</v>
      </c>
      <c r="J197" s="14">
        <v>0.09243267183263564</v>
      </c>
      <c r="K197" s="14">
        <v>0</v>
      </c>
      <c r="L197" s="15">
        <v>-0.17834719490424034</v>
      </c>
      <c r="M197" s="15">
        <v>-0.2733752947552027</v>
      </c>
      <c r="N197" s="15">
        <v>-0.05473606112661733</v>
      </c>
      <c r="O197" s="14">
        <v>-0.2079384603530604</v>
      </c>
      <c r="P197" s="14">
        <v>0</v>
      </c>
      <c r="Q197" s="15">
        <v>0</v>
      </c>
      <c r="R197" s="15">
        <v>0</v>
      </c>
      <c r="S197" s="16">
        <v>0</v>
      </c>
    </row>
    <row r="198" spans="1:19" ht="12.75">
      <c r="A198" s="59"/>
      <c r="B198" s="5" t="s">
        <v>925</v>
      </c>
      <c r="C198" s="14">
        <v>0.0020330614517026888</v>
      </c>
      <c r="D198" s="15">
        <v>0.0030930324853151573</v>
      </c>
      <c r="E198" s="15">
        <v>0.009930131526284417</v>
      </c>
      <c r="F198" s="15">
        <v>0.0028845208939895215</v>
      </c>
      <c r="G198" s="15">
        <v>0.014546696260884413</v>
      </c>
      <c r="H198" s="15">
        <v>0</v>
      </c>
      <c r="I198" s="15">
        <v>0</v>
      </c>
      <c r="J198" s="14">
        <v>0.005917799580607578</v>
      </c>
      <c r="K198" s="14">
        <v>0</v>
      </c>
      <c r="L198" s="15">
        <v>0.003925377014521962</v>
      </c>
      <c r="M198" s="15">
        <v>0.011360040736614535</v>
      </c>
      <c r="N198" s="15">
        <v>0.0034673734408694084</v>
      </c>
      <c r="O198" s="14">
        <v>0.007853746624163297</v>
      </c>
      <c r="P198" s="14">
        <v>0</v>
      </c>
      <c r="Q198" s="15">
        <v>0</v>
      </c>
      <c r="R198" s="15">
        <v>0</v>
      </c>
      <c r="S198" s="16">
        <v>0</v>
      </c>
    </row>
    <row r="199" spans="1:19" ht="12.75">
      <c r="A199" s="59"/>
      <c r="B199" s="5" t="s">
        <v>927</v>
      </c>
      <c r="C199" s="14">
        <v>0.0026954499611099286</v>
      </c>
      <c r="D199" s="15">
        <v>0.001942532723889874</v>
      </c>
      <c r="E199" s="15">
        <v>0.007788911912757879</v>
      </c>
      <c r="F199" s="15">
        <v>0.003679402560177828</v>
      </c>
      <c r="G199" s="15">
        <v>0.02021228059603846</v>
      </c>
      <c r="H199" s="15">
        <v>0</v>
      </c>
      <c r="I199" s="15">
        <v>0</v>
      </c>
      <c r="J199" s="14">
        <v>0.005309045097139635</v>
      </c>
      <c r="K199" s="14">
        <v>0</v>
      </c>
      <c r="L199" s="15">
        <v>0.0015836994630564769</v>
      </c>
      <c r="M199" s="15">
        <v>0.009597292377461205</v>
      </c>
      <c r="N199" s="15">
        <v>0.005712335677616547</v>
      </c>
      <c r="O199" s="14">
        <v>0.006335275388407252</v>
      </c>
      <c r="P199" s="14">
        <v>0</v>
      </c>
      <c r="Q199" s="15">
        <v>0</v>
      </c>
      <c r="R199" s="15">
        <v>0</v>
      </c>
      <c r="S199" s="16">
        <v>0</v>
      </c>
    </row>
    <row r="200" spans="1:19" ht="12.75">
      <c r="A200" s="59"/>
      <c r="B200" s="5" t="s">
        <v>973</v>
      </c>
      <c r="C200" s="14">
        <v>0.06623885094072397</v>
      </c>
      <c r="D200" s="15">
        <v>-0.11504997614252835</v>
      </c>
      <c r="E200" s="15">
        <v>-0.21412196135265382</v>
      </c>
      <c r="F200" s="15">
        <v>0.07948816661883067</v>
      </c>
      <c r="G200" s="15">
        <v>0.5665584335154048</v>
      </c>
      <c r="H200" s="15">
        <v>0</v>
      </c>
      <c r="I200" s="15">
        <v>0</v>
      </c>
      <c r="J200" s="14">
        <v>-0.060875448346794314</v>
      </c>
      <c r="K200" s="14">
        <v>0</v>
      </c>
      <c r="L200" s="15">
        <v>-0.23416775514654847</v>
      </c>
      <c r="M200" s="15">
        <v>-0.176274835915333</v>
      </c>
      <c r="N200" s="15">
        <v>0.22449622367471384</v>
      </c>
      <c r="O200" s="14">
        <v>-0.15184712357560454</v>
      </c>
      <c r="P200" s="14">
        <v>0</v>
      </c>
      <c r="Q200" s="15">
        <v>0</v>
      </c>
      <c r="R200" s="15">
        <v>0</v>
      </c>
      <c r="S200" s="16">
        <v>0</v>
      </c>
    </row>
    <row r="201" spans="1:19" ht="12.75">
      <c r="A201" s="59"/>
      <c r="B201" s="5" t="s">
        <v>929</v>
      </c>
      <c r="C201" s="14">
        <v>0</v>
      </c>
      <c r="D201" s="15">
        <v>0</v>
      </c>
      <c r="E201" s="15">
        <v>0</v>
      </c>
      <c r="F201" s="15">
        <v>0</v>
      </c>
      <c r="G201" s="15">
        <v>0</v>
      </c>
      <c r="H201" s="15">
        <v>0</v>
      </c>
      <c r="I201" s="15">
        <v>0</v>
      </c>
      <c r="J201" s="14">
        <v>0</v>
      </c>
      <c r="K201" s="14">
        <v>0</v>
      </c>
      <c r="L201" s="15">
        <v>0</v>
      </c>
      <c r="M201" s="15">
        <v>0</v>
      </c>
      <c r="N201" s="15">
        <v>0</v>
      </c>
      <c r="O201" s="14">
        <v>0</v>
      </c>
      <c r="P201" s="14">
        <v>0</v>
      </c>
      <c r="Q201" s="15">
        <v>0</v>
      </c>
      <c r="R201" s="15">
        <v>0</v>
      </c>
      <c r="S201" s="16">
        <v>0</v>
      </c>
    </row>
    <row r="202" spans="1:19" ht="12.75">
      <c r="A202" s="59"/>
      <c r="B202" s="5" t="s">
        <v>931</v>
      </c>
      <c r="C202" s="14">
        <v>0</v>
      </c>
      <c r="D202" s="15">
        <v>0</v>
      </c>
      <c r="E202" s="15">
        <v>0</v>
      </c>
      <c r="F202" s="15">
        <v>0</v>
      </c>
      <c r="G202" s="15">
        <v>0</v>
      </c>
      <c r="H202" s="15">
        <v>0</v>
      </c>
      <c r="I202" s="15">
        <v>0</v>
      </c>
      <c r="J202" s="14">
        <v>0</v>
      </c>
      <c r="K202" s="14">
        <v>0</v>
      </c>
      <c r="L202" s="15">
        <v>0</v>
      </c>
      <c r="M202" s="15">
        <v>0</v>
      </c>
      <c r="N202" s="15">
        <v>0</v>
      </c>
      <c r="O202" s="14">
        <v>0</v>
      </c>
      <c r="P202" s="14">
        <v>0</v>
      </c>
      <c r="Q202" s="15">
        <v>0</v>
      </c>
      <c r="R202" s="15">
        <v>0</v>
      </c>
      <c r="S202" s="16">
        <v>0</v>
      </c>
    </row>
    <row r="203" spans="1:19" ht="13.5" thickBot="1">
      <c r="A203" s="59"/>
      <c r="B203" s="5" t="s">
        <v>959</v>
      </c>
      <c r="C203" s="14">
        <v>0</v>
      </c>
      <c r="D203" s="15">
        <v>0</v>
      </c>
      <c r="E203" s="15">
        <v>0</v>
      </c>
      <c r="F203" s="15">
        <v>0</v>
      </c>
      <c r="G203" s="15">
        <v>0</v>
      </c>
      <c r="H203" s="15">
        <v>0</v>
      </c>
      <c r="I203" s="15">
        <v>0</v>
      </c>
      <c r="J203" s="14">
        <v>0</v>
      </c>
      <c r="K203" s="14">
        <v>0</v>
      </c>
      <c r="L203" s="15">
        <v>0</v>
      </c>
      <c r="M203" s="15">
        <v>0</v>
      </c>
      <c r="N203" s="15">
        <v>0</v>
      </c>
      <c r="O203" s="14">
        <v>0</v>
      </c>
      <c r="P203" s="14">
        <v>0</v>
      </c>
      <c r="Q203" s="15">
        <v>0</v>
      </c>
      <c r="R203" s="15">
        <v>0</v>
      </c>
      <c r="S203" s="16">
        <v>0</v>
      </c>
    </row>
    <row r="204" spans="1:19" ht="12.75">
      <c r="A204" s="59"/>
      <c r="B204" s="5" t="s">
        <v>915</v>
      </c>
      <c r="C204" s="14">
        <v>0.9243649498951293</v>
      </c>
      <c r="D204" s="291">
        <v>0.7651508717438517</v>
      </c>
      <c r="E204" s="15">
        <v>0.61642032194363</v>
      </c>
      <c r="F204" s="15">
        <v>0.7640095392247943</v>
      </c>
      <c r="G204" s="15">
        <v>0.9851239669421488</v>
      </c>
      <c r="H204" s="15">
        <v>0</v>
      </c>
      <c r="I204" s="15">
        <v>0</v>
      </c>
      <c r="J204" s="14">
        <v>0.7590606598127232</v>
      </c>
      <c r="K204" s="14">
        <v>0</v>
      </c>
      <c r="L204" s="15">
        <v>0</v>
      </c>
      <c r="M204" s="15">
        <v>0</v>
      </c>
      <c r="N204" s="15">
        <v>0</v>
      </c>
      <c r="O204" s="14">
        <v>0</v>
      </c>
      <c r="P204" s="14">
        <v>0</v>
      </c>
      <c r="Q204" s="15">
        <v>0</v>
      </c>
      <c r="R204" s="15">
        <v>0</v>
      </c>
      <c r="S204" s="16">
        <v>0</v>
      </c>
    </row>
    <row r="205" spans="1:19" ht="12.75">
      <c r="A205" s="59"/>
      <c r="B205" s="5" t="s">
        <v>933</v>
      </c>
      <c r="C205" s="14">
        <v>0.9028577210180772</v>
      </c>
      <c r="D205" s="292">
        <v>0.6726379883723712</v>
      </c>
      <c r="E205" s="15">
        <v>0.6018995420746784</v>
      </c>
      <c r="F205" s="15">
        <v>0.777106082473291</v>
      </c>
      <c r="G205" s="15">
        <v>0.9614065180102916</v>
      </c>
      <c r="H205" s="15">
        <v>0</v>
      </c>
      <c r="I205" s="15">
        <v>0</v>
      </c>
      <c r="J205" s="14">
        <v>0.7281422382850935</v>
      </c>
      <c r="K205" s="14">
        <v>0</v>
      </c>
      <c r="L205" s="15">
        <v>0</v>
      </c>
      <c r="M205" s="15">
        <v>0</v>
      </c>
      <c r="N205" s="15">
        <v>0</v>
      </c>
      <c r="O205" s="14">
        <v>0</v>
      </c>
      <c r="P205" s="14">
        <v>0</v>
      </c>
      <c r="Q205" s="15">
        <v>0</v>
      </c>
      <c r="R205" s="15">
        <v>0</v>
      </c>
      <c r="S205" s="16">
        <v>0</v>
      </c>
    </row>
    <row r="206" spans="1:19" ht="13.5" thickBot="1">
      <c r="A206" s="59"/>
      <c r="B206" s="5" t="s">
        <v>957</v>
      </c>
      <c r="C206" s="14">
        <v>-2.1507228877052142</v>
      </c>
      <c r="D206" s="295">
        <v>-9.251288337148045</v>
      </c>
      <c r="E206" s="15">
        <v>-1.4520779868951506</v>
      </c>
      <c r="F206" s="15">
        <v>1.309654324849674</v>
      </c>
      <c r="G206" s="15">
        <v>-2.371744893185712</v>
      </c>
      <c r="H206" s="15">
        <v>0</v>
      </c>
      <c r="I206" s="15">
        <v>0</v>
      </c>
      <c r="J206" s="14">
        <v>-3.091842152762969</v>
      </c>
      <c r="K206" s="14">
        <v>0</v>
      </c>
      <c r="L206" s="15">
        <v>0</v>
      </c>
      <c r="M206" s="15">
        <v>0</v>
      </c>
      <c r="N206" s="15">
        <v>0</v>
      </c>
      <c r="O206" s="14">
        <v>0</v>
      </c>
      <c r="P206" s="14">
        <v>0</v>
      </c>
      <c r="Q206" s="15">
        <v>0</v>
      </c>
      <c r="R206" s="15">
        <v>0</v>
      </c>
      <c r="S206" s="16">
        <v>0</v>
      </c>
    </row>
    <row r="207" spans="1:19" ht="12.75">
      <c r="A207" s="59"/>
      <c r="B207" s="5" t="s">
        <v>935</v>
      </c>
      <c r="C207" s="14">
        <v>0.04821719878816127</v>
      </c>
      <c r="D207" s="15">
        <v>0.10395408937042744</v>
      </c>
      <c r="E207" s="15">
        <v>0.19365411083441122</v>
      </c>
      <c r="F207" s="15">
        <v>0.10165595579009874</v>
      </c>
      <c r="G207" s="15">
        <v>0</v>
      </c>
      <c r="H207" s="15">
        <v>0</v>
      </c>
      <c r="I207" s="15">
        <v>0</v>
      </c>
      <c r="J207" s="14">
        <v>0.11779611931653634</v>
      </c>
      <c r="K207" s="14">
        <v>0</v>
      </c>
      <c r="L207" s="15">
        <v>0</v>
      </c>
      <c r="M207" s="15">
        <v>0</v>
      </c>
      <c r="N207" s="15">
        <v>0</v>
      </c>
      <c r="O207" s="14">
        <v>0</v>
      </c>
      <c r="P207" s="14">
        <v>0</v>
      </c>
      <c r="Q207" s="15">
        <v>0</v>
      </c>
      <c r="R207" s="15">
        <v>0</v>
      </c>
      <c r="S207" s="16">
        <v>0</v>
      </c>
    </row>
    <row r="208" spans="1:19" ht="12.75">
      <c r="A208" s="59"/>
      <c r="B208" s="5" t="s">
        <v>937</v>
      </c>
      <c r="C208" s="14">
        <v>0.0521854483316845</v>
      </c>
      <c r="D208" s="15">
        <v>0.08062779625331962</v>
      </c>
      <c r="E208" s="15">
        <v>0.19598846706597517</v>
      </c>
      <c r="F208" s="15">
        <v>0.08523268796122321</v>
      </c>
      <c r="G208" s="15">
        <v>0</v>
      </c>
      <c r="H208" s="15">
        <v>0</v>
      </c>
      <c r="I208" s="15">
        <v>0</v>
      </c>
      <c r="J208" s="14">
        <v>0.1112110167125014</v>
      </c>
      <c r="K208" s="14">
        <v>0</v>
      </c>
      <c r="L208" s="15">
        <v>0</v>
      </c>
      <c r="M208" s="15">
        <v>0</v>
      </c>
      <c r="N208" s="15">
        <v>0</v>
      </c>
      <c r="O208" s="14">
        <v>0</v>
      </c>
      <c r="P208" s="14">
        <v>0</v>
      </c>
      <c r="Q208" s="15">
        <v>0</v>
      </c>
      <c r="R208" s="15">
        <v>0</v>
      </c>
      <c r="S208" s="16">
        <v>0</v>
      </c>
    </row>
    <row r="209" spans="1:19" ht="13.5" thickBot="1">
      <c r="A209" s="59"/>
      <c r="B209" s="5" t="s">
        <v>961</v>
      </c>
      <c r="C209" s="14">
        <v>0.39682495435232334</v>
      </c>
      <c r="D209" s="15">
        <v>-2.3326293117107824</v>
      </c>
      <c r="E209" s="15">
        <v>0.23343562315639443</v>
      </c>
      <c r="F209" s="15">
        <v>-1.642326782887553</v>
      </c>
      <c r="G209" s="15">
        <v>0</v>
      </c>
      <c r="H209" s="15">
        <v>0</v>
      </c>
      <c r="I209" s="15">
        <v>0</v>
      </c>
      <c r="J209" s="14">
        <v>-0.6585102604034943</v>
      </c>
      <c r="K209" s="14">
        <v>0</v>
      </c>
      <c r="L209" s="15">
        <v>0</v>
      </c>
      <c r="M209" s="15">
        <v>0</v>
      </c>
      <c r="N209" s="15">
        <v>0</v>
      </c>
      <c r="O209" s="14">
        <v>0</v>
      </c>
      <c r="P209" s="14">
        <v>0</v>
      </c>
      <c r="Q209" s="15">
        <v>0</v>
      </c>
      <c r="R209" s="15">
        <v>0</v>
      </c>
      <c r="S209" s="16">
        <v>0</v>
      </c>
    </row>
    <row r="210" spans="1:19" ht="12.75">
      <c r="A210" s="59"/>
      <c r="B210" s="5" t="s">
        <v>939</v>
      </c>
      <c r="C210" s="14">
        <v>0.01625495222558844</v>
      </c>
      <c r="D210" s="291">
        <v>0.1304218585069339</v>
      </c>
      <c r="E210" s="15">
        <v>0.12032608645618041</v>
      </c>
      <c r="F210" s="15">
        <v>0.11722902759287815</v>
      </c>
      <c r="G210" s="15">
        <v>0.013636363636363636</v>
      </c>
      <c r="H210" s="15">
        <v>0</v>
      </c>
      <c r="I210" s="15">
        <v>0</v>
      </c>
      <c r="J210" s="14">
        <v>0.09462635148180326</v>
      </c>
      <c r="K210" s="14">
        <v>0</v>
      </c>
      <c r="L210" s="15">
        <v>0</v>
      </c>
      <c r="M210" s="15">
        <v>0</v>
      </c>
      <c r="N210" s="15">
        <v>0</v>
      </c>
      <c r="O210" s="14">
        <v>0</v>
      </c>
      <c r="P210" s="14">
        <v>0</v>
      </c>
      <c r="Q210" s="15">
        <v>0</v>
      </c>
      <c r="R210" s="15">
        <v>0</v>
      </c>
      <c r="S210" s="16">
        <v>0</v>
      </c>
    </row>
    <row r="211" spans="1:19" ht="12.75">
      <c r="A211" s="59"/>
      <c r="B211" s="5" t="s">
        <v>941</v>
      </c>
      <c r="C211" s="14">
        <v>0.033489972119794945</v>
      </c>
      <c r="D211" s="292">
        <v>0.24666243988803024</v>
      </c>
      <c r="E211" s="15">
        <v>0.1545073955385755</v>
      </c>
      <c r="F211" s="15">
        <v>0.1195254563443437</v>
      </c>
      <c r="G211" s="15">
        <v>0.02058319039451115</v>
      </c>
      <c r="H211" s="15">
        <v>0</v>
      </c>
      <c r="I211" s="15">
        <v>0</v>
      </c>
      <c r="J211" s="14">
        <v>0.13900865377445798</v>
      </c>
      <c r="K211" s="14">
        <v>0</v>
      </c>
      <c r="L211" s="15">
        <v>0</v>
      </c>
      <c r="M211" s="15">
        <v>0</v>
      </c>
      <c r="N211" s="15">
        <v>0</v>
      </c>
      <c r="O211" s="14">
        <v>0</v>
      </c>
      <c r="P211" s="14">
        <v>0</v>
      </c>
      <c r="Q211" s="15">
        <v>0</v>
      </c>
      <c r="R211" s="15">
        <v>0</v>
      </c>
      <c r="S211" s="16">
        <v>0</v>
      </c>
    </row>
    <row r="212" spans="1:19" ht="13.5" thickBot="1">
      <c r="A212" s="59"/>
      <c r="B212" s="5" t="s">
        <v>967</v>
      </c>
      <c r="C212" s="14">
        <v>1.7235019894206505</v>
      </c>
      <c r="D212" s="295">
        <v>11.624058138109634</v>
      </c>
      <c r="E212" s="15">
        <v>3.41813090823951</v>
      </c>
      <c r="F212" s="15">
        <v>0.22964287514655457</v>
      </c>
      <c r="G212" s="15">
        <v>0.6946826758147515</v>
      </c>
      <c r="H212" s="15">
        <v>0</v>
      </c>
      <c r="I212" s="15">
        <v>0</v>
      </c>
      <c r="J212" s="14">
        <v>4.438230229265471</v>
      </c>
      <c r="K212" s="14">
        <v>0</v>
      </c>
      <c r="L212" s="15">
        <v>0</v>
      </c>
      <c r="M212" s="15">
        <v>0</v>
      </c>
      <c r="N212" s="15">
        <v>0</v>
      </c>
      <c r="O212" s="14">
        <v>0</v>
      </c>
      <c r="P212" s="14">
        <v>0</v>
      </c>
      <c r="Q212" s="15">
        <v>0</v>
      </c>
      <c r="R212" s="15">
        <v>0</v>
      </c>
      <c r="S212" s="16">
        <v>0</v>
      </c>
    </row>
    <row r="213" spans="1:19" ht="12.75">
      <c r="A213" s="59"/>
      <c r="B213" s="5" t="s">
        <v>943</v>
      </c>
      <c r="C213" s="14">
        <v>0.011127942204614308</v>
      </c>
      <c r="D213" s="297">
        <v>0.0004003833974351197</v>
      </c>
      <c r="E213" s="15">
        <v>0.04150191260477898</v>
      </c>
      <c r="F213" s="15">
        <v>0.01687561655381138</v>
      </c>
      <c r="G213" s="15">
        <v>0</v>
      </c>
      <c r="H213" s="15">
        <v>0</v>
      </c>
      <c r="I213" s="15">
        <v>0</v>
      </c>
      <c r="J213" s="14">
        <v>0.01923749879331982</v>
      </c>
      <c r="K213" s="14">
        <v>0</v>
      </c>
      <c r="L213" s="15">
        <v>0</v>
      </c>
      <c r="M213" s="15">
        <v>0</v>
      </c>
      <c r="N213" s="15">
        <v>0</v>
      </c>
      <c r="O213" s="14">
        <v>0</v>
      </c>
      <c r="P213" s="14">
        <v>0</v>
      </c>
      <c r="Q213" s="15">
        <v>0</v>
      </c>
      <c r="R213" s="15">
        <v>0</v>
      </c>
      <c r="S213" s="16">
        <v>0</v>
      </c>
    </row>
    <row r="214" spans="1:19" ht="12.75">
      <c r="A214" s="59"/>
      <c r="B214" s="5" t="s">
        <v>945</v>
      </c>
      <c r="C214" s="14">
        <v>0.011129597985430345</v>
      </c>
      <c r="D214" s="15">
        <v>0</v>
      </c>
      <c r="E214" s="15">
        <v>0.03696430324832407</v>
      </c>
      <c r="F214" s="15">
        <v>0.01797238787680745</v>
      </c>
      <c r="G214" s="15">
        <v>0.018010291595197257</v>
      </c>
      <c r="H214" s="15">
        <v>0</v>
      </c>
      <c r="I214" s="15">
        <v>0</v>
      </c>
      <c r="J214" s="14">
        <v>0.018021021113221312</v>
      </c>
      <c r="K214" s="14">
        <v>0</v>
      </c>
      <c r="L214" s="15">
        <v>0</v>
      </c>
      <c r="M214" s="15">
        <v>0</v>
      </c>
      <c r="N214" s="15">
        <v>0</v>
      </c>
      <c r="O214" s="14">
        <v>0</v>
      </c>
      <c r="P214" s="14">
        <v>0</v>
      </c>
      <c r="Q214" s="15">
        <v>0</v>
      </c>
      <c r="R214" s="15">
        <v>0</v>
      </c>
      <c r="S214" s="16">
        <v>0</v>
      </c>
    </row>
    <row r="215" spans="1:19" ht="12.75">
      <c r="A215" s="59"/>
      <c r="B215" s="5" t="s">
        <v>969</v>
      </c>
      <c r="C215" s="14">
        <v>0.00016557808160365395</v>
      </c>
      <c r="D215" s="15">
        <v>-0.040038339743511966</v>
      </c>
      <c r="E215" s="15">
        <v>-0.45376093564549125</v>
      </c>
      <c r="F215" s="15">
        <v>0.10967713229960672</v>
      </c>
      <c r="G215" s="15">
        <v>0</v>
      </c>
      <c r="H215" s="15">
        <v>0</v>
      </c>
      <c r="I215" s="15">
        <v>0</v>
      </c>
      <c r="J215" s="14">
        <v>-0.12164776800985058</v>
      </c>
      <c r="K215" s="14">
        <v>0</v>
      </c>
      <c r="L215" s="15">
        <v>0</v>
      </c>
      <c r="M215" s="15">
        <v>0</v>
      </c>
      <c r="N215" s="15">
        <v>0</v>
      </c>
      <c r="O215" s="14">
        <v>0</v>
      </c>
      <c r="P215" s="14">
        <v>0</v>
      </c>
      <c r="Q215" s="15">
        <v>0</v>
      </c>
      <c r="R215" s="15">
        <v>0</v>
      </c>
      <c r="S215" s="16">
        <v>0</v>
      </c>
    </row>
    <row r="216" spans="1:19" ht="12.75">
      <c r="A216" s="59"/>
      <c r="B216" s="5" t="s">
        <v>947</v>
      </c>
      <c r="C216" s="293">
        <v>3.4956886506641806E-05</v>
      </c>
      <c r="D216" s="297">
        <v>7.279698135183995E-05</v>
      </c>
      <c r="E216" s="15">
        <v>0.028097568160999432</v>
      </c>
      <c r="F216" s="297">
        <v>0.00022986083841740812</v>
      </c>
      <c r="G216" s="15">
        <v>0.0012396694214876034</v>
      </c>
      <c r="H216" s="15">
        <v>0</v>
      </c>
      <c r="I216" s="15">
        <v>0</v>
      </c>
      <c r="J216" s="14">
        <v>0.009279370595617337</v>
      </c>
      <c r="K216" s="14">
        <v>0</v>
      </c>
      <c r="L216" s="15">
        <v>0</v>
      </c>
      <c r="M216" s="15">
        <v>0</v>
      </c>
      <c r="N216" s="15">
        <v>0</v>
      </c>
      <c r="O216" s="14">
        <v>0</v>
      </c>
      <c r="P216" s="14">
        <v>0</v>
      </c>
      <c r="Q216" s="15">
        <v>0</v>
      </c>
      <c r="R216" s="15">
        <v>0</v>
      </c>
      <c r="S216" s="16">
        <v>0</v>
      </c>
    </row>
    <row r="217" spans="1:19" ht="12.75">
      <c r="A217" s="59"/>
      <c r="B217" s="5" t="s">
        <v>949</v>
      </c>
      <c r="C217" s="293">
        <v>0.00033726054501304075</v>
      </c>
      <c r="D217" s="297">
        <v>7.177548627891954E-05</v>
      </c>
      <c r="E217" s="15">
        <v>0.01064029207244682</v>
      </c>
      <c r="F217" s="297">
        <v>0.00016338534433461317</v>
      </c>
      <c r="G217" s="15">
        <v>0</v>
      </c>
      <c r="H217" s="15">
        <v>0</v>
      </c>
      <c r="I217" s="15">
        <v>0</v>
      </c>
      <c r="J217" s="14">
        <v>0.0036170701147257445</v>
      </c>
      <c r="K217" s="14">
        <v>0</v>
      </c>
      <c r="L217" s="15">
        <v>0</v>
      </c>
      <c r="M217" s="15">
        <v>0</v>
      </c>
      <c r="N217" s="15">
        <v>0</v>
      </c>
      <c r="O217" s="14">
        <v>0</v>
      </c>
      <c r="P217" s="14">
        <v>0</v>
      </c>
      <c r="Q217" s="15">
        <v>0</v>
      </c>
      <c r="R217" s="15">
        <v>0</v>
      </c>
      <c r="S217" s="16">
        <v>0</v>
      </c>
    </row>
    <row r="218" spans="1:19" ht="12.75">
      <c r="A218" s="59"/>
      <c r="B218" s="5" t="s">
        <v>975</v>
      </c>
      <c r="C218" s="14">
        <v>0.030230365850639894</v>
      </c>
      <c r="D218" s="15">
        <v>-0.00010214950729204057</v>
      </c>
      <c r="E218" s="15">
        <v>-1.7457276088552611</v>
      </c>
      <c r="F218" s="15">
        <v>-0.006647549408279494</v>
      </c>
      <c r="G218" s="15">
        <v>-0.12396694214876033</v>
      </c>
      <c r="H218" s="15">
        <v>0</v>
      </c>
      <c r="I218" s="15">
        <v>0</v>
      </c>
      <c r="J218" s="14">
        <v>-0.5662300480891592</v>
      </c>
      <c r="K218" s="14">
        <v>0</v>
      </c>
      <c r="L218" s="15">
        <v>0</v>
      </c>
      <c r="M218" s="15">
        <v>0</v>
      </c>
      <c r="N218" s="15">
        <v>0</v>
      </c>
      <c r="O218" s="14">
        <v>0</v>
      </c>
      <c r="P218" s="14">
        <v>0</v>
      </c>
      <c r="Q218" s="15">
        <v>0</v>
      </c>
      <c r="R218" s="15">
        <v>0</v>
      </c>
      <c r="S218" s="16">
        <v>0</v>
      </c>
    </row>
    <row r="219" spans="1:19" ht="12.75">
      <c r="A219" s="59"/>
      <c r="B219" s="5" t="s">
        <v>951</v>
      </c>
      <c r="C219" s="14">
        <v>0</v>
      </c>
      <c r="D219" s="15">
        <v>0</v>
      </c>
      <c r="E219" s="15">
        <v>0</v>
      </c>
      <c r="F219" s="15">
        <v>0</v>
      </c>
      <c r="G219" s="15">
        <v>0</v>
      </c>
      <c r="H219" s="15">
        <v>0</v>
      </c>
      <c r="I219" s="15">
        <v>0</v>
      </c>
      <c r="J219" s="14">
        <v>0</v>
      </c>
      <c r="K219" s="14">
        <v>0</v>
      </c>
      <c r="L219" s="15">
        <v>0</v>
      </c>
      <c r="M219" s="15">
        <v>0</v>
      </c>
      <c r="N219" s="15">
        <v>0</v>
      </c>
      <c r="O219" s="14">
        <v>0</v>
      </c>
      <c r="P219" s="14">
        <v>0</v>
      </c>
      <c r="Q219" s="15">
        <v>0</v>
      </c>
      <c r="R219" s="15">
        <v>0</v>
      </c>
      <c r="S219" s="16">
        <v>0</v>
      </c>
    </row>
    <row r="220" spans="1:19" ht="12.75">
      <c r="A220" s="59"/>
      <c r="B220" s="5" t="s">
        <v>953</v>
      </c>
      <c r="C220" s="14">
        <v>0</v>
      </c>
      <c r="D220" s="15">
        <v>0</v>
      </c>
      <c r="E220" s="15">
        <v>0</v>
      </c>
      <c r="F220" s="15">
        <v>0</v>
      </c>
      <c r="G220" s="15">
        <v>0</v>
      </c>
      <c r="H220" s="15">
        <v>0</v>
      </c>
      <c r="I220" s="15">
        <v>0</v>
      </c>
      <c r="J220" s="14">
        <v>0</v>
      </c>
      <c r="K220" s="14">
        <v>0</v>
      </c>
      <c r="L220" s="15">
        <v>0</v>
      </c>
      <c r="M220" s="15">
        <v>0</v>
      </c>
      <c r="N220" s="15">
        <v>0</v>
      </c>
      <c r="O220" s="14">
        <v>0</v>
      </c>
      <c r="P220" s="14">
        <v>0</v>
      </c>
      <c r="Q220" s="15">
        <v>0</v>
      </c>
      <c r="R220" s="15">
        <v>0</v>
      </c>
      <c r="S220" s="16">
        <v>0</v>
      </c>
    </row>
    <row r="221" spans="1:19" s="301" customFormat="1" ht="12.75">
      <c r="A221" s="345"/>
      <c r="B221" s="5" t="s">
        <v>977</v>
      </c>
      <c r="C221" s="14">
        <v>0</v>
      </c>
      <c r="D221" s="15">
        <v>0</v>
      </c>
      <c r="E221" s="15">
        <v>0</v>
      </c>
      <c r="F221" s="15">
        <v>0</v>
      </c>
      <c r="G221" s="15">
        <v>0</v>
      </c>
      <c r="H221" s="15">
        <v>0</v>
      </c>
      <c r="I221" s="15">
        <v>0</v>
      </c>
      <c r="J221" s="14">
        <v>0</v>
      </c>
      <c r="K221" s="14">
        <v>0</v>
      </c>
      <c r="L221" s="15">
        <v>0</v>
      </c>
      <c r="M221" s="15">
        <v>0</v>
      </c>
      <c r="N221" s="15">
        <v>0</v>
      </c>
      <c r="O221" s="14">
        <v>0</v>
      </c>
      <c r="P221" s="14">
        <v>0</v>
      </c>
      <c r="Q221" s="15">
        <v>0</v>
      </c>
      <c r="R221" s="15">
        <v>0</v>
      </c>
      <c r="S221" s="16">
        <v>0</v>
      </c>
    </row>
    <row r="222" spans="1:19" s="56" customFormat="1" ht="12.75">
      <c r="A222" s="58" t="s">
        <v>473</v>
      </c>
      <c r="B222" s="3" t="s">
        <v>907</v>
      </c>
      <c r="C222" s="11">
        <v>0</v>
      </c>
      <c r="D222" s="12">
        <v>0</v>
      </c>
      <c r="E222" s="12">
        <v>0</v>
      </c>
      <c r="F222" s="12">
        <v>0</v>
      </c>
      <c r="G222" s="12">
        <v>0</v>
      </c>
      <c r="H222" s="12">
        <v>0</v>
      </c>
      <c r="I222" s="12">
        <v>0</v>
      </c>
      <c r="J222" s="11">
        <v>0</v>
      </c>
      <c r="K222" s="11">
        <v>0</v>
      </c>
      <c r="L222" s="12">
        <v>0</v>
      </c>
      <c r="M222" s="12">
        <v>0</v>
      </c>
      <c r="N222" s="12">
        <v>0</v>
      </c>
      <c r="O222" s="11">
        <v>0</v>
      </c>
      <c r="P222" s="11">
        <v>0</v>
      </c>
      <c r="Q222" s="12">
        <v>0</v>
      </c>
      <c r="R222" s="12">
        <v>0</v>
      </c>
      <c r="S222" s="13">
        <v>0</v>
      </c>
    </row>
    <row r="223" spans="1:19" ht="12.75">
      <c r="A223" s="59"/>
      <c r="B223" s="5" t="s">
        <v>909</v>
      </c>
      <c r="C223" s="14">
        <v>0.945992235813094</v>
      </c>
      <c r="D223" s="15">
        <v>0.9508843937338701</v>
      </c>
      <c r="E223" s="15">
        <v>0.9626981474407945</v>
      </c>
      <c r="F223" s="15">
        <v>0.92168766687181</v>
      </c>
      <c r="G223" s="15">
        <v>0.9776763460780156</v>
      </c>
      <c r="H223" s="15">
        <v>0</v>
      </c>
      <c r="I223" s="15">
        <v>0</v>
      </c>
      <c r="J223" s="14">
        <v>0.9455749478088498</v>
      </c>
      <c r="K223" s="14">
        <v>0.9978069507477689</v>
      </c>
      <c r="L223" s="15">
        <v>0.8705232908142982</v>
      </c>
      <c r="M223" s="15">
        <v>0.9348891818406525</v>
      </c>
      <c r="N223" s="15">
        <v>0.925789955321096</v>
      </c>
      <c r="O223" s="14">
        <v>0.9122872889651751</v>
      </c>
      <c r="P223" s="14">
        <v>0.9945520135463447</v>
      </c>
      <c r="Q223" s="15">
        <v>1</v>
      </c>
      <c r="R223" s="15">
        <v>0.9896768150339919</v>
      </c>
      <c r="S223" s="16">
        <v>0.9904855895345758</v>
      </c>
    </row>
    <row r="224" spans="1:19" ht="12.75">
      <c r="A224" s="59"/>
      <c r="B224" s="5" t="s">
        <v>955</v>
      </c>
      <c r="C224" s="14">
        <v>0</v>
      </c>
      <c r="D224" s="15">
        <v>0</v>
      </c>
      <c r="E224" s="15">
        <v>0</v>
      </c>
      <c r="F224" s="15">
        <v>0</v>
      </c>
      <c r="G224" s="15">
        <v>0</v>
      </c>
      <c r="H224" s="15">
        <v>0</v>
      </c>
      <c r="I224" s="15">
        <v>0</v>
      </c>
      <c r="J224" s="14">
        <v>0</v>
      </c>
      <c r="K224" s="14">
        <v>0</v>
      </c>
      <c r="L224" s="15">
        <v>0</v>
      </c>
      <c r="M224" s="15">
        <v>0</v>
      </c>
      <c r="N224" s="15">
        <v>0</v>
      </c>
      <c r="O224" s="14">
        <v>0</v>
      </c>
      <c r="P224" s="14">
        <v>0</v>
      </c>
      <c r="Q224" s="15">
        <v>0</v>
      </c>
      <c r="R224" s="15">
        <v>0</v>
      </c>
      <c r="S224" s="16">
        <v>0</v>
      </c>
    </row>
    <row r="225" spans="1:19" ht="12.75">
      <c r="A225" s="59"/>
      <c r="B225" s="5" t="s">
        <v>911</v>
      </c>
      <c r="C225" s="14">
        <v>0</v>
      </c>
      <c r="D225" s="15">
        <v>0</v>
      </c>
      <c r="E225" s="15">
        <v>0</v>
      </c>
      <c r="F225" s="15">
        <v>0</v>
      </c>
      <c r="G225" s="15">
        <v>0</v>
      </c>
      <c r="H225" s="15">
        <v>0</v>
      </c>
      <c r="I225" s="15">
        <v>0</v>
      </c>
      <c r="J225" s="14">
        <v>0</v>
      </c>
      <c r="K225" s="14">
        <v>0</v>
      </c>
      <c r="L225" s="15">
        <v>0</v>
      </c>
      <c r="M225" s="15">
        <v>0</v>
      </c>
      <c r="N225" s="15">
        <v>0</v>
      </c>
      <c r="O225" s="14">
        <v>0</v>
      </c>
      <c r="P225" s="14">
        <v>0</v>
      </c>
      <c r="Q225" s="15">
        <v>0</v>
      </c>
      <c r="R225" s="15">
        <v>0</v>
      </c>
      <c r="S225" s="16">
        <v>0</v>
      </c>
    </row>
    <row r="226" spans="1:19" ht="12.75">
      <c r="A226" s="59"/>
      <c r="B226" s="5" t="s">
        <v>913</v>
      </c>
      <c r="C226" s="14">
        <v>0.001706469697026564</v>
      </c>
      <c r="D226" s="15">
        <v>0.03531776958570084</v>
      </c>
      <c r="E226" s="15">
        <v>0.026458121127238773</v>
      </c>
      <c r="F226" s="15">
        <v>0.036280765724703734</v>
      </c>
      <c r="G226" s="15">
        <v>0.008987493397019545</v>
      </c>
      <c r="H226" s="15">
        <v>0</v>
      </c>
      <c r="I226" s="15">
        <v>0</v>
      </c>
      <c r="J226" s="14">
        <v>0.024456026623523447</v>
      </c>
      <c r="K226" s="14">
        <v>0.002193049252231123</v>
      </c>
      <c r="L226" s="15">
        <v>0.08609820647667511</v>
      </c>
      <c r="M226" s="15">
        <v>0.01793070775315152</v>
      </c>
      <c r="N226" s="15">
        <v>0.07421004467890402</v>
      </c>
      <c r="O226" s="14">
        <v>0.05528475453582396</v>
      </c>
      <c r="P226" s="14">
        <v>0.0054479864536553044</v>
      </c>
      <c r="Q226" s="15">
        <v>0</v>
      </c>
      <c r="R226" s="15">
        <v>0.010323184966008132</v>
      </c>
      <c r="S226" s="16">
        <v>0.009514410465424282</v>
      </c>
    </row>
    <row r="227" spans="1:19" ht="12.75">
      <c r="A227" s="59"/>
      <c r="B227" s="5" t="s">
        <v>963</v>
      </c>
      <c r="C227" s="14">
        <v>0</v>
      </c>
      <c r="D227" s="15">
        <v>0</v>
      </c>
      <c r="E227" s="15">
        <v>0</v>
      </c>
      <c r="F227" s="15">
        <v>0</v>
      </c>
      <c r="G227" s="15">
        <v>0</v>
      </c>
      <c r="H227" s="15">
        <v>0</v>
      </c>
      <c r="I227" s="15">
        <v>0</v>
      </c>
      <c r="J227" s="14">
        <v>0</v>
      </c>
      <c r="K227" s="14">
        <v>0</v>
      </c>
      <c r="L227" s="15">
        <v>0</v>
      </c>
      <c r="M227" s="15">
        <v>0</v>
      </c>
      <c r="N227" s="15">
        <v>0</v>
      </c>
      <c r="O227" s="14">
        <v>0</v>
      </c>
      <c r="P227" s="14">
        <v>0</v>
      </c>
      <c r="Q227" s="15">
        <v>0</v>
      </c>
      <c r="R227" s="15">
        <v>0</v>
      </c>
      <c r="S227" s="16">
        <v>0</v>
      </c>
    </row>
    <row r="228" spans="1:19" ht="12.75">
      <c r="A228" s="59"/>
      <c r="B228" s="5" t="s">
        <v>917</v>
      </c>
      <c r="C228" s="14">
        <v>0</v>
      </c>
      <c r="D228" s="15">
        <v>0</v>
      </c>
      <c r="E228" s="15">
        <v>0</v>
      </c>
      <c r="F228" s="15">
        <v>0</v>
      </c>
      <c r="G228" s="15">
        <v>0</v>
      </c>
      <c r="H228" s="15">
        <v>0</v>
      </c>
      <c r="I228" s="15">
        <v>0</v>
      </c>
      <c r="J228" s="14">
        <v>0</v>
      </c>
      <c r="K228" s="14">
        <v>0</v>
      </c>
      <c r="L228" s="15">
        <v>0</v>
      </c>
      <c r="M228" s="15">
        <v>0</v>
      </c>
      <c r="N228" s="15">
        <v>0</v>
      </c>
      <c r="O228" s="14">
        <v>0</v>
      </c>
      <c r="P228" s="14">
        <v>0</v>
      </c>
      <c r="Q228" s="15">
        <v>0</v>
      </c>
      <c r="R228" s="15">
        <v>0</v>
      </c>
      <c r="S228" s="16">
        <v>0</v>
      </c>
    </row>
    <row r="229" spans="1:19" ht="12.75">
      <c r="A229" s="59"/>
      <c r="B229" s="5" t="s">
        <v>919</v>
      </c>
      <c r="C229" s="14">
        <v>0.007498958477989168</v>
      </c>
      <c r="D229" s="15">
        <v>0.006832174187406794</v>
      </c>
      <c r="E229" s="15">
        <v>0.010095704948646126</v>
      </c>
      <c r="F229" s="15">
        <v>0.03422994877584922</v>
      </c>
      <c r="G229" s="15">
        <v>0.012354083431913042</v>
      </c>
      <c r="H229" s="15">
        <v>0</v>
      </c>
      <c r="I229" s="15">
        <v>0</v>
      </c>
      <c r="J229" s="14">
        <v>0.016184470196712892</v>
      </c>
      <c r="K229" s="14">
        <v>0</v>
      </c>
      <c r="L229" s="15">
        <v>0.039016799373005145</v>
      </c>
      <c r="M229" s="15">
        <v>0.04694323144104803</v>
      </c>
      <c r="N229" s="15">
        <v>0</v>
      </c>
      <c r="O229" s="14">
        <v>0.03063441191852279</v>
      </c>
      <c r="P229" s="14">
        <v>0</v>
      </c>
      <c r="Q229" s="15">
        <v>0</v>
      </c>
      <c r="R229" s="15">
        <v>0</v>
      </c>
      <c r="S229" s="16">
        <v>0</v>
      </c>
    </row>
    <row r="230" spans="1:19" ht="12.75">
      <c r="A230" s="59"/>
      <c r="B230" s="5" t="s">
        <v>965</v>
      </c>
      <c r="C230" s="14">
        <v>0</v>
      </c>
      <c r="D230" s="15">
        <v>0</v>
      </c>
      <c r="E230" s="15">
        <v>0</v>
      </c>
      <c r="F230" s="15">
        <v>0</v>
      </c>
      <c r="G230" s="15">
        <v>0</v>
      </c>
      <c r="H230" s="15">
        <v>0</v>
      </c>
      <c r="I230" s="15">
        <v>0</v>
      </c>
      <c r="J230" s="14">
        <v>0</v>
      </c>
      <c r="K230" s="14">
        <v>0</v>
      </c>
      <c r="L230" s="15">
        <v>0</v>
      </c>
      <c r="M230" s="15">
        <v>0</v>
      </c>
      <c r="N230" s="15">
        <v>0</v>
      </c>
      <c r="O230" s="14">
        <v>0</v>
      </c>
      <c r="P230" s="14">
        <v>0</v>
      </c>
      <c r="Q230" s="15">
        <v>0</v>
      </c>
      <c r="R230" s="15">
        <v>0</v>
      </c>
      <c r="S230" s="16">
        <v>0</v>
      </c>
    </row>
    <row r="231" spans="1:19" ht="12.75">
      <c r="A231" s="59"/>
      <c r="B231" s="5" t="s">
        <v>921</v>
      </c>
      <c r="C231" s="14">
        <v>0</v>
      </c>
      <c r="D231" s="15">
        <v>0</v>
      </c>
      <c r="E231" s="15">
        <v>0</v>
      </c>
      <c r="F231" s="15">
        <v>0</v>
      </c>
      <c r="G231" s="15">
        <v>0</v>
      </c>
      <c r="H231" s="15">
        <v>0</v>
      </c>
      <c r="I231" s="15">
        <v>0</v>
      </c>
      <c r="J231" s="14">
        <v>0</v>
      </c>
      <c r="K231" s="14">
        <v>0</v>
      </c>
      <c r="L231" s="15">
        <v>0</v>
      </c>
      <c r="M231" s="15">
        <v>0</v>
      </c>
      <c r="N231" s="15">
        <v>0</v>
      </c>
      <c r="O231" s="14">
        <v>0</v>
      </c>
      <c r="P231" s="14">
        <v>0</v>
      </c>
      <c r="Q231" s="15">
        <v>0</v>
      </c>
      <c r="R231" s="15">
        <v>0</v>
      </c>
      <c r="S231" s="16">
        <v>0</v>
      </c>
    </row>
    <row r="232" spans="1:19" ht="12.75">
      <c r="A232" s="59"/>
      <c r="B232" s="5" t="s">
        <v>923</v>
      </c>
      <c r="C232" s="293">
        <v>0.00034154415490341057</v>
      </c>
      <c r="D232" s="15">
        <v>0.0028679760206461913</v>
      </c>
      <c r="E232" s="15">
        <v>0.00038992869875222817</v>
      </c>
      <c r="F232" s="15">
        <v>0.006768806481914219</v>
      </c>
      <c r="G232" s="15">
        <v>0.0004352387116934134</v>
      </c>
      <c r="H232" s="15">
        <v>0</v>
      </c>
      <c r="I232" s="15">
        <v>0</v>
      </c>
      <c r="J232" s="14">
        <v>0.0027783143850005597</v>
      </c>
      <c r="K232" s="14">
        <v>0</v>
      </c>
      <c r="L232" s="15">
        <v>0.001763423028430582</v>
      </c>
      <c r="M232" s="15">
        <v>0</v>
      </c>
      <c r="N232" s="15">
        <v>0</v>
      </c>
      <c r="O232" s="14">
        <v>0.0006939508937551125</v>
      </c>
      <c r="P232" s="14">
        <v>0</v>
      </c>
      <c r="Q232" s="15">
        <v>0</v>
      </c>
      <c r="R232" s="15">
        <v>0</v>
      </c>
      <c r="S232" s="16">
        <v>0</v>
      </c>
    </row>
    <row r="233" spans="1:19" ht="12.75">
      <c r="A233" s="59"/>
      <c r="B233" s="5" t="s">
        <v>971</v>
      </c>
      <c r="C233" s="14">
        <v>0</v>
      </c>
      <c r="D233" s="15">
        <v>0</v>
      </c>
      <c r="E233" s="15">
        <v>0</v>
      </c>
      <c r="F233" s="15">
        <v>0</v>
      </c>
      <c r="G233" s="15">
        <v>0</v>
      </c>
      <c r="H233" s="15">
        <v>0</v>
      </c>
      <c r="I233" s="15">
        <v>0</v>
      </c>
      <c r="J233" s="14">
        <v>0</v>
      </c>
      <c r="K233" s="14">
        <v>0</v>
      </c>
      <c r="L233" s="15">
        <v>0</v>
      </c>
      <c r="M233" s="15">
        <v>0</v>
      </c>
      <c r="N233" s="15">
        <v>0</v>
      </c>
      <c r="O233" s="14">
        <v>0</v>
      </c>
      <c r="P233" s="14">
        <v>0</v>
      </c>
      <c r="Q233" s="15">
        <v>0</v>
      </c>
      <c r="R233" s="15">
        <v>0</v>
      </c>
      <c r="S233" s="16">
        <v>0</v>
      </c>
    </row>
    <row r="234" spans="1:19" ht="12.75">
      <c r="A234" s="59"/>
      <c r="B234" s="5" t="s">
        <v>925</v>
      </c>
      <c r="C234" s="14">
        <v>0</v>
      </c>
      <c r="D234" s="15">
        <v>0</v>
      </c>
      <c r="E234" s="15">
        <v>0</v>
      </c>
      <c r="F234" s="15">
        <v>0</v>
      </c>
      <c r="G234" s="15">
        <v>0</v>
      </c>
      <c r="H234" s="15">
        <v>0</v>
      </c>
      <c r="I234" s="15">
        <v>0</v>
      </c>
      <c r="J234" s="14">
        <v>0</v>
      </c>
      <c r="K234" s="14">
        <v>0</v>
      </c>
      <c r="L234" s="15">
        <v>0</v>
      </c>
      <c r="M234" s="15">
        <v>0</v>
      </c>
      <c r="N234" s="15">
        <v>0</v>
      </c>
      <c r="O234" s="14">
        <v>0</v>
      </c>
      <c r="P234" s="14">
        <v>0</v>
      </c>
      <c r="Q234" s="15">
        <v>0</v>
      </c>
      <c r="R234" s="15">
        <v>0</v>
      </c>
      <c r="S234" s="16">
        <v>0</v>
      </c>
    </row>
    <row r="235" spans="1:19" ht="12.75">
      <c r="A235" s="59"/>
      <c r="B235" s="5" t="s">
        <v>927</v>
      </c>
      <c r="C235" s="14">
        <v>0.0007581529592361421</v>
      </c>
      <c r="D235" s="15">
        <v>0.004097686472376011</v>
      </c>
      <c r="E235" s="15">
        <v>0.0003580977845683728</v>
      </c>
      <c r="F235" s="15">
        <v>0.0010328121457227602</v>
      </c>
      <c r="G235" s="15">
        <v>0.0005468383813583912</v>
      </c>
      <c r="H235" s="15">
        <v>0</v>
      </c>
      <c r="I235" s="15">
        <v>0</v>
      </c>
      <c r="J235" s="14">
        <v>0.0014208505565958419</v>
      </c>
      <c r="K235" s="14">
        <v>0</v>
      </c>
      <c r="L235" s="15">
        <v>0.002598280307590954</v>
      </c>
      <c r="M235" s="15">
        <v>0.00023687896514789486</v>
      </c>
      <c r="N235" s="15">
        <v>0</v>
      </c>
      <c r="O235" s="14">
        <v>0.0010995936867230767</v>
      </c>
      <c r="P235" s="14">
        <v>0</v>
      </c>
      <c r="Q235" s="15">
        <v>0</v>
      </c>
      <c r="R235" s="15">
        <v>0</v>
      </c>
      <c r="S235" s="16">
        <v>0</v>
      </c>
    </row>
    <row r="236" spans="1:19" ht="12.75">
      <c r="A236" s="59"/>
      <c r="B236" s="5" t="s">
        <v>973</v>
      </c>
      <c r="C236" s="14">
        <v>0</v>
      </c>
      <c r="D236" s="15">
        <v>0</v>
      </c>
      <c r="E236" s="15">
        <v>0</v>
      </c>
      <c r="F236" s="15">
        <v>0</v>
      </c>
      <c r="G236" s="15">
        <v>0</v>
      </c>
      <c r="H236" s="15">
        <v>0</v>
      </c>
      <c r="I236" s="15">
        <v>0</v>
      </c>
      <c r="J236" s="14">
        <v>0</v>
      </c>
      <c r="K236" s="14">
        <v>0</v>
      </c>
      <c r="L236" s="15">
        <v>0</v>
      </c>
      <c r="M236" s="15">
        <v>0</v>
      </c>
      <c r="N236" s="15">
        <v>0</v>
      </c>
      <c r="O236" s="14">
        <v>0</v>
      </c>
      <c r="P236" s="14">
        <v>0</v>
      </c>
      <c r="Q236" s="15">
        <v>0</v>
      </c>
      <c r="R236" s="15">
        <v>0</v>
      </c>
      <c r="S236" s="16">
        <v>0</v>
      </c>
    </row>
    <row r="237" spans="1:19" ht="12.75">
      <c r="A237" s="59"/>
      <c r="B237" s="5" t="s">
        <v>929</v>
      </c>
      <c r="C237" s="14">
        <v>0</v>
      </c>
      <c r="D237" s="15">
        <v>0</v>
      </c>
      <c r="E237" s="15">
        <v>0</v>
      </c>
      <c r="F237" s="15">
        <v>0</v>
      </c>
      <c r="G237" s="15">
        <v>0</v>
      </c>
      <c r="H237" s="15">
        <v>0</v>
      </c>
      <c r="I237" s="15">
        <v>0</v>
      </c>
      <c r="J237" s="14">
        <v>0</v>
      </c>
      <c r="K237" s="14">
        <v>0</v>
      </c>
      <c r="L237" s="15">
        <v>0</v>
      </c>
      <c r="M237" s="15">
        <v>0</v>
      </c>
      <c r="N237" s="15">
        <v>0</v>
      </c>
      <c r="O237" s="14">
        <v>0</v>
      </c>
      <c r="P237" s="14">
        <v>0</v>
      </c>
      <c r="Q237" s="15">
        <v>0</v>
      </c>
      <c r="R237" s="15">
        <v>0</v>
      </c>
      <c r="S237" s="16">
        <v>0</v>
      </c>
    </row>
    <row r="238" spans="1:19" ht="12.75">
      <c r="A238" s="59"/>
      <c r="B238" s="5" t="s">
        <v>931</v>
      </c>
      <c r="C238" s="14">
        <v>0.04370263889775069</v>
      </c>
      <c r="D238" s="15">
        <v>0</v>
      </c>
      <c r="E238" s="15">
        <v>0</v>
      </c>
      <c r="F238" s="15">
        <v>0</v>
      </c>
      <c r="G238" s="15">
        <v>0</v>
      </c>
      <c r="H238" s="15">
        <v>0</v>
      </c>
      <c r="I238" s="15">
        <v>0</v>
      </c>
      <c r="J238" s="14">
        <v>0.009585390429317487</v>
      </c>
      <c r="K238" s="14">
        <v>0</v>
      </c>
      <c r="L238" s="15">
        <v>0</v>
      </c>
      <c r="M238" s="15">
        <v>0</v>
      </c>
      <c r="N238" s="15">
        <v>0</v>
      </c>
      <c r="O238" s="14">
        <v>0</v>
      </c>
      <c r="P238" s="14">
        <v>0</v>
      </c>
      <c r="Q238" s="15">
        <v>0</v>
      </c>
      <c r="R238" s="15">
        <v>0</v>
      </c>
      <c r="S238" s="16">
        <v>0</v>
      </c>
    </row>
    <row r="239" spans="1:19" ht="12.75">
      <c r="A239" s="59"/>
      <c r="B239" s="5" t="s">
        <v>959</v>
      </c>
      <c r="C239" s="14">
        <v>0</v>
      </c>
      <c r="D239" s="15">
        <v>0</v>
      </c>
      <c r="E239" s="15">
        <v>0</v>
      </c>
      <c r="F239" s="15">
        <v>0</v>
      </c>
      <c r="G239" s="15">
        <v>0</v>
      </c>
      <c r="H239" s="15">
        <v>0</v>
      </c>
      <c r="I239" s="15">
        <v>0</v>
      </c>
      <c r="J239" s="14">
        <v>0</v>
      </c>
      <c r="K239" s="14">
        <v>0</v>
      </c>
      <c r="L239" s="15">
        <v>0</v>
      </c>
      <c r="M239" s="15">
        <v>0</v>
      </c>
      <c r="N239" s="15">
        <v>0</v>
      </c>
      <c r="O239" s="14">
        <v>0</v>
      </c>
      <c r="P239" s="14">
        <v>0</v>
      </c>
      <c r="Q239" s="15">
        <v>0</v>
      </c>
      <c r="R239" s="15">
        <v>0</v>
      </c>
      <c r="S239" s="16">
        <v>0</v>
      </c>
    </row>
    <row r="240" spans="1:19" ht="12.75">
      <c r="A240" s="59"/>
      <c r="B240" s="5" t="s">
        <v>915</v>
      </c>
      <c r="C240" s="14">
        <v>0</v>
      </c>
      <c r="D240" s="15">
        <v>0</v>
      </c>
      <c r="E240" s="15">
        <v>0</v>
      </c>
      <c r="F240" s="15">
        <v>0</v>
      </c>
      <c r="G240" s="15">
        <v>0</v>
      </c>
      <c r="H240" s="15">
        <v>0</v>
      </c>
      <c r="I240" s="15">
        <v>0</v>
      </c>
      <c r="J240" s="14">
        <v>0</v>
      </c>
      <c r="K240" s="14">
        <v>0</v>
      </c>
      <c r="L240" s="15">
        <v>0</v>
      </c>
      <c r="M240" s="15">
        <v>0</v>
      </c>
      <c r="N240" s="15">
        <v>0</v>
      </c>
      <c r="O240" s="14">
        <v>0</v>
      </c>
      <c r="P240" s="14">
        <v>0</v>
      </c>
      <c r="Q240" s="15">
        <v>0</v>
      </c>
      <c r="R240" s="15">
        <v>0</v>
      </c>
      <c r="S240" s="16">
        <v>0</v>
      </c>
    </row>
    <row r="241" spans="1:19" ht="12.75">
      <c r="A241" s="59"/>
      <c r="B241" s="5" t="s">
        <v>933</v>
      </c>
      <c r="C241" s="14">
        <v>0.9719083812654067</v>
      </c>
      <c r="D241" s="15">
        <v>0.8632393552116113</v>
      </c>
      <c r="E241" s="15">
        <v>0.8450057706431644</v>
      </c>
      <c r="F241" s="15">
        <v>0.8233409610983982</v>
      </c>
      <c r="G241" s="15">
        <v>0.9581036877716539</v>
      </c>
      <c r="H241" s="15">
        <v>0</v>
      </c>
      <c r="I241" s="15">
        <v>0</v>
      </c>
      <c r="J241" s="14">
        <v>0.8890400226615593</v>
      </c>
      <c r="K241" s="14">
        <v>0</v>
      </c>
      <c r="L241" s="15">
        <v>0</v>
      </c>
      <c r="M241" s="15">
        <v>0</v>
      </c>
      <c r="N241" s="15">
        <v>0</v>
      </c>
      <c r="O241" s="14">
        <v>0</v>
      </c>
      <c r="P241" s="14">
        <v>0</v>
      </c>
      <c r="Q241" s="15">
        <v>0</v>
      </c>
      <c r="R241" s="15">
        <v>0</v>
      </c>
      <c r="S241" s="16">
        <v>0</v>
      </c>
    </row>
    <row r="242" spans="1:19" ht="12.75">
      <c r="A242" s="59"/>
      <c r="B242" s="5" t="s">
        <v>957</v>
      </c>
      <c r="C242" s="14">
        <v>0</v>
      </c>
      <c r="D242" s="15">
        <v>0</v>
      </c>
      <c r="E242" s="15">
        <v>0</v>
      </c>
      <c r="F242" s="15">
        <v>0</v>
      </c>
      <c r="G242" s="15">
        <v>0</v>
      </c>
      <c r="H242" s="15">
        <v>0</v>
      </c>
      <c r="I242" s="15">
        <v>0</v>
      </c>
      <c r="J242" s="14">
        <v>0</v>
      </c>
      <c r="K242" s="14">
        <v>0</v>
      </c>
      <c r="L242" s="15">
        <v>0</v>
      </c>
      <c r="M242" s="15">
        <v>0</v>
      </c>
      <c r="N242" s="15">
        <v>0</v>
      </c>
      <c r="O242" s="14">
        <v>0</v>
      </c>
      <c r="P242" s="14">
        <v>0</v>
      </c>
      <c r="Q242" s="15">
        <v>0</v>
      </c>
      <c r="R242" s="15">
        <v>0</v>
      </c>
      <c r="S242" s="16">
        <v>0</v>
      </c>
    </row>
    <row r="243" spans="1:19" ht="12.75">
      <c r="A243" s="59"/>
      <c r="B243" s="5" t="s">
        <v>935</v>
      </c>
      <c r="C243" s="14">
        <v>0</v>
      </c>
      <c r="D243" s="15">
        <v>0</v>
      </c>
      <c r="E243" s="15">
        <v>0</v>
      </c>
      <c r="F243" s="15">
        <v>0</v>
      </c>
      <c r="G243" s="15">
        <v>0</v>
      </c>
      <c r="H243" s="15">
        <v>0</v>
      </c>
      <c r="I243" s="15">
        <v>0</v>
      </c>
      <c r="J243" s="14">
        <v>0</v>
      </c>
      <c r="K243" s="14">
        <v>0</v>
      </c>
      <c r="L243" s="15">
        <v>0</v>
      </c>
      <c r="M243" s="15">
        <v>0</v>
      </c>
      <c r="N243" s="15">
        <v>0</v>
      </c>
      <c r="O243" s="14">
        <v>0</v>
      </c>
      <c r="P243" s="14">
        <v>0</v>
      </c>
      <c r="Q243" s="15">
        <v>0</v>
      </c>
      <c r="R243" s="15">
        <v>0</v>
      </c>
      <c r="S243" s="16">
        <v>0</v>
      </c>
    </row>
    <row r="244" spans="1:19" ht="12.75">
      <c r="A244" s="59"/>
      <c r="B244" s="5" t="s">
        <v>937</v>
      </c>
      <c r="C244" s="14">
        <v>0.00337236373596275</v>
      </c>
      <c r="D244" s="15">
        <v>0.11335174362597136</v>
      </c>
      <c r="E244" s="15">
        <v>0.10075018361137342</v>
      </c>
      <c r="F244" s="15">
        <v>0.026640973142237744</v>
      </c>
      <c r="G244" s="15">
        <v>0.020119191647622887</v>
      </c>
      <c r="H244" s="15">
        <v>0</v>
      </c>
      <c r="I244" s="15">
        <v>0</v>
      </c>
      <c r="J244" s="14">
        <v>0.05442602200314914</v>
      </c>
      <c r="K244" s="14">
        <v>0</v>
      </c>
      <c r="L244" s="15">
        <v>0</v>
      </c>
      <c r="M244" s="15">
        <v>0</v>
      </c>
      <c r="N244" s="15">
        <v>0</v>
      </c>
      <c r="O244" s="14">
        <v>0</v>
      </c>
      <c r="P244" s="14">
        <v>0</v>
      </c>
      <c r="Q244" s="15">
        <v>0</v>
      </c>
      <c r="R244" s="15">
        <v>0</v>
      </c>
      <c r="S244" s="16">
        <v>0</v>
      </c>
    </row>
    <row r="245" spans="1:19" ht="12.75">
      <c r="A245" s="59"/>
      <c r="B245" s="5" t="s">
        <v>961</v>
      </c>
      <c r="C245" s="14">
        <v>0</v>
      </c>
      <c r="D245" s="15">
        <v>0</v>
      </c>
      <c r="E245" s="15">
        <v>0</v>
      </c>
      <c r="F245" s="15">
        <v>0</v>
      </c>
      <c r="G245" s="15">
        <v>0</v>
      </c>
      <c r="H245" s="15">
        <v>0</v>
      </c>
      <c r="I245" s="15">
        <v>0</v>
      </c>
      <c r="J245" s="14">
        <v>0</v>
      </c>
      <c r="K245" s="14">
        <v>0</v>
      </c>
      <c r="L245" s="15">
        <v>0</v>
      </c>
      <c r="M245" s="15">
        <v>0</v>
      </c>
      <c r="N245" s="15">
        <v>0</v>
      </c>
      <c r="O245" s="14">
        <v>0</v>
      </c>
      <c r="P245" s="14">
        <v>0</v>
      </c>
      <c r="Q245" s="15">
        <v>0</v>
      </c>
      <c r="R245" s="15">
        <v>0</v>
      </c>
      <c r="S245" s="16">
        <v>0</v>
      </c>
    </row>
    <row r="246" spans="1:19" ht="12.75">
      <c r="A246" s="59"/>
      <c r="B246" s="5" t="s">
        <v>939</v>
      </c>
      <c r="C246" s="14">
        <v>0</v>
      </c>
      <c r="D246" s="15">
        <v>0</v>
      </c>
      <c r="E246" s="15">
        <v>0</v>
      </c>
      <c r="F246" s="15">
        <v>0</v>
      </c>
      <c r="G246" s="15">
        <v>0</v>
      </c>
      <c r="H246" s="15">
        <v>0</v>
      </c>
      <c r="I246" s="15">
        <v>0</v>
      </c>
      <c r="J246" s="14">
        <v>0</v>
      </c>
      <c r="K246" s="14">
        <v>0</v>
      </c>
      <c r="L246" s="15">
        <v>0</v>
      </c>
      <c r="M246" s="15">
        <v>0</v>
      </c>
      <c r="N246" s="15">
        <v>0</v>
      </c>
      <c r="O246" s="14">
        <v>0</v>
      </c>
      <c r="P246" s="14">
        <v>0</v>
      </c>
      <c r="Q246" s="15">
        <v>0</v>
      </c>
      <c r="R246" s="15">
        <v>0</v>
      </c>
      <c r="S246" s="16">
        <v>0</v>
      </c>
    </row>
    <row r="247" spans="1:19" ht="12.75">
      <c r="A247" s="59"/>
      <c r="B247" s="5" t="s">
        <v>941</v>
      </c>
      <c r="C247" s="14">
        <v>0.0076006573541495485</v>
      </c>
      <c r="D247" s="15">
        <v>0.01579859996146683</v>
      </c>
      <c r="E247" s="15">
        <v>0.022964536774735075</v>
      </c>
      <c r="F247" s="15">
        <v>0.13567385282428038</v>
      </c>
      <c r="G247" s="15">
        <v>0.021777120580723217</v>
      </c>
      <c r="H247" s="15">
        <v>0</v>
      </c>
      <c r="I247" s="15">
        <v>0</v>
      </c>
      <c r="J247" s="14">
        <v>0.04048967342345216</v>
      </c>
      <c r="K247" s="14">
        <v>0</v>
      </c>
      <c r="L247" s="15">
        <v>0</v>
      </c>
      <c r="M247" s="15">
        <v>0</v>
      </c>
      <c r="N247" s="15">
        <v>0</v>
      </c>
      <c r="O247" s="14">
        <v>0</v>
      </c>
      <c r="P247" s="14">
        <v>0</v>
      </c>
      <c r="Q247" s="15">
        <v>0</v>
      </c>
      <c r="R247" s="15">
        <v>0</v>
      </c>
      <c r="S247" s="16">
        <v>0</v>
      </c>
    </row>
    <row r="248" spans="1:19" ht="12.75">
      <c r="A248" s="59"/>
      <c r="B248" s="5" t="s">
        <v>967</v>
      </c>
      <c r="C248" s="14">
        <v>0</v>
      </c>
      <c r="D248" s="15">
        <v>0</v>
      </c>
      <c r="E248" s="15">
        <v>0</v>
      </c>
      <c r="F248" s="15">
        <v>0</v>
      </c>
      <c r="G248" s="15">
        <v>0</v>
      </c>
      <c r="H248" s="15">
        <v>0</v>
      </c>
      <c r="I248" s="15">
        <v>0</v>
      </c>
      <c r="J248" s="14">
        <v>0</v>
      </c>
      <c r="K248" s="14">
        <v>0</v>
      </c>
      <c r="L248" s="15">
        <v>0</v>
      </c>
      <c r="M248" s="15">
        <v>0</v>
      </c>
      <c r="N248" s="15">
        <v>0</v>
      </c>
      <c r="O248" s="14">
        <v>0</v>
      </c>
      <c r="P248" s="14">
        <v>0</v>
      </c>
      <c r="Q248" s="15">
        <v>0</v>
      </c>
      <c r="R248" s="15">
        <v>0</v>
      </c>
      <c r="S248" s="16">
        <v>0</v>
      </c>
    </row>
    <row r="249" spans="1:19" ht="12.75">
      <c r="A249" s="59"/>
      <c r="B249" s="5" t="s">
        <v>943</v>
      </c>
      <c r="C249" s="14">
        <v>0</v>
      </c>
      <c r="D249" s="15">
        <v>0</v>
      </c>
      <c r="E249" s="15">
        <v>0</v>
      </c>
      <c r="F249" s="15">
        <v>0</v>
      </c>
      <c r="G249" s="15">
        <v>0</v>
      </c>
      <c r="H249" s="15">
        <v>0</v>
      </c>
      <c r="I249" s="15">
        <v>0</v>
      </c>
      <c r="J249" s="14">
        <v>0</v>
      </c>
      <c r="K249" s="14">
        <v>0</v>
      </c>
      <c r="L249" s="15">
        <v>0</v>
      </c>
      <c r="M249" s="15">
        <v>0</v>
      </c>
      <c r="N249" s="15">
        <v>0</v>
      </c>
      <c r="O249" s="14">
        <v>0</v>
      </c>
      <c r="P249" s="14">
        <v>0</v>
      </c>
      <c r="Q249" s="15">
        <v>0</v>
      </c>
      <c r="R249" s="15">
        <v>0</v>
      </c>
      <c r="S249" s="16">
        <v>0</v>
      </c>
    </row>
    <row r="250" spans="1:19" ht="12.75">
      <c r="A250" s="59"/>
      <c r="B250" s="5" t="s">
        <v>945</v>
      </c>
      <c r="C250" s="14">
        <v>0.017118597644480964</v>
      </c>
      <c r="D250" s="15">
        <v>0.007385524372230428</v>
      </c>
      <c r="E250" s="15">
        <v>0.0312795089707271</v>
      </c>
      <c r="F250" s="15">
        <v>0.014344212935083705</v>
      </c>
      <c r="G250" s="15">
        <v>0</v>
      </c>
      <c r="H250" s="15">
        <v>0</v>
      </c>
      <c r="I250" s="15">
        <v>0</v>
      </c>
      <c r="J250" s="14">
        <v>0.015990690386445936</v>
      </c>
      <c r="K250" s="14">
        <v>0</v>
      </c>
      <c r="L250" s="15">
        <v>0</v>
      </c>
      <c r="M250" s="15">
        <v>0</v>
      </c>
      <c r="N250" s="15">
        <v>0</v>
      </c>
      <c r="O250" s="14">
        <v>0</v>
      </c>
      <c r="P250" s="14">
        <v>0</v>
      </c>
      <c r="Q250" s="15">
        <v>0</v>
      </c>
      <c r="R250" s="15">
        <v>0</v>
      </c>
      <c r="S250" s="16">
        <v>0</v>
      </c>
    </row>
    <row r="251" spans="1:19" ht="12.75">
      <c r="A251" s="59"/>
      <c r="B251" s="5" t="s">
        <v>969</v>
      </c>
      <c r="C251" s="14">
        <v>0</v>
      </c>
      <c r="D251" s="15">
        <v>0</v>
      </c>
      <c r="E251" s="15">
        <v>0</v>
      </c>
      <c r="F251" s="15">
        <v>0</v>
      </c>
      <c r="G251" s="15">
        <v>0</v>
      </c>
      <c r="H251" s="15">
        <v>0</v>
      </c>
      <c r="I251" s="15">
        <v>0</v>
      </c>
      <c r="J251" s="14">
        <v>0</v>
      </c>
      <c r="K251" s="14">
        <v>0</v>
      </c>
      <c r="L251" s="15">
        <v>0</v>
      </c>
      <c r="M251" s="15">
        <v>0</v>
      </c>
      <c r="N251" s="15">
        <v>0</v>
      </c>
      <c r="O251" s="14">
        <v>0</v>
      </c>
      <c r="P251" s="14">
        <v>0</v>
      </c>
      <c r="Q251" s="15">
        <v>0</v>
      </c>
      <c r="R251" s="15">
        <v>0</v>
      </c>
      <c r="S251" s="16">
        <v>0</v>
      </c>
    </row>
    <row r="252" spans="1:19" ht="12.75">
      <c r="A252" s="59"/>
      <c r="B252" s="5" t="s">
        <v>947</v>
      </c>
      <c r="C252" s="14">
        <v>0</v>
      </c>
      <c r="D252" s="15">
        <v>0</v>
      </c>
      <c r="E252" s="15">
        <v>0</v>
      </c>
      <c r="F252" s="15">
        <v>0</v>
      </c>
      <c r="G252" s="15">
        <v>0</v>
      </c>
      <c r="H252" s="15">
        <v>0</v>
      </c>
      <c r="I252" s="15">
        <v>0</v>
      </c>
      <c r="J252" s="14">
        <v>0</v>
      </c>
      <c r="K252" s="14">
        <v>0</v>
      </c>
      <c r="L252" s="15">
        <v>0</v>
      </c>
      <c r="M252" s="15">
        <v>0</v>
      </c>
      <c r="N252" s="15">
        <v>0</v>
      </c>
      <c r="O252" s="14">
        <v>0</v>
      </c>
      <c r="P252" s="14">
        <v>0</v>
      </c>
      <c r="Q252" s="15">
        <v>0</v>
      </c>
      <c r="R252" s="15">
        <v>0</v>
      </c>
      <c r="S252" s="16">
        <v>0</v>
      </c>
    </row>
    <row r="253" spans="1:19" ht="12.75">
      <c r="A253" s="59"/>
      <c r="B253" s="5" t="s">
        <v>949</v>
      </c>
      <c r="C253" s="14">
        <v>0</v>
      </c>
      <c r="D253" s="297">
        <v>0.00022477682872005652</v>
      </c>
      <c r="E253" s="15">
        <v>0</v>
      </c>
      <c r="F253" s="15">
        <v>0</v>
      </c>
      <c r="G253" s="15">
        <v>0</v>
      </c>
      <c r="H253" s="15">
        <v>0</v>
      </c>
      <c r="I253" s="15">
        <v>0</v>
      </c>
      <c r="J253" s="14">
        <v>5.359152539345112E-05</v>
      </c>
      <c r="K253" s="14">
        <v>0</v>
      </c>
      <c r="L253" s="15">
        <v>0</v>
      </c>
      <c r="M253" s="15">
        <v>0</v>
      </c>
      <c r="N253" s="15">
        <v>0</v>
      </c>
      <c r="O253" s="14">
        <v>0</v>
      </c>
      <c r="P253" s="14">
        <v>0</v>
      </c>
      <c r="Q253" s="15">
        <v>0</v>
      </c>
      <c r="R253" s="15">
        <v>0</v>
      </c>
      <c r="S253" s="16">
        <v>0</v>
      </c>
    </row>
    <row r="254" spans="1:19" ht="12.75">
      <c r="A254" s="59"/>
      <c r="B254" s="5" t="s">
        <v>975</v>
      </c>
      <c r="C254" s="14">
        <v>0</v>
      </c>
      <c r="D254" s="15">
        <v>0</v>
      </c>
      <c r="E254" s="15">
        <v>0</v>
      </c>
      <c r="F254" s="15">
        <v>0</v>
      </c>
      <c r="G254" s="15">
        <v>0</v>
      </c>
      <c r="H254" s="15">
        <v>0</v>
      </c>
      <c r="I254" s="15">
        <v>0</v>
      </c>
      <c r="J254" s="14">
        <v>0</v>
      </c>
      <c r="K254" s="14">
        <v>0</v>
      </c>
      <c r="L254" s="15">
        <v>0</v>
      </c>
      <c r="M254" s="15">
        <v>0</v>
      </c>
      <c r="N254" s="15">
        <v>0</v>
      </c>
      <c r="O254" s="14">
        <v>0</v>
      </c>
      <c r="P254" s="14">
        <v>0</v>
      </c>
      <c r="Q254" s="15">
        <v>0</v>
      </c>
      <c r="R254" s="15">
        <v>0</v>
      </c>
      <c r="S254" s="16">
        <v>0</v>
      </c>
    </row>
    <row r="255" spans="1:19" ht="12.75">
      <c r="A255" s="59"/>
      <c r="B255" s="5" t="s">
        <v>951</v>
      </c>
      <c r="C255" s="14">
        <v>0</v>
      </c>
      <c r="D255" s="15">
        <v>0</v>
      </c>
      <c r="E255" s="15">
        <v>0</v>
      </c>
      <c r="F255" s="15">
        <v>0</v>
      </c>
      <c r="G255" s="15">
        <v>0</v>
      </c>
      <c r="H255" s="15">
        <v>0</v>
      </c>
      <c r="I255" s="15">
        <v>0</v>
      </c>
      <c r="J255" s="14">
        <v>0</v>
      </c>
      <c r="K255" s="14">
        <v>0</v>
      </c>
      <c r="L255" s="15">
        <v>0</v>
      </c>
      <c r="M255" s="15">
        <v>0</v>
      </c>
      <c r="N255" s="15">
        <v>0</v>
      </c>
      <c r="O255" s="14">
        <v>0</v>
      </c>
      <c r="P255" s="14">
        <v>0</v>
      </c>
      <c r="Q255" s="15">
        <v>0</v>
      </c>
      <c r="R255" s="15">
        <v>0</v>
      </c>
      <c r="S255" s="16">
        <v>0</v>
      </c>
    </row>
    <row r="256" spans="1:19" ht="12.75">
      <c r="A256" s="59"/>
      <c r="B256" s="5" t="s">
        <v>953</v>
      </c>
      <c r="C256" s="14">
        <v>0</v>
      </c>
      <c r="D256" s="15">
        <v>0</v>
      </c>
      <c r="E256" s="15">
        <v>0</v>
      </c>
      <c r="F256" s="15">
        <v>0</v>
      </c>
      <c r="G256" s="15">
        <v>0</v>
      </c>
      <c r="H256" s="15">
        <v>0</v>
      </c>
      <c r="I256" s="15">
        <v>0</v>
      </c>
      <c r="J256" s="14">
        <v>0</v>
      </c>
      <c r="K256" s="14">
        <v>0</v>
      </c>
      <c r="L256" s="15">
        <v>0</v>
      </c>
      <c r="M256" s="15">
        <v>0</v>
      </c>
      <c r="N256" s="15">
        <v>0</v>
      </c>
      <c r="O256" s="14">
        <v>0</v>
      </c>
      <c r="P256" s="14">
        <v>0</v>
      </c>
      <c r="Q256" s="15">
        <v>0</v>
      </c>
      <c r="R256" s="15">
        <v>0</v>
      </c>
      <c r="S256" s="16">
        <v>0</v>
      </c>
    </row>
    <row r="257" spans="1:19" s="301" customFormat="1" ht="12.75">
      <c r="A257" s="345"/>
      <c r="B257" s="5" t="s">
        <v>977</v>
      </c>
      <c r="C257" s="14">
        <v>0</v>
      </c>
      <c r="D257" s="15">
        <v>0</v>
      </c>
      <c r="E257" s="15">
        <v>0</v>
      </c>
      <c r="F257" s="15">
        <v>0</v>
      </c>
      <c r="G257" s="15">
        <v>0</v>
      </c>
      <c r="H257" s="15">
        <v>0</v>
      </c>
      <c r="I257" s="15">
        <v>0</v>
      </c>
      <c r="J257" s="14">
        <v>0</v>
      </c>
      <c r="K257" s="14">
        <v>0</v>
      </c>
      <c r="L257" s="15">
        <v>0</v>
      </c>
      <c r="M257" s="15">
        <v>0</v>
      </c>
      <c r="N257" s="15">
        <v>0</v>
      </c>
      <c r="O257" s="14">
        <v>0</v>
      </c>
      <c r="P257" s="14">
        <v>0</v>
      </c>
      <c r="Q257" s="15">
        <v>0</v>
      </c>
      <c r="R257" s="15">
        <v>0</v>
      </c>
      <c r="S257" s="16">
        <v>0</v>
      </c>
    </row>
    <row r="258" spans="1:19" s="56" customFormat="1" ht="12.75">
      <c r="A258" s="58" t="s">
        <v>474</v>
      </c>
      <c r="B258" s="3" t="s">
        <v>907</v>
      </c>
      <c r="C258" s="11">
        <v>0</v>
      </c>
      <c r="D258" s="12">
        <v>0.9916077172840343</v>
      </c>
      <c r="E258" s="12">
        <v>0.9874331618560097</v>
      </c>
      <c r="F258" s="12">
        <v>0.9781021696299657</v>
      </c>
      <c r="G258" s="12">
        <v>0</v>
      </c>
      <c r="H258" s="12">
        <v>0</v>
      </c>
      <c r="I258" s="12">
        <v>0</v>
      </c>
      <c r="J258" s="11">
        <v>0.7954891439959082</v>
      </c>
      <c r="K258" s="11">
        <v>0</v>
      </c>
      <c r="L258" s="12">
        <v>0.9177620729490034</v>
      </c>
      <c r="M258" s="12">
        <v>0.8943623192180471</v>
      </c>
      <c r="N258" s="12">
        <v>0.8494333634809925</v>
      </c>
      <c r="O258" s="11">
        <v>0.9013102667980584</v>
      </c>
      <c r="P258" s="11">
        <v>0</v>
      </c>
      <c r="Q258" s="12">
        <v>0</v>
      </c>
      <c r="R258" s="12">
        <v>0</v>
      </c>
      <c r="S258" s="13">
        <v>0</v>
      </c>
    </row>
    <row r="259" spans="1:19" ht="12.75">
      <c r="A259" s="59"/>
      <c r="B259" s="5" t="s">
        <v>909</v>
      </c>
      <c r="C259" s="14">
        <v>0</v>
      </c>
      <c r="D259" s="15">
        <v>0.9905961813222497</v>
      </c>
      <c r="E259" s="15">
        <v>0.9864595637252168</v>
      </c>
      <c r="F259" s="15">
        <v>0.9662718103766618</v>
      </c>
      <c r="G259" s="15">
        <v>0</v>
      </c>
      <c r="H259" s="15">
        <v>0</v>
      </c>
      <c r="I259" s="15">
        <v>0</v>
      </c>
      <c r="J259" s="14">
        <v>0.7516775469246679</v>
      </c>
      <c r="K259" s="14">
        <v>0</v>
      </c>
      <c r="L259" s="15">
        <v>0.9416255918354826</v>
      </c>
      <c r="M259" s="15">
        <v>0.8729592027140138</v>
      </c>
      <c r="N259" s="15">
        <v>0.8559796909468196</v>
      </c>
      <c r="O259" s="14">
        <v>0.9007036057751289</v>
      </c>
      <c r="P259" s="14">
        <v>0</v>
      </c>
      <c r="Q259" s="15">
        <v>0</v>
      </c>
      <c r="R259" s="15">
        <v>0</v>
      </c>
      <c r="S259" s="16">
        <v>0</v>
      </c>
    </row>
    <row r="260" spans="1:19" ht="12.75">
      <c r="A260" s="59"/>
      <c r="B260" s="5" t="s">
        <v>955</v>
      </c>
      <c r="C260" s="14">
        <v>0</v>
      </c>
      <c r="D260" s="15">
        <v>-0.10115359617846043</v>
      </c>
      <c r="E260" s="15">
        <v>-0.09735981307928965</v>
      </c>
      <c r="F260" s="15">
        <v>-1.183035925330389</v>
      </c>
      <c r="G260" s="15">
        <v>0</v>
      </c>
      <c r="H260" s="15">
        <v>0</v>
      </c>
      <c r="I260" s="15">
        <v>0</v>
      </c>
      <c r="J260" s="14">
        <v>-4.381159707124027</v>
      </c>
      <c r="K260" s="14">
        <v>0</v>
      </c>
      <c r="L260" s="15">
        <v>2.3863518886479196</v>
      </c>
      <c r="M260" s="15">
        <v>-2.140311650403326</v>
      </c>
      <c r="N260" s="15">
        <v>0.6546327465827062</v>
      </c>
      <c r="O260" s="14">
        <v>-0.06066610229295</v>
      </c>
      <c r="P260" s="14">
        <v>0</v>
      </c>
      <c r="Q260" s="15">
        <v>0</v>
      </c>
      <c r="R260" s="15">
        <v>0</v>
      </c>
      <c r="S260" s="16">
        <v>0</v>
      </c>
    </row>
    <row r="261" spans="1:19" ht="12.75">
      <c r="A261" s="59"/>
      <c r="B261" s="5" t="s">
        <v>911</v>
      </c>
      <c r="C261" s="14">
        <v>0</v>
      </c>
      <c r="D261" s="15">
        <v>0.008392282715965678</v>
      </c>
      <c r="E261" s="15">
        <v>0.011837003623831124</v>
      </c>
      <c r="F261" s="15">
        <v>0.007174125296889709</v>
      </c>
      <c r="G261" s="15">
        <v>0</v>
      </c>
      <c r="H261" s="15">
        <v>0</v>
      </c>
      <c r="I261" s="15">
        <v>0.29951611264309014</v>
      </c>
      <c r="J261" s="14">
        <v>0.06466686436098669</v>
      </c>
      <c r="K261" s="14">
        <v>0</v>
      </c>
      <c r="L261" s="15">
        <v>0.021095444955109198</v>
      </c>
      <c r="M261" s="15">
        <v>0.022443565520551562</v>
      </c>
      <c r="N261" s="15">
        <v>0.08712780783603107</v>
      </c>
      <c r="O261" s="14">
        <v>0.03143180408044089</v>
      </c>
      <c r="P261" s="14">
        <v>0</v>
      </c>
      <c r="Q261" s="15">
        <v>0</v>
      </c>
      <c r="R261" s="15">
        <v>0</v>
      </c>
      <c r="S261" s="16">
        <v>0</v>
      </c>
    </row>
    <row r="262" spans="1:19" ht="12.75">
      <c r="A262" s="59"/>
      <c r="B262" s="5" t="s">
        <v>913</v>
      </c>
      <c r="C262" s="14">
        <v>0</v>
      </c>
      <c r="D262" s="15">
        <v>0.009403818677750357</v>
      </c>
      <c r="E262" s="15">
        <v>0.011320027780453308</v>
      </c>
      <c r="F262" s="15">
        <v>0.005804560561299852</v>
      </c>
      <c r="G262" s="15">
        <v>0</v>
      </c>
      <c r="H262" s="15">
        <v>0</v>
      </c>
      <c r="I262" s="15">
        <v>0.2602296057589854</v>
      </c>
      <c r="J262" s="14">
        <v>0.0675941242814441</v>
      </c>
      <c r="K262" s="14">
        <v>0</v>
      </c>
      <c r="L262" s="15">
        <v>0.008348331611939994</v>
      </c>
      <c r="M262" s="15">
        <v>0.048577506313209846</v>
      </c>
      <c r="N262" s="15">
        <v>0.08709606171247201</v>
      </c>
      <c r="O262" s="14">
        <v>0.03844419233137472</v>
      </c>
      <c r="P262" s="14">
        <v>0</v>
      </c>
      <c r="Q262" s="15">
        <v>0</v>
      </c>
      <c r="R262" s="15">
        <v>0</v>
      </c>
      <c r="S262" s="16">
        <v>0</v>
      </c>
    </row>
    <row r="263" spans="1:19" ht="12.75">
      <c r="A263" s="59"/>
      <c r="B263" s="5" t="s">
        <v>963</v>
      </c>
      <c r="C263" s="14">
        <v>0</v>
      </c>
      <c r="D263" s="15">
        <v>0.10115359617846789</v>
      </c>
      <c r="E263" s="15">
        <v>-0.05169758433778166</v>
      </c>
      <c r="F263" s="15">
        <v>-0.13695647355898566</v>
      </c>
      <c r="G263" s="15">
        <v>0</v>
      </c>
      <c r="H263" s="15">
        <v>0</v>
      </c>
      <c r="I263" s="15">
        <v>-3.9286506884104733</v>
      </c>
      <c r="J263" s="14">
        <v>0.2927259920457406</v>
      </c>
      <c r="K263" s="14">
        <v>0</v>
      </c>
      <c r="L263" s="15">
        <v>-1.2747113343169203</v>
      </c>
      <c r="M263" s="15">
        <v>2.6133940792658286</v>
      </c>
      <c r="N263" s="15">
        <v>-0.0031746123559051043</v>
      </c>
      <c r="O263" s="14">
        <v>0.7012388250933831</v>
      </c>
      <c r="P263" s="14">
        <v>0</v>
      </c>
      <c r="Q263" s="15">
        <v>0</v>
      </c>
      <c r="R263" s="15">
        <v>0</v>
      </c>
      <c r="S263" s="16">
        <v>0</v>
      </c>
    </row>
    <row r="264" spans="1:19" ht="12.75">
      <c r="A264" s="59"/>
      <c r="B264" s="5" t="s">
        <v>917</v>
      </c>
      <c r="C264" s="14">
        <v>0</v>
      </c>
      <c r="D264" s="15">
        <v>0</v>
      </c>
      <c r="E264" s="15">
        <v>0.0007298345201591444</v>
      </c>
      <c r="F264" s="15">
        <v>0.008512141995411726</v>
      </c>
      <c r="G264" s="15">
        <v>0</v>
      </c>
      <c r="H264" s="15">
        <v>0</v>
      </c>
      <c r="I264" s="15">
        <v>0.7004838873569098</v>
      </c>
      <c r="J264" s="14">
        <v>0.13757711169941778</v>
      </c>
      <c r="K264" s="14">
        <v>0</v>
      </c>
      <c r="L264" s="15">
        <v>0.05361620809045451</v>
      </c>
      <c r="M264" s="15">
        <v>0.05254629543501151</v>
      </c>
      <c r="N264" s="15">
        <v>0.03509895620435607</v>
      </c>
      <c r="O264" s="14">
        <v>0.05053663759017969</v>
      </c>
      <c r="P264" s="14">
        <v>0</v>
      </c>
      <c r="Q264" s="15">
        <v>0</v>
      </c>
      <c r="R264" s="15">
        <v>0</v>
      </c>
      <c r="S264" s="16">
        <v>0</v>
      </c>
    </row>
    <row r="265" spans="1:19" ht="12.75">
      <c r="A265" s="59"/>
      <c r="B265" s="5" t="s">
        <v>919</v>
      </c>
      <c r="C265" s="14">
        <v>0</v>
      </c>
      <c r="D265" s="15">
        <v>0</v>
      </c>
      <c r="E265" s="15">
        <v>0.0020455133047079755</v>
      </c>
      <c r="F265" s="15">
        <v>0.02632247045790251</v>
      </c>
      <c r="G265" s="15">
        <v>0</v>
      </c>
      <c r="H265" s="15">
        <v>0</v>
      </c>
      <c r="I265" s="15">
        <v>0.7397703942410145</v>
      </c>
      <c r="J265" s="14">
        <v>0.1802550432593597</v>
      </c>
      <c r="K265" s="14">
        <v>0</v>
      </c>
      <c r="L265" s="15">
        <v>0.050026076552577486</v>
      </c>
      <c r="M265" s="15">
        <v>0.06459822039455562</v>
      </c>
      <c r="N265" s="15">
        <v>0.03806311403664246</v>
      </c>
      <c r="O265" s="14">
        <v>0.052253419591833876</v>
      </c>
      <c r="P265" s="14">
        <v>0</v>
      </c>
      <c r="Q265" s="15">
        <v>0</v>
      </c>
      <c r="R265" s="15">
        <v>0</v>
      </c>
      <c r="S265" s="16">
        <v>0</v>
      </c>
    </row>
    <row r="266" spans="1:19" ht="12.75">
      <c r="A266" s="59"/>
      <c r="B266" s="5" t="s">
        <v>965</v>
      </c>
      <c r="C266" s="14">
        <v>0</v>
      </c>
      <c r="D266" s="15">
        <v>0</v>
      </c>
      <c r="E266" s="15">
        <v>0.1315678784548831</v>
      </c>
      <c r="F266" s="15">
        <v>1.7810328462490785</v>
      </c>
      <c r="G266" s="15">
        <v>0</v>
      </c>
      <c r="H266" s="15">
        <v>0</v>
      </c>
      <c r="I266" s="15">
        <v>3.9286506884104733</v>
      </c>
      <c r="J266" s="14">
        <v>4.267793155994193</v>
      </c>
      <c r="K266" s="14">
        <v>0</v>
      </c>
      <c r="L266" s="15">
        <v>-0.3590131537877024</v>
      </c>
      <c r="M266" s="15">
        <v>1.205192495954411</v>
      </c>
      <c r="N266" s="15">
        <v>0.2964157832286395</v>
      </c>
      <c r="O266" s="14">
        <v>0.17167820016541838</v>
      </c>
      <c r="P266" s="14">
        <v>0</v>
      </c>
      <c r="Q266" s="15">
        <v>0</v>
      </c>
      <c r="R266" s="15">
        <v>0</v>
      </c>
      <c r="S266" s="16">
        <v>0</v>
      </c>
    </row>
    <row r="267" spans="1:19" ht="12.75">
      <c r="A267" s="59"/>
      <c r="B267" s="5" t="s">
        <v>921</v>
      </c>
      <c r="C267" s="14">
        <v>0</v>
      </c>
      <c r="D267" s="15">
        <v>0</v>
      </c>
      <c r="E267" s="15">
        <v>0</v>
      </c>
      <c r="F267" s="15">
        <v>0.006211563077732881</v>
      </c>
      <c r="G267" s="15">
        <v>0</v>
      </c>
      <c r="H267" s="15">
        <v>0</v>
      </c>
      <c r="I267" s="15">
        <v>0</v>
      </c>
      <c r="J267" s="14">
        <v>0.002266879943687344</v>
      </c>
      <c r="K267" s="14">
        <v>0</v>
      </c>
      <c r="L267" s="15">
        <v>0.007526274005432972</v>
      </c>
      <c r="M267" s="15">
        <v>0.021796154976689498</v>
      </c>
      <c r="N267" s="15">
        <v>0.016791495141506244</v>
      </c>
      <c r="O267" s="14">
        <v>0.012659829434164264</v>
      </c>
      <c r="P267" s="14">
        <v>0</v>
      </c>
      <c r="Q267" s="15">
        <v>0</v>
      </c>
      <c r="R267" s="15">
        <v>0</v>
      </c>
      <c r="S267" s="16">
        <v>0</v>
      </c>
    </row>
    <row r="268" spans="1:19" ht="12.75">
      <c r="A268" s="59"/>
      <c r="B268" s="5" t="s">
        <v>923</v>
      </c>
      <c r="C268" s="14">
        <v>0</v>
      </c>
      <c r="D268" s="15">
        <v>0</v>
      </c>
      <c r="E268" s="297">
        <v>0.00017489518962187153</v>
      </c>
      <c r="F268" s="15">
        <v>0.0016011586041358938</v>
      </c>
      <c r="G268" s="15">
        <v>0</v>
      </c>
      <c r="H268" s="15">
        <v>0</v>
      </c>
      <c r="I268" s="15">
        <v>0</v>
      </c>
      <c r="J268" s="14">
        <v>0.0004732855345282276</v>
      </c>
      <c r="K268" s="14">
        <v>0</v>
      </c>
      <c r="L268" s="15">
        <v>0</v>
      </c>
      <c r="M268" s="15">
        <v>0.003397848621578827</v>
      </c>
      <c r="N268" s="15">
        <v>0.006688789937093199</v>
      </c>
      <c r="O268" s="14">
        <v>0.0025500159485533553</v>
      </c>
      <c r="P268" s="14">
        <v>0</v>
      </c>
      <c r="Q268" s="15">
        <v>0</v>
      </c>
      <c r="R268" s="15">
        <v>0</v>
      </c>
      <c r="S268" s="16">
        <v>0</v>
      </c>
    </row>
    <row r="269" spans="1:19" ht="12.75">
      <c r="A269" s="59"/>
      <c r="B269" s="5" t="s">
        <v>971</v>
      </c>
      <c r="C269" s="14">
        <v>0</v>
      </c>
      <c r="D269" s="15">
        <v>0</v>
      </c>
      <c r="E269" s="15">
        <v>0</v>
      </c>
      <c r="F269" s="15">
        <v>-0.4610404473596986</v>
      </c>
      <c r="G269" s="15">
        <v>0</v>
      </c>
      <c r="H269" s="15">
        <v>0</v>
      </c>
      <c r="I269" s="15">
        <v>0</v>
      </c>
      <c r="J269" s="14">
        <v>-0.17935944091591163</v>
      </c>
      <c r="K269" s="14">
        <v>0</v>
      </c>
      <c r="L269" s="15">
        <v>-0.7526274005432972</v>
      </c>
      <c r="M269" s="15">
        <v>-1.8398306355110674</v>
      </c>
      <c r="N269" s="15">
        <v>-1.0102705204413045</v>
      </c>
      <c r="O269" s="14">
        <v>-1.010981348561091</v>
      </c>
      <c r="P269" s="14">
        <v>0</v>
      </c>
      <c r="Q269" s="15">
        <v>0</v>
      </c>
      <c r="R269" s="15">
        <v>0</v>
      </c>
      <c r="S269" s="16">
        <v>0</v>
      </c>
    </row>
    <row r="270" spans="1:19" ht="12.75">
      <c r="A270" s="59"/>
      <c r="B270" s="5" t="s">
        <v>925</v>
      </c>
      <c r="C270" s="14">
        <v>0</v>
      </c>
      <c r="D270" s="15">
        <v>0</v>
      </c>
      <c r="E270" s="15">
        <v>0</v>
      </c>
      <c r="F270" s="15">
        <v>0</v>
      </c>
      <c r="G270" s="15">
        <v>0</v>
      </c>
      <c r="H270" s="15">
        <v>0</v>
      </c>
      <c r="I270" s="15">
        <v>0</v>
      </c>
      <c r="J270" s="14">
        <v>0</v>
      </c>
      <c r="K270" s="14">
        <v>0</v>
      </c>
      <c r="L270" s="15">
        <v>0</v>
      </c>
      <c r="M270" s="15">
        <v>0.008851664849700293</v>
      </c>
      <c r="N270" s="15">
        <v>0.01071153839964209</v>
      </c>
      <c r="O270" s="14">
        <v>0.003934936798179982</v>
      </c>
      <c r="P270" s="14">
        <v>0</v>
      </c>
      <c r="Q270" s="15">
        <v>0</v>
      </c>
      <c r="R270" s="15">
        <v>0</v>
      </c>
      <c r="S270" s="16">
        <v>0</v>
      </c>
    </row>
    <row r="271" spans="1:19" ht="12.75">
      <c r="A271" s="59"/>
      <c r="B271" s="5" t="s">
        <v>927</v>
      </c>
      <c r="C271" s="14">
        <v>0</v>
      </c>
      <c r="D271" s="15">
        <v>0</v>
      </c>
      <c r="E271" s="15">
        <v>0</v>
      </c>
      <c r="F271" s="15">
        <v>0</v>
      </c>
      <c r="G271" s="15">
        <v>0</v>
      </c>
      <c r="H271" s="15">
        <v>0</v>
      </c>
      <c r="I271" s="15">
        <v>0</v>
      </c>
      <c r="J271" s="14">
        <v>0</v>
      </c>
      <c r="K271" s="14">
        <v>0</v>
      </c>
      <c r="L271" s="15">
        <v>0</v>
      </c>
      <c r="M271" s="15">
        <v>0.010467221956641888</v>
      </c>
      <c r="N271" s="15">
        <v>0.00964734561656573</v>
      </c>
      <c r="O271" s="14">
        <v>0.005507800770437808</v>
      </c>
      <c r="P271" s="14">
        <v>0</v>
      </c>
      <c r="Q271" s="15">
        <v>0</v>
      </c>
      <c r="R271" s="15">
        <v>0</v>
      </c>
      <c r="S271" s="16">
        <v>0</v>
      </c>
    </row>
    <row r="272" spans="1:19" ht="12.75">
      <c r="A272" s="59"/>
      <c r="B272" s="5" t="s">
        <v>973</v>
      </c>
      <c r="C272" s="14">
        <v>0</v>
      </c>
      <c r="D272" s="15">
        <v>0</v>
      </c>
      <c r="E272" s="15">
        <v>0</v>
      </c>
      <c r="F272" s="15">
        <v>0</v>
      </c>
      <c r="G272" s="15">
        <v>0</v>
      </c>
      <c r="H272" s="15">
        <v>0</v>
      </c>
      <c r="I272" s="15">
        <v>0</v>
      </c>
      <c r="J272" s="14">
        <v>0</v>
      </c>
      <c r="K272" s="14">
        <v>0</v>
      </c>
      <c r="L272" s="15">
        <v>0</v>
      </c>
      <c r="M272" s="15">
        <v>0.16155571069415947</v>
      </c>
      <c r="N272" s="15">
        <v>-0.10641927830763592</v>
      </c>
      <c r="O272" s="14">
        <v>0.1572863972257826</v>
      </c>
      <c r="P272" s="14">
        <v>0</v>
      </c>
      <c r="Q272" s="15">
        <v>0</v>
      </c>
      <c r="R272" s="15">
        <v>0</v>
      </c>
      <c r="S272" s="16">
        <v>0</v>
      </c>
    </row>
    <row r="273" spans="1:19" ht="12.75">
      <c r="A273" s="59"/>
      <c r="B273" s="5" t="s">
        <v>929</v>
      </c>
      <c r="C273" s="14">
        <v>0</v>
      </c>
      <c r="D273" s="15">
        <v>0</v>
      </c>
      <c r="E273" s="15">
        <v>0</v>
      </c>
      <c r="F273" s="15">
        <v>0</v>
      </c>
      <c r="G273" s="15">
        <v>0</v>
      </c>
      <c r="H273" s="15">
        <v>0</v>
      </c>
      <c r="I273" s="15">
        <v>0</v>
      </c>
      <c r="J273" s="14">
        <v>0</v>
      </c>
      <c r="K273" s="14">
        <v>0</v>
      </c>
      <c r="L273" s="15">
        <v>0</v>
      </c>
      <c r="M273" s="15">
        <v>0</v>
      </c>
      <c r="N273" s="15">
        <v>0.0008368389374720383</v>
      </c>
      <c r="O273" s="14">
        <v>0.0001265252989768483</v>
      </c>
      <c r="P273" s="14">
        <v>0</v>
      </c>
      <c r="Q273" s="15">
        <v>0</v>
      </c>
      <c r="R273" s="15">
        <v>0</v>
      </c>
      <c r="S273" s="16">
        <v>0</v>
      </c>
    </row>
    <row r="274" spans="1:19" ht="12.75">
      <c r="A274" s="59"/>
      <c r="B274" s="5" t="s">
        <v>931</v>
      </c>
      <c r="C274" s="14">
        <v>0</v>
      </c>
      <c r="D274" s="15">
        <v>0</v>
      </c>
      <c r="E274" s="15">
        <v>0</v>
      </c>
      <c r="F274" s="15">
        <v>0</v>
      </c>
      <c r="G274" s="15">
        <v>0</v>
      </c>
      <c r="H274" s="15">
        <v>0</v>
      </c>
      <c r="I274" s="15">
        <v>0</v>
      </c>
      <c r="J274" s="14">
        <v>0</v>
      </c>
      <c r="K274" s="14">
        <v>0</v>
      </c>
      <c r="L274" s="15">
        <v>0</v>
      </c>
      <c r="M274" s="15">
        <v>0</v>
      </c>
      <c r="N274" s="15">
        <v>0.002524997750406972</v>
      </c>
      <c r="O274" s="14">
        <v>0.0005409655826713418</v>
      </c>
      <c r="P274" s="14">
        <v>0</v>
      </c>
      <c r="Q274" s="15">
        <v>0</v>
      </c>
      <c r="R274" s="15">
        <v>0</v>
      </c>
      <c r="S274" s="16">
        <v>0</v>
      </c>
    </row>
    <row r="275" spans="1:19" ht="13.5" thickBot="1">
      <c r="A275" s="59"/>
      <c r="B275" s="5" t="s">
        <v>959</v>
      </c>
      <c r="C275" s="14">
        <v>0</v>
      </c>
      <c r="D275" s="15">
        <v>0</v>
      </c>
      <c r="E275" s="15">
        <v>0</v>
      </c>
      <c r="F275" s="15">
        <v>0</v>
      </c>
      <c r="G275" s="15">
        <v>0</v>
      </c>
      <c r="H275" s="15">
        <v>0</v>
      </c>
      <c r="I275" s="15">
        <v>0</v>
      </c>
      <c r="J275" s="14">
        <v>0</v>
      </c>
      <c r="K275" s="14">
        <v>0</v>
      </c>
      <c r="L275" s="15">
        <v>0</v>
      </c>
      <c r="M275" s="15">
        <v>0</v>
      </c>
      <c r="N275" s="15">
        <v>0.16881588129349337</v>
      </c>
      <c r="O275" s="14">
        <v>0.04144402836944934</v>
      </c>
      <c r="P275" s="14">
        <v>0</v>
      </c>
      <c r="Q275" s="15">
        <v>0</v>
      </c>
      <c r="R275" s="15">
        <v>0</v>
      </c>
      <c r="S275" s="16">
        <v>0</v>
      </c>
    </row>
    <row r="276" spans="1:19" ht="12.75">
      <c r="A276" s="59"/>
      <c r="B276" s="5" t="s">
        <v>915</v>
      </c>
      <c r="C276" s="14">
        <v>0</v>
      </c>
      <c r="D276" s="15">
        <v>0.8654283548142532</v>
      </c>
      <c r="E276" s="310">
        <v>0.8334794253713173</v>
      </c>
      <c r="F276" s="15">
        <v>0.8842025743662193</v>
      </c>
      <c r="G276" s="15">
        <v>0</v>
      </c>
      <c r="H276" s="15">
        <v>0</v>
      </c>
      <c r="I276" s="15">
        <v>0</v>
      </c>
      <c r="J276" s="14">
        <v>0.5834276166126467</v>
      </c>
      <c r="K276" s="14">
        <v>0</v>
      </c>
      <c r="L276" s="15">
        <v>0</v>
      </c>
      <c r="M276" s="15">
        <v>0</v>
      </c>
      <c r="N276" s="15">
        <v>0</v>
      </c>
      <c r="O276" s="14">
        <v>0</v>
      </c>
      <c r="P276" s="14">
        <v>0</v>
      </c>
      <c r="Q276" s="15">
        <v>0</v>
      </c>
      <c r="R276" s="15">
        <v>0</v>
      </c>
      <c r="S276" s="16">
        <v>0</v>
      </c>
    </row>
    <row r="277" spans="1:19" ht="12.75">
      <c r="A277" s="59"/>
      <c r="B277" s="5" t="s">
        <v>933</v>
      </c>
      <c r="C277" s="14">
        <v>0</v>
      </c>
      <c r="D277" s="15">
        <v>0.8489461358313818</v>
      </c>
      <c r="E277" s="311">
        <v>0.7520155872077399</v>
      </c>
      <c r="F277" s="15">
        <v>0.8511382346137623</v>
      </c>
      <c r="G277" s="15">
        <v>0</v>
      </c>
      <c r="H277" s="15">
        <v>0</v>
      </c>
      <c r="I277" s="15">
        <v>0</v>
      </c>
      <c r="J277" s="14">
        <v>0.49355688910637785</v>
      </c>
      <c r="K277" s="14">
        <v>0</v>
      </c>
      <c r="L277" s="15">
        <v>0</v>
      </c>
      <c r="M277" s="15">
        <v>0</v>
      </c>
      <c r="N277" s="15">
        <v>0</v>
      </c>
      <c r="O277" s="14">
        <v>0</v>
      </c>
      <c r="P277" s="14">
        <v>0</v>
      </c>
      <c r="Q277" s="15">
        <v>0</v>
      </c>
      <c r="R277" s="15">
        <v>0</v>
      </c>
      <c r="S277" s="16">
        <v>0</v>
      </c>
    </row>
    <row r="278" spans="1:19" ht="13.5" thickBot="1">
      <c r="A278" s="59"/>
      <c r="B278" s="5" t="s">
        <v>957</v>
      </c>
      <c r="C278" s="14">
        <v>0</v>
      </c>
      <c r="D278" s="15">
        <v>-1.6482218982871388</v>
      </c>
      <c r="E278" s="381">
        <v>-8.146383816357739</v>
      </c>
      <c r="F278" s="15">
        <v>-3.306433975245704</v>
      </c>
      <c r="G278" s="15">
        <v>0</v>
      </c>
      <c r="H278" s="15">
        <v>0</v>
      </c>
      <c r="I278" s="15">
        <v>0</v>
      </c>
      <c r="J278" s="14">
        <v>-8.98707275062689</v>
      </c>
      <c r="K278" s="14">
        <v>0</v>
      </c>
      <c r="L278" s="15">
        <v>0</v>
      </c>
      <c r="M278" s="15">
        <v>0</v>
      </c>
      <c r="N278" s="15">
        <v>0</v>
      </c>
      <c r="O278" s="14">
        <v>0</v>
      </c>
      <c r="P278" s="14">
        <v>0</v>
      </c>
      <c r="Q278" s="15">
        <v>0</v>
      </c>
      <c r="R278" s="15">
        <v>0</v>
      </c>
      <c r="S278" s="16">
        <v>0</v>
      </c>
    </row>
    <row r="279" spans="1:19" ht="12.75">
      <c r="A279" s="59"/>
      <c r="B279" s="5" t="s">
        <v>935</v>
      </c>
      <c r="C279" s="14">
        <v>0</v>
      </c>
      <c r="D279" s="15">
        <v>0.019332827899924184</v>
      </c>
      <c r="E279" s="311">
        <v>0.16527879230581932</v>
      </c>
      <c r="F279" s="15">
        <v>0.060140491327211366</v>
      </c>
      <c r="G279" s="15">
        <v>0</v>
      </c>
      <c r="H279" s="15">
        <v>0</v>
      </c>
      <c r="I279" s="15">
        <v>0.2001102603369066</v>
      </c>
      <c r="J279" s="14">
        <v>0.11962635637066414</v>
      </c>
      <c r="K279" s="14">
        <v>0</v>
      </c>
      <c r="L279" s="15">
        <v>0</v>
      </c>
      <c r="M279" s="15">
        <v>0</v>
      </c>
      <c r="N279" s="15">
        <v>0</v>
      </c>
      <c r="O279" s="14">
        <v>0</v>
      </c>
      <c r="P279" s="14">
        <v>0</v>
      </c>
      <c r="Q279" s="15">
        <v>0</v>
      </c>
      <c r="R279" s="15">
        <v>0</v>
      </c>
      <c r="S279" s="16">
        <v>0</v>
      </c>
    </row>
    <row r="280" spans="1:19" ht="12.75">
      <c r="A280" s="59"/>
      <c r="B280" s="5" t="s">
        <v>937</v>
      </c>
      <c r="C280" s="14">
        <v>0</v>
      </c>
      <c r="D280" s="15">
        <v>0.024725274725274724</v>
      </c>
      <c r="E280" s="311">
        <v>0.24187046492878259</v>
      </c>
      <c r="F280" s="15">
        <v>0.07930222748363745</v>
      </c>
      <c r="G280" s="15">
        <v>0</v>
      </c>
      <c r="H280" s="15">
        <v>0</v>
      </c>
      <c r="I280" s="15">
        <v>0.1756410948550451</v>
      </c>
      <c r="J280" s="14">
        <v>0.14355989388827362</v>
      </c>
      <c r="K280" s="14">
        <v>0</v>
      </c>
      <c r="L280" s="15">
        <v>0</v>
      </c>
      <c r="M280" s="15">
        <v>0</v>
      </c>
      <c r="N280" s="15">
        <v>0</v>
      </c>
      <c r="O280" s="14">
        <v>0</v>
      </c>
      <c r="P280" s="14">
        <v>0</v>
      </c>
      <c r="Q280" s="15">
        <v>0</v>
      </c>
      <c r="R280" s="15">
        <v>0</v>
      </c>
      <c r="S280" s="16">
        <v>0</v>
      </c>
    </row>
    <row r="281" spans="1:19" ht="13.5" thickBot="1">
      <c r="A281" s="59"/>
      <c r="B281" s="5" t="s">
        <v>961</v>
      </c>
      <c r="C281" s="14">
        <v>0</v>
      </c>
      <c r="D281" s="15">
        <v>0.539244682535054</v>
      </c>
      <c r="E281" s="381">
        <v>7.659167262296326</v>
      </c>
      <c r="F281" s="15">
        <v>1.9161736156426086</v>
      </c>
      <c r="G281" s="15">
        <v>0</v>
      </c>
      <c r="H281" s="15">
        <v>0</v>
      </c>
      <c r="I281" s="15">
        <v>-2.446916548186151</v>
      </c>
      <c r="J281" s="14">
        <v>2.3933537517609476</v>
      </c>
      <c r="K281" s="14">
        <v>0</v>
      </c>
      <c r="L281" s="15">
        <v>0</v>
      </c>
      <c r="M281" s="15">
        <v>0</v>
      </c>
      <c r="N281" s="15">
        <v>0</v>
      </c>
      <c r="O281" s="14">
        <v>0</v>
      </c>
      <c r="P281" s="14">
        <v>0</v>
      </c>
      <c r="Q281" s="15">
        <v>0</v>
      </c>
      <c r="R281" s="15">
        <v>0</v>
      </c>
      <c r="S281" s="16">
        <v>0</v>
      </c>
    </row>
    <row r="282" spans="1:19" ht="12.75">
      <c r="A282" s="59"/>
      <c r="B282" s="5" t="s">
        <v>939</v>
      </c>
      <c r="C282" s="14">
        <v>0</v>
      </c>
      <c r="D282" s="15">
        <v>0.11182714177407127</v>
      </c>
      <c r="E282" s="15">
        <v>0.0012417823228634038</v>
      </c>
      <c r="F282" s="15">
        <v>0.048357664233576646</v>
      </c>
      <c r="G282" s="15">
        <v>0</v>
      </c>
      <c r="H282" s="15">
        <v>0</v>
      </c>
      <c r="I282" s="15">
        <v>0.7998897396630934</v>
      </c>
      <c r="J282" s="14">
        <v>0.2936243029412357</v>
      </c>
      <c r="K282" s="14">
        <v>0</v>
      </c>
      <c r="L282" s="15">
        <v>0</v>
      </c>
      <c r="M282" s="15">
        <v>0</v>
      </c>
      <c r="N282" s="15">
        <v>0</v>
      </c>
      <c r="O282" s="14">
        <v>0</v>
      </c>
      <c r="P282" s="14">
        <v>0</v>
      </c>
      <c r="Q282" s="15">
        <v>0</v>
      </c>
      <c r="R282" s="15">
        <v>0</v>
      </c>
      <c r="S282" s="16">
        <v>0</v>
      </c>
    </row>
    <row r="283" spans="1:19" ht="12.75">
      <c r="A283" s="59"/>
      <c r="B283" s="5" t="s">
        <v>941</v>
      </c>
      <c r="C283" s="14">
        <v>0</v>
      </c>
      <c r="D283" s="15">
        <v>0.12605836786164654</v>
      </c>
      <c r="E283" s="15">
        <v>0.00611394786347756</v>
      </c>
      <c r="F283" s="15">
        <v>0.05996652651345063</v>
      </c>
      <c r="G283" s="15">
        <v>0</v>
      </c>
      <c r="H283" s="15">
        <v>0</v>
      </c>
      <c r="I283" s="15">
        <v>0.8243589051449549</v>
      </c>
      <c r="J283" s="14">
        <v>0.3598312171083696</v>
      </c>
      <c r="K283" s="14">
        <v>0</v>
      </c>
      <c r="L283" s="15">
        <v>0</v>
      </c>
      <c r="M283" s="15">
        <v>0</v>
      </c>
      <c r="N283" s="15">
        <v>0</v>
      </c>
      <c r="O283" s="14">
        <v>0</v>
      </c>
      <c r="P283" s="14">
        <v>0</v>
      </c>
      <c r="Q283" s="15">
        <v>0</v>
      </c>
      <c r="R283" s="15">
        <v>0</v>
      </c>
      <c r="S283" s="16">
        <v>0</v>
      </c>
    </row>
    <row r="284" spans="1:19" ht="12.75">
      <c r="A284" s="59"/>
      <c r="B284" s="5" t="s">
        <v>967</v>
      </c>
      <c r="C284" s="14">
        <v>0</v>
      </c>
      <c r="D284" s="15">
        <v>1.4231226087575266</v>
      </c>
      <c r="E284" s="15">
        <v>0.4872165540614156</v>
      </c>
      <c r="F284" s="15">
        <v>1.1608862279873984</v>
      </c>
      <c r="G284" s="15">
        <v>0</v>
      </c>
      <c r="H284" s="15">
        <v>0</v>
      </c>
      <c r="I284" s="15">
        <v>2.446916548186151</v>
      </c>
      <c r="J284" s="14">
        <v>6.620691416713393</v>
      </c>
      <c r="K284" s="14">
        <v>0</v>
      </c>
      <c r="L284" s="15">
        <v>0</v>
      </c>
      <c r="M284" s="15">
        <v>0</v>
      </c>
      <c r="N284" s="15">
        <v>0</v>
      </c>
      <c r="O284" s="14">
        <v>0</v>
      </c>
      <c r="P284" s="14">
        <v>0</v>
      </c>
      <c r="Q284" s="15">
        <v>0</v>
      </c>
      <c r="R284" s="15">
        <v>0</v>
      </c>
      <c r="S284" s="16">
        <v>0</v>
      </c>
    </row>
    <row r="285" spans="1:19" ht="12.75">
      <c r="A285" s="59"/>
      <c r="B285" s="5" t="s">
        <v>943</v>
      </c>
      <c r="C285" s="14">
        <v>0</v>
      </c>
      <c r="D285" s="15">
        <v>0.003411675511751327</v>
      </c>
      <c r="E285" s="15">
        <v>0</v>
      </c>
      <c r="F285" s="15">
        <v>0.0072992700729927005</v>
      </c>
      <c r="G285" s="15">
        <v>0</v>
      </c>
      <c r="H285" s="15">
        <v>0</v>
      </c>
      <c r="I285" s="15">
        <v>0</v>
      </c>
      <c r="J285" s="14">
        <v>0.003321724075453466</v>
      </c>
      <c r="K285" s="14">
        <v>0</v>
      </c>
      <c r="L285" s="15">
        <v>0</v>
      </c>
      <c r="M285" s="15">
        <v>0</v>
      </c>
      <c r="N285" s="15">
        <v>0</v>
      </c>
      <c r="O285" s="14">
        <v>0</v>
      </c>
      <c r="P285" s="14">
        <v>0</v>
      </c>
      <c r="Q285" s="15">
        <v>0</v>
      </c>
      <c r="R285" s="15">
        <v>0</v>
      </c>
      <c r="S285" s="16">
        <v>0</v>
      </c>
    </row>
    <row r="286" spans="1:19" ht="12.75">
      <c r="A286" s="59"/>
      <c r="B286" s="5" t="s">
        <v>945</v>
      </c>
      <c r="C286" s="14">
        <v>0</v>
      </c>
      <c r="D286" s="297">
        <v>0.00027022158169699153</v>
      </c>
      <c r="E286" s="15">
        <v>0</v>
      </c>
      <c r="F286" s="15">
        <v>0.009593011389149692</v>
      </c>
      <c r="G286" s="15">
        <v>0</v>
      </c>
      <c r="H286" s="15">
        <v>0</v>
      </c>
      <c r="I286" s="15">
        <v>0</v>
      </c>
      <c r="J286" s="14">
        <v>0.0030519998969789066</v>
      </c>
      <c r="K286" s="14">
        <v>0</v>
      </c>
      <c r="L286" s="15">
        <v>0</v>
      </c>
      <c r="M286" s="15">
        <v>0</v>
      </c>
      <c r="N286" s="15">
        <v>0</v>
      </c>
      <c r="O286" s="14">
        <v>0</v>
      </c>
      <c r="P286" s="14">
        <v>0</v>
      </c>
      <c r="Q286" s="15">
        <v>0</v>
      </c>
      <c r="R286" s="15">
        <v>0</v>
      </c>
      <c r="S286" s="16">
        <v>0</v>
      </c>
    </row>
    <row r="287" spans="1:19" ht="12.75">
      <c r="A287" s="59"/>
      <c r="B287" s="5" t="s">
        <v>969</v>
      </c>
      <c r="C287" s="14">
        <v>0</v>
      </c>
      <c r="D287" s="15">
        <v>-0.31414539300543354</v>
      </c>
      <c r="E287" s="15">
        <v>0</v>
      </c>
      <c r="F287" s="15">
        <v>0.22937413161569914</v>
      </c>
      <c r="G287" s="15">
        <v>0</v>
      </c>
      <c r="H287" s="15">
        <v>0</v>
      </c>
      <c r="I287" s="15">
        <v>0</v>
      </c>
      <c r="J287" s="14">
        <v>-0.026972417847455916</v>
      </c>
      <c r="K287" s="14">
        <v>0</v>
      </c>
      <c r="L287" s="15">
        <v>0</v>
      </c>
      <c r="M287" s="15">
        <v>0</v>
      </c>
      <c r="N287" s="15">
        <v>0</v>
      </c>
      <c r="O287" s="14">
        <v>0</v>
      </c>
      <c r="P287" s="14">
        <v>0</v>
      </c>
      <c r="Q287" s="15">
        <v>0</v>
      </c>
      <c r="R287" s="15">
        <v>0</v>
      </c>
      <c r="S287" s="16">
        <v>0</v>
      </c>
    </row>
    <row r="288" spans="1:19" ht="12.75">
      <c r="A288" s="59"/>
      <c r="B288" s="5" t="s">
        <v>947</v>
      </c>
      <c r="C288" s="14">
        <v>0</v>
      </c>
      <c r="D288" s="15">
        <v>0</v>
      </c>
      <c r="E288" s="15">
        <v>0</v>
      </c>
      <c r="F288" s="15">
        <v>0</v>
      </c>
      <c r="G288" s="15">
        <v>0</v>
      </c>
      <c r="H288" s="15">
        <v>0</v>
      </c>
      <c r="I288" s="15">
        <v>0</v>
      </c>
      <c r="J288" s="14">
        <v>0</v>
      </c>
      <c r="K288" s="14">
        <v>0</v>
      </c>
      <c r="L288" s="15">
        <v>0</v>
      </c>
      <c r="M288" s="15">
        <v>0</v>
      </c>
      <c r="N288" s="15">
        <v>0</v>
      </c>
      <c r="O288" s="14">
        <v>0</v>
      </c>
      <c r="P288" s="14">
        <v>0</v>
      </c>
      <c r="Q288" s="15">
        <v>0</v>
      </c>
      <c r="R288" s="15">
        <v>0</v>
      </c>
      <c r="S288" s="16">
        <v>0</v>
      </c>
    </row>
    <row r="289" spans="1:19" ht="12.75">
      <c r="A289" s="59"/>
      <c r="B289" s="5" t="s">
        <v>949</v>
      </c>
      <c r="C289" s="14">
        <v>0</v>
      </c>
      <c r="D289" s="15">
        <v>0</v>
      </c>
      <c r="E289" s="15">
        <v>0</v>
      </c>
      <c r="F289" s="15">
        <v>0</v>
      </c>
      <c r="G289" s="15">
        <v>0</v>
      </c>
      <c r="H289" s="15">
        <v>0</v>
      </c>
      <c r="I289" s="15">
        <v>0</v>
      </c>
      <c r="J289" s="14">
        <v>0</v>
      </c>
      <c r="K289" s="14">
        <v>0</v>
      </c>
      <c r="L289" s="15">
        <v>0</v>
      </c>
      <c r="M289" s="15">
        <v>0</v>
      </c>
      <c r="N289" s="15">
        <v>0</v>
      </c>
      <c r="O289" s="14">
        <v>0</v>
      </c>
      <c r="P289" s="14">
        <v>0</v>
      </c>
      <c r="Q289" s="15">
        <v>0</v>
      </c>
      <c r="R289" s="15">
        <v>0</v>
      </c>
      <c r="S289" s="16">
        <v>0</v>
      </c>
    </row>
    <row r="290" spans="1:19" ht="12.75">
      <c r="A290" s="59"/>
      <c r="B290" s="5" t="s">
        <v>975</v>
      </c>
      <c r="C290" s="14">
        <v>0</v>
      </c>
      <c r="D290" s="15">
        <v>0</v>
      </c>
      <c r="E290" s="15">
        <v>0</v>
      </c>
      <c r="F290" s="15">
        <v>0</v>
      </c>
      <c r="G290" s="15">
        <v>0</v>
      </c>
      <c r="H290" s="15">
        <v>0</v>
      </c>
      <c r="I290" s="15">
        <v>0</v>
      </c>
      <c r="J290" s="14">
        <v>0</v>
      </c>
      <c r="K290" s="14">
        <v>0</v>
      </c>
      <c r="L290" s="15">
        <v>0</v>
      </c>
      <c r="M290" s="15">
        <v>0</v>
      </c>
      <c r="N290" s="15">
        <v>0</v>
      </c>
      <c r="O290" s="14">
        <v>0</v>
      </c>
      <c r="P290" s="14">
        <v>0</v>
      </c>
      <c r="Q290" s="15">
        <v>0</v>
      </c>
      <c r="R290" s="15">
        <v>0</v>
      </c>
      <c r="S290" s="16">
        <v>0</v>
      </c>
    </row>
    <row r="291" spans="1:19" ht="12.75">
      <c r="A291" s="59"/>
      <c r="B291" s="5" t="s">
        <v>951</v>
      </c>
      <c r="C291" s="14">
        <v>0</v>
      </c>
      <c r="D291" s="15">
        <v>0</v>
      </c>
      <c r="E291" s="15">
        <v>0</v>
      </c>
      <c r="F291" s="15">
        <v>0</v>
      </c>
      <c r="G291" s="15">
        <v>0</v>
      </c>
      <c r="H291" s="15">
        <v>0</v>
      </c>
      <c r="I291" s="15">
        <v>0</v>
      </c>
      <c r="J291" s="14">
        <v>0</v>
      </c>
      <c r="K291" s="14">
        <v>0</v>
      </c>
      <c r="L291" s="15">
        <v>0</v>
      </c>
      <c r="M291" s="15">
        <v>0</v>
      </c>
      <c r="N291" s="15">
        <v>0</v>
      </c>
      <c r="O291" s="14">
        <v>0</v>
      </c>
      <c r="P291" s="14">
        <v>0</v>
      </c>
      <c r="Q291" s="15">
        <v>0</v>
      </c>
      <c r="R291" s="15">
        <v>0</v>
      </c>
      <c r="S291" s="16">
        <v>0</v>
      </c>
    </row>
    <row r="292" spans="1:19" ht="12.75">
      <c r="A292" s="59"/>
      <c r="B292" s="5" t="s">
        <v>953</v>
      </c>
      <c r="C292" s="14">
        <v>0</v>
      </c>
      <c r="D292" s="15">
        <v>0</v>
      </c>
      <c r="E292" s="15">
        <v>0</v>
      </c>
      <c r="F292" s="15">
        <v>0</v>
      </c>
      <c r="G292" s="15">
        <v>0</v>
      </c>
      <c r="H292" s="15">
        <v>0</v>
      </c>
      <c r="I292" s="15">
        <v>0</v>
      </c>
      <c r="J292" s="14">
        <v>0</v>
      </c>
      <c r="K292" s="14">
        <v>0</v>
      </c>
      <c r="L292" s="15">
        <v>0</v>
      </c>
      <c r="M292" s="15">
        <v>0</v>
      </c>
      <c r="N292" s="15">
        <v>0</v>
      </c>
      <c r="O292" s="14">
        <v>0</v>
      </c>
      <c r="P292" s="14">
        <v>0</v>
      </c>
      <c r="Q292" s="15">
        <v>0</v>
      </c>
      <c r="R292" s="15">
        <v>0</v>
      </c>
      <c r="S292" s="16">
        <v>0</v>
      </c>
    </row>
    <row r="293" spans="1:19" s="301" customFormat="1" ht="12.75">
      <c r="A293" s="345"/>
      <c r="B293" s="5" t="s">
        <v>977</v>
      </c>
      <c r="C293" s="14">
        <v>0</v>
      </c>
      <c r="D293" s="15">
        <v>0</v>
      </c>
      <c r="E293" s="15">
        <v>0</v>
      </c>
      <c r="F293" s="15">
        <v>0</v>
      </c>
      <c r="G293" s="15">
        <v>0</v>
      </c>
      <c r="H293" s="15">
        <v>0</v>
      </c>
      <c r="I293" s="15">
        <v>0</v>
      </c>
      <c r="J293" s="14">
        <v>0</v>
      </c>
      <c r="K293" s="14">
        <v>0</v>
      </c>
      <c r="L293" s="15">
        <v>0</v>
      </c>
      <c r="M293" s="15">
        <v>0</v>
      </c>
      <c r="N293" s="15">
        <v>0</v>
      </c>
      <c r="O293" s="14">
        <v>0</v>
      </c>
      <c r="P293" s="14">
        <v>0</v>
      </c>
      <c r="Q293" s="15">
        <v>0</v>
      </c>
      <c r="R293" s="15">
        <v>0</v>
      </c>
      <c r="S293" s="16">
        <v>0</v>
      </c>
    </row>
    <row r="294" spans="1:19" s="56" customFormat="1" ht="12.75">
      <c r="A294" s="58" t="s">
        <v>83</v>
      </c>
      <c r="B294" s="3" t="s">
        <v>907</v>
      </c>
      <c r="C294" s="11">
        <v>0.8262922553051101</v>
      </c>
      <c r="D294" s="12">
        <v>0.9340383281441754</v>
      </c>
      <c r="E294" s="12">
        <v>0.9536438342832465</v>
      </c>
      <c r="F294" s="12">
        <v>0.9766150336215178</v>
      </c>
      <c r="G294" s="12">
        <v>0.9587846638726354</v>
      </c>
      <c r="H294" s="12">
        <v>0</v>
      </c>
      <c r="I294" s="12">
        <v>0</v>
      </c>
      <c r="J294" s="11">
        <v>0.919093998813532</v>
      </c>
      <c r="K294" s="11">
        <v>0</v>
      </c>
      <c r="L294" s="12">
        <v>0.9365171416056413</v>
      </c>
      <c r="M294" s="12">
        <v>0.9452940051985327</v>
      </c>
      <c r="N294" s="12">
        <v>0.9381241792138778</v>
      </c>
      <c r="O294" s="11">
        <v>0.9423488471961026</v>
      </c>
      <c r="P294" s="11">
        <v>0</v>
      </c>
      <c r="Q294" s="12">
        <v>0</v>
      </c>
      <c r="R294" s="12">
        <v>0</v>
      </c>
      <c r="S294" s="13">
        <v>0</v>
      </c>
    </row>
    <row r="295" spans="1:19" ht="12.75">
      <c r="A295" s="59"/>
      <c r="B295" s="5" t="s">
        <v>909</v>
      </c>
      <c r="C295" s="14">
        <v>0.810250472213578</v>
      </c>
      <c r="D295" s="15">
        <v>0.9231704777011153</v>
      </c>
      <c r="E295" s="15">
        <v>0.9499710011841184</v>
      </c>
      <c r="F295" s="15">
        <v>0.9690280980958016</v>
      </c>
      <c r="G295" s="15">
        <v>0.9437561267835748</v>
      </c>
      <c r="H295" s="15">
        <v>0</v>
      </c>
      <c r="I295" s="15">
        <v>0</v>
      </c>
      <c r="J295" s="14">
        <v>0.9073086806786881</v>
      </c>
      <c r="K295" s="14">
        <v>0</v>
      </c>
      <c r="L295" s="15">
        <v>0.9171678407493575</v>
      </c>
      <c r="M295" s="15">
        <v>0.9298206456052439</v>
      </c>
      <c r="N295" s="15">
        <v>0.8997250021262723</v>
      </c>
      <c r="O295" s="14">
        <v>0.9243813851569382</v>
      </c>
      <c r="P295" s="14">
        <v>0</v>
      </c>
      <c r="Q295" s="15">
        <v>0</v>
      </c>
      <c r="R295" s="15">
        <v>0</v>
      </c>
      <c r="S295" s="16">
        <v>0</v>
      </c>
    </row>
    <row r="296" spans="1:19" ht="12.75">
      <c r="A296" s="59"/>
      <c r="B296" s="5" t="s">
        <v>955</v>
      </c>
      <c r="C296" s="14">
        <v>-1.6041783091532036</v>
      </c>
      <c r="D296" s="15">
        <v>-1.0867850443060156</v>
      </c>
      <c r="E296" s="15">
        <v>-0.36728330991281366</v>
      </c>
      <c r="F296" s="15">
        <v>-0.758693552571621</v>
      </c>
      <c r="G296" s="15">
        <v>-1.50285370890606</v>
      </c>
      <c r="H296" s="15">
        <v>0</v>
      </c>
      <c r="I296" s="15">
        <v>0</v>
      </c>
      <c r="J296" s="14">
        <v>-1.1785318134843958</v>
      </c>
      <c r="K296" s="14">
        <v>0</v>
      </c>
      <c r="L296" s="15">
        <v>-1.9349300856283724</v>
      </c>
      <c r="M296" s="15">
        <v>-1.5473359593288771</v>
      </c>
      <c r="N296" s="15">
        <v>-3.839917708760554</v>
      </c>
      <c r="O296" s="14">
        <v>-1.7967462039164328</v>
      </c>
      <c r="P296" s="14">
        <v>0</v>
      </c>
      <c r="Q296" s="15">
        <v>0</v>
      </c>
      <c r="R296" s="15">
        <v>0</v>
      </c>
      <c r="S296" s="16">
        <v>0</v>
      </c>
    </row>
    <row r="297" spans="1:19" ht="12.75">
      <c r="A297" s="59"/>
      <c r="B297" s="5" t="s">
        <v>911</v>
      </c>
      <c r="C297" s="14">
        <v>0.1082377961847981</v>
      </c>
      <c r="D297" s="15">
        <v>0.03243427987995957</v>
      </c>
      <c r="E297" s="15">
        <v>0.040170071958199764</v>
      </c>
      <c r="F297" s="15">
        <v>0.013394572526416907</v>
      </c>
      <c r="G297" s="15">
        <v>0.019780931748699156</v>
      </c>
      <c r="H297" s="15">
        <v>0</v>
      </c>
      <c r="I297" s="15">
        <v>0</v>
      </c>
      <c r="J297" s="14">
        <v>0.04695741082807392</v>
      </c>
      <c r="K297" s="14">
        <v>0</v>
      </c>
      <c r="L297" s="15">
        <v>0</v>
      </c>
      <c r="M297" s="15">
        <v>0</v>
      </c>
      <c r="N297" s="15">
        <v>0</v>
      </c>
      <c r="O297" s="14">
        <v>0</v>
      </c>
      <c r="P297" s="14">
        <v>0</v>
      </c>
      <c r="Q297" s="15">
        <v>0</v>
      </c>
      <c r="R297" s="15">
        <v>0</v>
      </c>
      <c r="S297" s="16">
        <v>0</v>
      </c>
    </row>
    <row r="298" spans="1:19" ht="12.75">
      <c r="A298" s="59"/>
      <c r="B298" s="5" t="s">
        <v>913</v>
      </c>
      <c r="C298" s="14">
        <v>0.11472220815029781</v>
      </c>
      <c r="D298" s="15">
        <v>0.034901588938459766</v>
      </c>
      <c r="E298" s="15">
        <v>0.03079311761436408</v>
      </c>
      <c r="F298" s="15">
        <v>0.008669717570064118</v>
      </c>
      <c r="G298" s="15">
        <v>0.03127382638056857</v>
      </c>
      <c r="H298" s="15">
        <v>0</v>
      </c>
      <c r="I298" s="15">
        <v>0</v>
      </c>
      <c r="J298" s="14">
        <v>0.049481130060683</v>
      </c>
      <c r="K298" s="14">
        <v>0</v>
      </c>
      <c r="L298" s="15">
        <v>0</v>
      </c>
      <c r="M298" s="15">
        <v>0</v>
      </c>
      <c r="N298" s="15">
        <v>0</v>
      </c>
      <c r="O298" s="14">
        <v>0</v>
      </c>
      <c r="P298" s="14">
        <v>0</v>
      </c>
      <c r="Q298" s="15">
        <v>0</v>
      </c>
      <c r="R298" s="15">
        <v>0</v>
      </c>
      <c r="S298" s="16">
        <v>0</v>
      </c>
    </row>
    <row r="299" spans="1:19" ht="12.75">
      <c r="A299" s="59"/>
      <c r="B299" s="5" t="s">
        <v>963</v>
      </c>
      <c r="C299" s="14">
        <v>0.6484411965499703</v>
      </c>
      <c r="D299" s="15">
        <v>0.24673090585001986</v>
      </c>
      <c r="E299" s="15">
        <v>-0.9376954343835685</v>
      </c>
      <c r="F299" s="15">
        <v>-0.4724854956352789</v>
      </c>
      <c r="G299" s="15">
        <v>1.149289463186941</v>
      </c>
      <c r="H299" s="15">
        <v>0</v>
      </c>
      <c r="I299" s="15">
        <v>0</v>
      </c>
      <c r="J299" s="14">
        <v>0.25237192326090785</v>
      </c>
      <c r="K299" s="14">
        <v>0</v>
      </c>
      <c r="L299" s="15">
        <v>0</v>
      </c>
      <c r="M299" s="15">
        <v>0</v>
      </c>
      <c r="N299" s="15">
        <v>0</v>
      </c>
      <c r="O299" s="14">
        <v>0</v>
      </c>
      <c r="P299" s="14">
        <v>0</v>
      </c>
      <c r="Q299" s="15">
        <v>0</v>
      </c>
      <c r="R299" s="15">
        <v>0</v>
      </c>
      <c r="S299" s="16">
        <v>0</v>
      </c>
    </row>
    <row r="300" spans="1:19" ht="12.75">
      <c r="A300" s="59"/>
      <c r="B300" s="5" t="s">
        <v>917</v>
      </c>
      <c r="C300" s="14">
        <v>0.05452097889738544</v>
      </c>
      <c r="D300" s="15">
        <v>0.01651637577098292</v>
      </c>
      <c r="E300" s="15">
        <v>0.00618609375855378</v>
      </c>
      <c r="F300" s="15">
        <v>0.004214697406340058</v>
      </c>
      <c r="G300" s="15">
        <v>0.01056872709602964</v>
      </c>
      <c r="H300" s="15">
        <v>0</v>
      </c>
      <c r="I300" s="15">
        <v>0</v>
      </c>
      <c r="J300" s="14">
        <v>0.021988014954522038</v>
      </c>
      <c r="K300" s="14">
        <v>0</v>
      </c>
      <c r="L300" s="15">
        <v>0.06348285839435873</v>
      </c>
      <c r="M300" s="15">
        <v>0.05470599480146733</v>
      </c>
      <c r="N300" s="15">
        <v>0.06187582078612223</v>
      </c>
      <c r="O300" s="14">
        <v>0.05765115280389747</v>
      </c>
      <c r="P300" s="14">
        <v>0</v>
      </c>
      <c r="Q300" s="15">
        <v>0</v>
      </c>
      <c r="R300" s="15">
        <v>0</v>
      </c>
      <c r="S300" s="16">
        <v>0</v>
      </c>
    </row>
    <row r="301" spans="1:19" ht="12.75">
      <c r="A301" s="59"/>
      <c r="B301" s="5" t="s">
        <v>919</v>
      </c>
      <c r="C301" s="14">
        <v>0.06266654122551184</v>
      </c>
      <c r="D301" s="15">
        <v>0.024717467835976222</v>
      </c>
      <c r="E301" s="15">
        <v>0.004168579782992195</v>
      </c>
      <c r="F301" s="15">
        <v>0.014471666445295048</v>
      </c>
      <c r="G301" s="15">
        <v>0.012641596775950332</v>
      </c>
      <c r="H301" s="15">
        <v>0</v>
      </c>
      <c r="I301" s="15">
        <v>0</v>
      </c>
      <c r="J301" s="14">
        <v>0.02884785079803094</v>
      </c>
      <c r="K301" s="14">
        <v>0</v>
      </c>
      <c r="L301" s="15">
        <v>0.08283215925064248</v>
      </c>
      <c r="M301" s="15">
        <v>0.07017935439475612</v>
      </c>
      <c r="N301" s="15">
        <v>0.10027499787372778</v>
      </c>
      <c r="O301" s="14">
        <v>0.0756186148430618</v>
      </c>
      <c r="P301" s="14">
        <v>0</v>
      </c>
      <c r="Q301" s="15">
        <v>0</v>
      </c>
      <c r="R301" s="15">
        <v>0</v>
      </c>
      <c r="S301" s="16">
        <v>0</v>
      </c>
    </row>
    <row r="302" spans="1:19" ht="12.75">
      <c r="A302" s="59"/>
      <c r="B302" s="5" t="s">
        <v>965</v>
      </c>
      <c r="C302" s="14">
        <v>0.8145562328126397</v>
      </c>
      <c r="D302" s="15">
        <v>0.8201092064993303</v>
      </c>
      <c r="E302" s="15">
        <v>-0.2017513975561585</v>
      </c>
      <c r="F302" s="15">
        <v>1.025696903895499</v>
      </c>
      <c r="G302" s="15">
        <v>0.20728696799206908</v>
      </c>
      <c r="H302" s="15">
        <v>0</v>
      </c>
      <c r="I302" s="15">
        <v>0</v>
      </c>
      <c r="J302" s="14">
        <v>0.6859835843508904</v>
      </c>
      <c r="K302" s="14">
        <v>0</v>
      </c>
      <c r="L302" s="15">
        <v>1.934930085628375</v>
      </c>
      <c r="M302" s="15">
        <v>1.5473359593288785</v>
      </c>
      <c r="N302" s="15">
        <v>3.839917708760555</v>
      </c>
      <c r="O302" s="14">
        <v>1.7967462039164335</v>
      </c>
      <c r="P302" s="14">
        <v>0</v>
      </c>
      <c r="Q302" s="15">
        <v>0</v>
      </c>
      <c r="R302" s="15">
        <v>0</v>
      </c>
      <c r="S302" s="16">
        <v>0</v>
      </c>
    </row>
    <row r="303" spans="1:19" ht="12.75">
      <c r="A303" s="59"/>
      <c r="B303" s="5" t="s">
        <v>921</v>
      </c>
      <c r="C303" s="14">
        <v>0.007075443908991293</v>
      </c>
      <c r="D303" s="15">
        <v>0.009328947425346068</v>
      </c>
      <c r="E303" s="15">
        <v>0</v>
      </c>
      <c r="F303" s="15">
        <v>0.0032540826128722384</v>
      </c>
      <c r="G303" s="15">
        <v>0</v>
      </c>
      <c r="H303" s="15">
        <v>0</v>
      </c>
      <c r="I303" s="15">
        <v>0</v>
      </c>
      <c r="J303" s="14">
        <v>0.006225319119527053</v>
      </c>
      <c r="K303" s="14">
        <v>0</v>
      </c>
      <c r="L303" s="15">
        <v>0</v>
      </c>
      <c r="M303" s="15">
        <v>0</v>
      </c>
      <c r="N303" s="15">
        <v>0</v>
      </c>
      <c r="O303" s="14">
        <v>0</v>
      </c>
      <c r="P303" s="14">
        <v>0</v>
      </c>
      <c r="Q303" s="15">
        <v>0</v>
      </c>
      <c r="R303" s="15">
        <v>0</v>
      </c>
      <c r="S303" s="16">
        <v>0</v>
      </c>
    </row>
    <row r="304" spans="1:19" ht="12.75">
      <c r="A304" s="59"/>
      <c r="B304" s="5" t="s">
        <v>923</v>
      </c>
      <c r="C304" s="14">
        <v>0.009170713350074904</v>
      </c>
      <c r="D304" s="15">
        <v>0.009317480362212133</v>
      </c>
      <c r="E304" s="15">
        <v>0.014620236340349436</v>
      </c>
      <c r="F304" s="297">
        <v>0.00012678556335051982</v>
      </c>
      <c r="G304" s="15">
        <v>0</v>
      </c>
      <c r="H304" s="15">
        <v>0</v>
      </c>
      <c r="I304" s="15">
        <v>0</v>
      </c>
      <c r="J304" s="14">
        <v>0.00795067482395573</v>
      </c>
      <c r="K304" s="14">
        <v>0</v>
      </c>
      <c r="L304" s="15">
        <v>0</v>
      </c>
      <c r="M304" s="15">
        <v>0</v>
      </c>
      <c r="N304" s="15">
        <v>0</v>
      </c>
      <c r="O304" s="14">
        <v>0</v>
      </c>
      <c r="P304" s="14">
        <v>0</v>
      </c>
      <c r="Q304" s="15">
        <v>0</v>
      </c>
      <c r="R304" s="15">
        <v>0</v>
      </c>
      <c r="S304" s="16">
        <v>0</v>
      </c>
    </row>
    <row r="305" spans="1:19" ht="12.75">
      <c r="A305" s="59"/>
      <c r="B305" s="5" t="s">
        <v>971</v>
      </c>
      <c r="C305" s="14">
        <v>0.2095269441083611</v>
      </c>
      <c r="D305" s="15">
        <v>-0.001146706313393496</v>
      </c>
      <c r="E305" s="15">
        <v>0</v>
      </c>
      <c r="F305" s="15">
        <v>-0.31272970495217184</v>
      </c>
      <c r="G305" s="15">
        <v>0</v>
      </c>
      <c r="H305" s="15">
        <v>0</v>
      </c>
      <c r="I305" s="15">
        <v>0</v>
      </c>
      <c r="J305" s="14">
        <v>0.17253557044286766</v>
      </c>
      <c r="K305" s="14">
        <v>0</v>
      </c>
      <c r="L305" s="15">
        <v>0</v>
      </c>
      <c r="M305" s="15">
        <v>0</v>
      </c>
      <c r="N305" s="15">
        <v>0</v>
      </c>
      <c r="O305" s="14">
        <v>0</v>
      </c>
      <c r="P305" s="14">
        <v>0</v>
      </c>
      <c r="Q305" s="15">
        <v>0</v>
      </c>
      <c r="R305" s="15">
        <v>0</v>
      </c>
      <c r="S305" s="16">
        <v>0</v>
      </c>
    </row>
    <row r="306" spans="1:19" ht="12.75">
      <c r="A306" s="59"/>
      <c r="B306" s="5" t="s">
        <v>925</v>
      </c>
      <c r="C306" s="293">
        <v>0.00044184703844658363</v>
      </c>
      <c r="D306" s="298">
        <v>4.326301171129727E-05</v>
      </c>
      <c r="E306" s="15">
        <v>0</v>
      </c>
      <c r="F306" s="297">
        <v>0.00028818443804034583</v>
      </c>
      <c r="G306" s="15">
        <v>0</v>
      </c>
      <c r="H306" s="15">
        <v>0</v>
      </c>
      <c r="I306" s="15">
        <v>0</v>
      </c>
      <c r="J306" s="14">
        <v>0.00015078856467142974</v>
      </c>
      <c r="K306" s="14">
        <v>0</v>
      </c>
      <c r="L306" s="15">
        <v>0</v>
      </c>
      <c r="M306" s="15">
        <v>0</v>
      </c>
      <c r="N306" s="15">
        <v>0</v>
      </c>
      <c r="O306" s="14">
        <v>0</v>
      </c>
      <c r="P306" s="14">
        <v>0</v>
      </c>
      <c r="Q306" s="15">
        <v>0</v>
      </c>
      <c r="R306" s="15">
        <v>0</v>
      </c>
      <c r="S306" s="16">
        <v>0</v>
      </c>
    </row>
    <row r="307" spans="1:19" ht="12.75">
      <c r="A307" s="59"/>
      <c r="B307" s="5" t="s">
        <v>927</v>
      </c>
      <c r="C307" s="293">
        <v>6.0790713494814696E-05</v>
      </c>
      <c r="D307" s="15">
        <v>0.004663838067813546</v>
      </c>
      <c r="E307" s="15">
        <v>0.0004470650781759745</v>
      </c>
      <c r="F307" s="15">
        <v>0.0077037323254887284</v>
      </c>
      <c r="G307" s="15">
        <v>0.003832643502886396</v>
      </c>
      <c r="H307" s="15">
        <v>0</v>
      </c>
      <c r="I307" s="15">
        <v>0</v>
      </c>
      <c r="J307" s="14">
        <v>0.003401188230537783</v>
      </c>
      <c r="K307" s="14">
        <v>0</v>
      </c>
      <c r="L307" s="15">
        <v>0</v>
      </c>
      <c r="M307" s="15">
        <v>0</v>
      </c>
      <c r="N307" s="15">
        <v>0</v>
      </c>
      <c r="O307" s="14">
        <v>0</v>
      </c>
      <c r="P307" s="14">
        <v>0</v>
      </c>
      <c r="Q307" s="15">
        <v>0</v>
      </c>
      <c r="R307" s="15">
        <v>0</v>
      </c>
      <c r="S307" s="16">
        <v>0</v>
      </c>
    </row>
    <row r="308" spans="1:19" ht="12.75">
      <c r="A308" s="59"/>
      <c r="B308" s="5" t="s">
        <v>973</v>
      </c>
      <c r="C308" s="14">
        <v>-0.03810563249517689</v>
      </c>
      <c r="D308" s="15">
        <v>0.46205750561022485</v>
      </c>
      <c r="E308" s="15">
        <v>0</v>
      </c>
      <c r="F308" s="15">
        <v>0.7415547887448383</v>
      </c>
      <c r="G308" s="15">
        <v>0</v>
      </c>
      <c r="H308" s="15">
        <v>0</v>
      </c>
      <c r="I308" s="15">
        <v>0</v>
      </c>
      <c r="J308" s="14">
        <v>0.32503996658663536</v>
      </c>
      <c r="K308" s="14">
        <v>0</v>
      </c>
      <c r="L308" s="15">
        <v>0</v>
      </c>
      <c r="M308" s="15">
        <v>0</v>
      </c>
      <c r="N308" s="15">
        <v>0</v>
      </c>
      <c r="O308" s="14">
        <v>0</v>
      </c>
      <c r="P308" s="14">
        <v>0</v>
      </c>
      <c r="Q308" s="15">
        <v>0</v>
      </c>
      <c r="R308" s="15">
        <v>0</v>
      </c>
      <c r="S308" s="16">
        <v>0</v>
      </c>
    </row>
    <row r="309" spans="1:19" ht="12.75">
      <c r="A309" s="59"/>
      <c r="B309" s="5" t="s">
        <v>929</v>
      </c>
      <c r="C309" s="14">
        <v>0.0034316786652684663</v>
      </c>
      <c r="D309" s="15">
        <v>0.007638805767824722</v>
      </c>
      <c r="E309" s="15">
        <v>0</v>
      </c>
      <c r="F309" s="15">
        <v>0.0022334293948126803</v>
      </c>
      <c r="G309" s="15">
        <v>0.010865677282635837</v>
      </c>
      <c r="H309" s="15">
        <v>0</v>
      </c>
      <c r="I309" s="15">
        <v>0</v>
      </c>
      <c r="J309" s="14">
        <v>0.005584467719673476</v>
      </c>
      <c r="K309" s="14">
        <v>0</v>
      </c>
      <c r="L309" s="15">
        <v>0</v>
      </c>
      <c r="M309" s="15">
        <v>0</v>
      </c>
      <c r="N309" s="15">
        <v>0</v>
      </c>
      <c r="O309" s="14">
        <v>0</v>
      </c>
      <c r="P309" s="14">
        <v>0</v>
      </c>
      <c r="Q309" s="15">
        <v>0</v>
      </c>
      <c r="R309" s="15">
        <v>0</v>
      </c>
      <c r="S309" s="16">
        <v>0</v>
      </c>
    </row>
    <row r="310" spans="1:19" ht="12.75">
      <c r="A310" s="59"/>
      <c r="B310" s="5" t="s">
        <v>931</v>
      </c>
      <c r="C310" s="14">
        <v>0.0031292743470426043</v>
      </c>
      <c r="D310" s="15">
        <v>0.0032291470944230574</v>
      </c>
      <c r="E310" s="15">
        <v>0</v>
      </c>
      <c r="F310" s="15">
        <v>0</v>
      </c>
      <c r="G310" s="15">
        <v>0.008495806557019932</v>
      </c>
      <c r="H310" s="15">
        <v>0</v>
      </c>
      <c r="I310" s="15">
        <v>0</v>
      </c>
      <c r="J310" s="14">
        <v>0.0030104754081045097</v>
      </c>
      <c r="K310" s="14">
        <v>0</v>
      </c>
      <c r="L310" s="15">
        <v>0</v>
      </c>
      <c r="M310" s="15">
        <v>0</v>
      </c>
      <c r="N310" s="15">
        <v>0</v>
      </c>
      <c r="O310" s="14">
        <v>0</v>
      </c>
      <c r="P310" s="14">
        <v>0</v>
      </c>
      <c r="Q310" s="15">
        <v>0</v>
      </c>
      <c r="R310" s="15">
        <v>0</v>
      </c>
      <c r="S310" s="16">
        <v>0</v>
      </c>
    </row>
    <row r="311" spans="1:19" ht="12.75">
      <c r="A311" s="59"/>
      <c r="B311" s="5" t="s">
        <v>959</v>
      </c>
      <c r="C311" s="14">
        <v>-0.030240431822586192</v>
      </c>
      <c r="D311" s="15">
        <v>-0.44096586734016646</v>
      </c>
      <c r="E311" s="15">
        <v>0</v>
      </c>
      <c r="F311" s="15">
        <v>-0.22334293948126802</v>
      </c>
      <c r="G311" s="15">
        <v>-0.23698707256159054</v>
      </c>
      <c r="H311" s="15">
        <v>0</v>
      </c>
      <c r="I311" s="15">
        <v>0</v>
      </c>
      <c r="J311" s="14">
        <v>-0.25739923115689667</v>
      </c>
      <c r="K311" s="14">
        <v>0</v>
      </c>
      <c r="L311" s="15">
        <v>0</v>
      </c>
      <c r="M311" s="15">
        <v>0</v>
      </c>
      <c r="N311" s="15">
        <v>0</v>
      </c>
      <c r="O311" s="14">
        <v>0</v>
      </c>
      <c r="P311" s="14">
        <v>0</v>
      </c>
      <c r="Q311" s="15">
        <v>0</v>
      </c>
      <c r="R311" s="15">
        <v>0</v>
      </c>
      <c r="S311" s="16">
        <v>0</v>
      </c>
    </row>
    <row r="312" spans="1:19" ht="12.75">
      <c r="A312" s="59"/>
      <c r="B312" s="5" t="s">
        <v>915</v>
      </c>
      <c r="C312" s="14">
        <v>0.7436436298491008</v>
      </c>
      <c r="D312" s="15">
        <v>0.8827887812635535</v>
      </c>
      <c r="E312" s="15">
        <v>0.7549448073890516</v>
      </c>
      <c r="F312" s="15">
        <v>0.8856703655666042</v>
      </c>
      <c r="G312" s="15">
        <v>0.6178876088294785</v>
      </c>
      <c r="H312" s="15">
        <v>0</v>
      </c>
      <c r="I312" s="15">
        <v>0</v>
      </c>
      <c r="J312" s="14">
        <v>0.8206331491167915</v>
      </c>
      <c r="K312" s="14">
        <v>0</v>
      </c>
      <c r="L312" s="15">
        <v>0</v>
      </c>
      <c r="M312" s="15">
        <v>0</v>
      </c>
      <c r="N312" s="15">
        <v>0</v>
      </c>
      <c r="O312" s="14">
        <v>0</v>
      </c>
      <c r="P312" s="14">
        <v>0</v>
      </c>
      <c r="Q312" s="15">
        <v>0</v>
      </c>
      <c r="R312" s="15">
        <v>0</v>
      </c>
      <c r="S312" s="16">
        <v>0</v>
      </c>
    </row>
    <row r="313" spans="1:19" ht="12.75">
      <c r="A313" s="59"/>
      <c r="B313" s="5" t="s">
        <v>933</v>
      </c>
      <c r="C313" s="14">
        <v>0.7401748681969671</v>
      </c>
      <c r="D313" s="15">
        <v>0.8474757141768228</v>
      </c>
      <c r="E313" s="15">
        <v>0.8089668615984406</v>
      </c>
      <c r="F313" s="15">
        <v>0.8698587061339147</v>
      </c>
      <c r="G313" s="15">
        <v>0.5950801100501699</v>
      </c>
      <c r="H313" s="15">
        <v>0</v>
      </c>
      <c r="I313" s="15">
        <v>0</v>
      </c>
      <c r="J313" s="14">
        <v>0.8053814353948009</v>
      </c>
      <c r="K313" s="14">
        <v>0</v>
      </c>
      <c r="L313" s="15">
        <v>0</v>
      </c>
      <c r="M313" s="15">
        <v>0</v>
      </c>
      <c r="N313" s="15">
        <v>0</v>
      </c>
      <c r="O313" s="14">
        <v>0</v>
      </c>
      <c r="P313" s="14">
        <v>0</v>
      </c>
      <c r="Q313" s="15">
        <v>0</v>
      </c>
      <c r="R313" s="15">
        <v>0</v>
      </c>
      <c r="S313" s="16">
        <v>0</v>
      </c>
    </row>
    <row r="314" spans="1:19" ht="13.5" thickBot="1">
      <c r="A314" s="59"/>
      <c r="B314" s="5" t="s">
        <v>957</v>
      </c>
      <c r="C314" s="14">
        <v>-0.3468761652133723</v>
      </c>
      <c r="D314" s="15">
        <v>-3.5313067086730765</v>
      </c>
      <c r="E314" s="15">
        <v>5.402205420938899</v>
      </c>
      <c r="F314" s="15">
        <v>-1.5811659432689473</v>
      </c>
      <c r="G314" s="15">
        <v>-2.2807498779308544</v>
      </c>
      <c r="H314" s="15">
        <v>0</v>
      </c>
      <c r="I314" s="15">
        <v>0</v>
      </c>
      <c r="J314" s="14">
        <v>-1.5251713721990634</v>
      </c>
      <c r="K314" s="14">
        <v>0</v>
      </c>
      <c r="L314" s="15">
        <v>0</v>
      </c>
      <c r="M314" s="15">
        <v>0</v>
      </c>
      <c r="N314" s="15">
        <v>0</v>
      </c>
      <c r="O314" s="14">
        <v>0</v>
      </c>
      <c r="P314" s="14">
        <v>0</v>
      </c>
      <c r="Q314" s="15">
        <v>0</v>
      </c>
      <c r="R314" s="15">
        <v>0</v>
      </c>
      <c r="S314" s="16">
        <v>0</v>
      </c>
    </row>
    <row r="315" spans="1:19" ht="12.75">
      <c r="A315" s="59"/>
      <c r="B315" s="5" t="s">
        <v>935</v>
      </c>
      <c r="C315" s="14">
        <v>0.15115758285674913</v>
      </c>
      <c r="D315" s="15">
        <v>0.06263553563683678</v>
      </c>
      <c r="E315" s="291">
        <v>0.24208154989862582</v>
      </c>
      <c r="F315" s="15">
        <v>0.03329009943795936</v>
      </c>
      <c r="G315" s="15">
        <v>0.37076774250285816</v>
      </c>
      <c r="H315" s="15">
        <v>0</v>
      </c>
      <c r="I315" s="15">
        <v>0</v>
      </c>
      <c r="J315" s="14">
        <v>0.11648670817141552</v>
      </c>
      <c r="K315" s="14">
        <v>0</v>
      </c>
      <c r="L315" s="15">
        <v>0</v>
      </c>
      <c r="M315" s="15">
        <v>0</v>
      </c>
      <c r="N315" s="15">
        <v>0</v>
      </c>
      <c r="O315" s="14">
        <v>0</v>
      </c>
      <c r="P315" s="14">
        <v>0</v>
      </c>
      <c r="Q315" s="15">
        <v>0</v>
      </c>
      <c r="R315" s="15">
        <v>0</v>
      </c>
      <c r="S315" s="16">
        <v>0</v>
      </c>
    </row>
    <row r="316" spans="1:19" ht="12.75">
      <c r="A316" s="59"/>
      <c r="B316" s="5" t="s">
        <v>937</v>
      </c>
      <c r="C316" s="14">
        <v>0.15151441073654875</v>
      </c>
      <c r="D316" s="15">
        <v>0.0789935040187003</v>
      </c>
      <c r="E316" s="292">
        <v>0.1628849902534113</v>
      </c>
      <c r="F316" s="15">
        <v>0.0496834514276131</v>
      </c>
      <c r="G316" s="15">
        <v>0.36802071532610453</v>
      </c>
      <c r="H316" s="15">
        <v>0</v>
      </c>
      <c r="I316" s="15">
        <v>0</v>
      </c>
      <c r="J316" s="14">
        <v>0.11825895956152802</v>
      </c>
      <c r="K316" s="14">
        <v>0</v>
      </c>
      <c r="L316" s="15">
        <v>0</v>
      </c>
      <c r="M316" s="15">
        <v>0</v>
      </c>
      <c r="N316" s="15">
        <v>0</v>
      </c>
      <c r="O316" s="14">
        <v>0</v>
      </c>
      <c r="P316" s="14">
        <v>0</v>
      </c>
      <c r="Q316" s="15">
        <v>0</v>
      </c>
      <c r="R316" s="15">
        <v>0</v>
      </c>
      <c r="S316" s="16">
        <v>0</v>
      </c>
    </row>
    <row r="317" spans="1:19" ht="13.5" thickBot="1">
      <c r="A317" s="59"/>
      <c r="B317" s="5" t="s">
        <v>961</v>
      </c>
      <c r="C317" s="14">
        <v>0.035682787979962605</v>
      </c>
      <c r="D317" s="15">
        <v>1.6357968381863515</v>
      </c>
      <c r="E317" s="295">
        <v>-7.919655964521452</v>
      </c>
      <c r="F317" s="15">
        <v>1.6393351989653742</v>
      </c>
      <c r="G317" s="15">
        <v>-0.2747027176753625</v>
      </c>
      <c r="H317" s="15">
        <v>0</v>
      </c>
      <c r="I317" s="15">
        <v>0</v>
      </c>
      <c r="J317" s="14">
        <v>0.17722513901125003</v>
      </c>
      <c r="K317" s="14">
        <v>0</v>
      </c>
      <c r="L317" s="15">
        <v>0</v>
      </c>
      <c r="M317" s="15">
        <v>0</v>
      </c>
      <c r="N317" s="15">
        <v>0</v>
      </c>
      <c r="O317" s="14">
        <v>0</v>
      </c>
      <c r="P317" s="14">
        <v>0</v>
      </c>
      <c r="Q317" s="15">
        <v>0</v>
      </c>
      <c r="R317" s="15">
        <v>0</v>
      </c>
      <c r="S317" s="16">
        <v>0</v>
      </c>
    </row>
    <row r="318" spans="1:19" ht="12.75">
      <c r="A318" s="59"/>
      <c r="B318" s="5" t="s">
        <v>939</v>
      </c>
      <c r="C318" s="14">
        <v>0.08202990422379935</v>
      </c>
      <c r="D318" s="15">
        <v>0.033540552262541566</v>
      </c>
      <c r="E318" s="15">
        <v>0.0029736427123225953</v>
      </c>
      <c r="F318" s="15">
        <v>0.08017485708795696</v>
      </c>
      <c r="G318" s="15">
        <v>0.011344648667663354</v>
      </c>
      <c r="H318" s="15">
        <v>0</v>
      </c>
      <c r="I318" s="15">
        <v>0</v>
      </c>
      <c r="J318" s="14">
        <v>0.04633651118073391</v>
      </c>
      <c r="K318" s="14">
        <v>0</v>
      </c>
      <c r="L318" s="15">
        <v>0</v>
      </c>
      <c r="M318" s="15">
        <v>0</v>
      </c>
      <c r="N318" s="15">
        <v>0</v>
      </c>
      <c r="O318" s="14">
        <v>0</v>
      </c>
      <c r="P318" s="14">
        <v>0</v>
      </c>
      <c r="Q318" s="15">
        <v>0</v>
      </c>
      <c r="R318" s="15">
        <v>0</v>
      </c>
      <c r="S318" s="16">
        <v>0</v>
      </c>
    </row>
    <row r="319" spans="1:19" ht="12.75">
      <c r="A319" s="59"/>
      <c r="B319" s="5" t="s">
        <v>941</v>
      </c>
      <c r="C319" s="14">
        <v>0.08102932668410459</v>
      </c>
      <c r="D319" s="15">
        <v>0.050341737738517696</v>
      </c>
      <c r="E319" s="15">
        <v>0.005263157894736842</v>
      </c>
      <c r="F319" s="15">
        <v>0.07211437675569159</v>
      </c>
      <c r="G319" s="15">
        <v>0.015050979122835411</v>
      </c>
      <c r="H319" s="15">
        <v>0</v>
      </c>
      <c r="I319" s="15">
        <v>0</v>
      </c>
      <c r="J319" s="14">
        <v>0.05369831221442855</v>
      </c>
      <c r="K319" s="14">
        <v>0</v>
      </c>
      <c r="L319" s="15">
        <v>0</v>
      </c>
      <c r="M319" s="15">
        <v>0</v>
      </c>
      <c r="N319" s="15">
        <v>0</v>
      </c>
      <c r="O319" s="14">
        <v>0</v>
      </c>
      <c r="P319" s="14">
        <v>0</v>
      </c>
      <c r="Q319" s="15">
        <v>0</v>
      </c>
      <c r="R319" s="15">
        <v>0</v>
      </c>
      <c r="S319" s="16">
        <v>0</v>
      </c>
    </row>
    <row r="320" spans="1:19" ht="12.75">
      <c r="A320" s="59"/>
      <c r="B320" s="5" t="s">
        <v>967</v>
      </c>
      <c r="C320" s="14">
        <v>-0.10005775396947636</v>
      </c>
      <c r="D320" s="15">
        <v>1.680118547597613</v>
      </c>
      <c r="E320" s="15">
        <v>0.22895151824142468</v>
      </c>
      <c r="F320" s="15">
        <v>-0.8060480332265376</v>
      </c>
      <c r="G320" s="15">
        <v>0.3706330455172057</v>
      </c>
      <c r="H320" s="15">
        <v>0</v>
      </c>
      <c r="I320" s="15">
        <v>0</v>
      </c>
      <c r="J320" s="14">
        <v>0.7361801033694638</v>
      </c>
      <c r="K320" s="14">
        <v>0</v>
      </c>
      <c r="L320" s="15">
        <v>0</v>
      </c>
      <c r="M320" s="15">
        <v>0</v>
      </c>
      <c r="N320" s="15">
        <v>0</v>
      </c>
      <c r="O320" s="14">
        <v>0</v>
      </c>
      <c r="P320" s="14">
        <v>0</v>
      </c>
      <c r="Q320" s="15">
        <v>0</v>
      </c>
      <c r="R320" s="15">
        <v>0</v>
      </c>
      <c r="S320" s="16">
        <v>0</v>
      </c>
    </row>
    <row r="321" spans="1:19" ht="12.75">
      <c r="A321" s="59"/>
      <c r="B321" s="5" t="s">
        <v>943</v>
      </c>
      <c r="C321" s="14">
        <v>0.021239578309102183</v>
      </c>
      <c r="D321" s="15">
        <v>0.01423124186786179</v>
      </c>
      <c r="E321" s="15">
        <v>0</v>
      </c>
      <c r="F321" s="15">
        <v>0</v>
      </c>
      <c r="G321" s="15">
        <v>0</v>
      </c>
      <c r="H321" s="15">
        <v>0</v>
      </c>
      <c r="I321" s="15">
        <v>0</v>
      </c>
      <c r="J321" s="14">
        <v>0.012585889281824416</v>
      </c>
      <c r="K321" s="14">
        <v>0</v>
      </c>
      <c r="L321" s="15">
        <v>0</v>
      </c>
      <c r="M321" s="15">
        <v>0</v>
      </c>
      <c r="N321" s="15">
        <v>0</v>
      </c>
      <c r="O321" s="14">
        <v>0</v>
      </c>
      <c r="P321" s="14">
        <v>0</v>
      </c>
      <c r="Q321" s="15">
        <v>0</v>
      </c>
      <c r="R321" s="15">
        <v>0</v>
      </c>
      <c r="S321" s="16">
        <v>0</v>
      </c>
    </row>
    <row r="322" spans="1:19" ht="12.75">
      <c r="A322" s="59"/>
      <c r="B322" s="5" t="s">
        <v>945</v>
      </c>
      <c r="C322" s="14">
        <v>0.02671099485825572</v>
      </c>
      <c r="D322" s="15">
        <v>0.005445783540690929</v>
      </c>
      <c r="E322" s="15">
        <v>0.02280701754385965</v>
      </c>
      <c r="F322" s="15">
        <v>0.002012494235042556</v>
      </c>
      <c r="G322" s="15">
        <v>0</v>
      </c>
      <c r="H322" s="15">
        <v>0</v>
      </c>
      <c r="I322" s="15">
        <v>0</v>
      </c>
      <c r="J322" s="14">
        <v>0.012080773335267362</v>
      </c>
      <c r="K322" s="14">
        <v>0</v>
      </c>
      <c r="L322" s="15">
        <v>0</v>
      </c>
      <c r="M322" s="15">
        <v>0</v>
      </c>
      <c r="N322" s="15">
        <v>0</v>
      </c>
      <c r="O322" s="14">
        <v>0</v>
      </c>
      <c r="P322" s="14">
        <v>0</v>
      </c>
      <c r="Q322" s="15">
        <v>0</v>
      </c>
      <c r="R322" s="15">
        <v>0</v>
      </c>
      <c r="S322" s="16">
        <v>0</v>
      </c>
    </row>
    <row r="323" spans="1:19" ht="12.75">
      <c r="A323" s="59"/>
      <c r="B323" s="5" t="s">
        <v>969</v>
      </c>
      <c r="C323" s="14">
        <v>0.5471416549153535</v>
      </c>
      <c r="D323" s="15">
        <v>-0.8785458327170861</v>
      </c>
      <c r="E323" s="15">
        <v>0</v>
      </c>
      <c r="F323" s="15">
        <v>0</v>
      </c>
      <c r="G323" s="15">
        <v>0</v>
      </c>
      <c r="H323" s="15">
        <v>0</v>
      </c>
      <c r="I323" s="15">
        <v>0</v>
      </c>
      <c r="J323" s="14">
        <v>-0.050511594655705365</v>
      </c>
      <c r="K323" s="14">
        <v>0</v>
      </c>
      <c r="L323" s="15">
        <v>0</v>
      </c>
      <c r="M323" s="15">
        <v>0</v>
      </c>
      <c r="N323" s="15">
        <v>0</v>
      </c>
      <c r="O323" s="14">
        <v>0</v>
      </c>
      <c r="P323" s="14">
        <v>0</v>
      </c>
      <c r="Q323" s="15">
        <v>0</v>
      </c>
      <c r="R323" s="15">
        <v>0</v>
      </c>
      <c r="S323" s="16">
        <v>0</v>
      </c>
    </row>
    <row r="324" spans="1:19" ht="12.75">
      <c r="A324" s="59"/>
      <c r="B324" s="5" t="s">
        <v>947</v>
      </c>
      <c r="C324" s="14">
        <v>0.0018604010197753739</v>
      </c>
      <c r="D324" s="15">
        <v>0.006803888969206303</v>
      </c>
      <c r="E324" s="15">
        <v>0</v>
      </c>
      <c r="F324" s="15">
        <v>0</v>
      </c>
      <c r="G324" s="15">
        <v>0</v>
      </c>
      <c r="H324" s="15">
        <v>0</v>
      </c>
      <c r="I324" s="15">
        <v>0</v>
      </c>
      <c r="J324" s="14">
        <v>0.0038591348545765035</v>
      </c>
      <c r="K324" s="14">
        <v>0</v>
      </c>
      <c r="L324" s="15">
        <v>0</v>
      </c>
      <c r="M324" s="15">
        <v>0</v>
      </c>
      <c r="N324" s="15">
        <v>0</v>
      </c>
      <c r="O324" s="14">
        <v>0</v>
      </c>
      <c r="P324" s="14">
        <v>0</v>
      </c>
      <c r="Q324" s="15">
        <v>0</v>
      </c>
      <c r="R324" s="15">
        <v>0</v>
      </c>
      <c r="S324" s="16">
        <v>0</v>
      </c>
    </row>
    <row r="325" spans="1:19" ht="12.75">
      <c r="A325" s="59"/>
      <c r="B325" s="5" t="s">
        <v>949</v>
      </c>
      <c r="C325" s="14">
        <v>0</v>
      </c>
      <c r="D325" s="15">
        <v>0.017743260525268267</v>
      </c>
      <c r="E325" s="297">
        <v>7.797270955165692E-05</v>
      </c>
      <c r="F325" s="15">
        <v>0.0063309714477380406</v>
      </c>
      <c r="G325" s="15">
        <v>0.02184819550089011</v>
      </c>
      <c r="H325" s="15">
        <v>0</v>
      </c>
      <c r="I325" s="15">
        <v>0</v>
      </c>
      <c r="J325" s="14">
        <v>0.010435467326999388</v>
      </c>
      <c r="K325" s="14">
        <v>0</v>
      </c>
      <c r="L325" s="15">
        <v>0</v>
      </c>
      <c r="M325" s="15">
        <v>0</v>
      </c>
      <c r="N325" s="15">
        <v>0</v>
      </c>
      <c r="O325" s="14">
        <v>0</v>
      </c>
      <c r="P325" s="14">
        <v>0</v>
      </c>
      <c r="Q325" s="15">
        <v>0</v>
      </c>
      <c r="R325" s="15">
        <v>0</v>
      </c>
      <c r="S325" s="16">
        <v>0</v>
      </c>
    </row>
    <row r="326" spans="1:19" ht="12.75">
      <c r="A326" s="59"/>
      <c r="B326" s="5" t="s">
        <v>975</v>
      </c>
      <c r="C326" s="14">
        <v>-0.1860401019775374</v>
      </c>
      <c r="D326" s="15">
        <v>1.0939371556061963</v>
      </c>
      <c r="E326" s="15">
        <v>0</v>
      </c>
      <c r="F326" s="15">
        <v>0</v>
      </c>
      <c r="G326" s="15">
        <v>0</v>
      </c>
      <c r="H326" s="15">
        <v>0</v>
      </c>
      <c r="I326" s="15">
        <v>0</v>
      </c>
      <c r="J326" s="14">
        <v>0.6576332472422884</v>
      </c>
      <c r="K326" s="14">
        <v>0</v>
      </c>
      <c r="L326" s="15">
        <v>0</v>
      </c>
      <c r="M326" s="15">
        <v>0</v>
      </c>
      <c r="N326" s="15">
        <v>0</v>
      </c>
      <c r="O326" s="14">
        <v>0</v>
      </c>
      <c r="P326" s="14">
        <v>0</v>
      </c>
      <c r="Q326" s="15">
        <v>0</v>
      </c>
      <c r="R326" s="15">
        <v>0</v>
      </c>
      <c r="S326" s="16">
        <v>0</v>
      </c>
    </row>
    <row r="327" spans="1:19" ht="12.75">
      <c r="A327" s="59"/>
      <c r="B327" s="5" t="s">
        <v>951</v>
      </c>
      <c r="C327" s="293">
        <v>6.890374147316199E-05</v>
      </c>
      <c r="D327" s="15">
        <v>0</v>
      </c>
      <c r="E327" s="15">
        <v>0</v>
      </c>
      <c r="F327" s="15">
        <v>0.0008646779074794639</v>
      </c>
      <c r="G327" s="15">
        <v>0</v>
      </c>
      <c r="H327" s="15">
        <v>0</v>
      </c>
      <c r="I327" s="15">
        <v>0</v>
      </c>
      <c r="J327" s="14">
        <v>9.86073946581685E-05</v>
      </c>
      <c r="K327" s="14">
        <v>0</v>
      </c>
      <c r="L327" s="15">
        <v>0</v>
      </c>
      <c r="M327" s="15">
        <v>0</v>
      </c>
      <c r="N327" s="15">
        <v>0</v>
      </c>
      <c r="O327" s="14">
        <v>0</v>
      </c>
      <c r="P327" s="14">
        <v>0</v>
      </c>
      <c r="Q327" s="15">
        <v>0</v>
      </c>
      <c r="R327" s="15">
        <v>0</v>
      </c>
      <c r="S327" s="16">
        <v>0</v>
      </c>
    </row>
    <row r="328" spans="1:19" ht="12.75">
      <c r="A328" s="59"/>
      <c r="B328" s="5" t="s">
        <v>953</v>
      </c>
      <c r="C328" s="14">
        <v>0.0005703995241238256</v>
      </c>
      <c r="D328" s="15">
        <v>0</v>
      </c>
      <c r="E328" s="15">
        <v>0</v>
      </c>
      <c r="F328" s="15">
        <v>0</v>
      </c>
      <c r="G328" s="15">
        <v>0</v>
      </c>
      <c r="H328" s="15">
        <v>0</v>
      </c>
      <c r="I328" s="15">
        <v>0</v>
      </c>
      <c r="J328" s="14">
        <v>0.00014505216697576593</v>
      </c>
      <c r="K328" s="14">
        <v>0</v>
      </c>
      <c r="L328" s="15">
        <v>0</v>
      </c>
      <c r="M328" s="15">
        <v>0</v>
      </c>
      <c r="N328" s="15">
        <v>0</v>
      </c>
      <c r="O328" s="14">
        <v>0</v>
      </c>
      <c r="P328" s="14">
        <v>0</v>
      </c>
      <c r="Q328" s="15">
        <v>0</v>
      </c>
      <c r="R328" s="15">
        <v>0</v>
      </c>
      <c r="S328" s="16">
        <v>0</v>
      </c>
    </row>
    <row r="329" spans="1:19" s="301" customFormat="1" ht="12.75">
      <c r="A329" s="345"/>
      <c r="B329" s="5" t="s">
        <v>977</v>
      </c>
      <c r="C329" s="14">
        <v>0.05014957826506636</v>
      </c>
      <c r="D329" s="15">
        <v>0</v>
      </c>
      <c r="E329" s="15">
        <v>0</v>
      </c>
      <c r="F329" s="15">
        <v>-0.08646779074794639</v>
      </c>
      <c r="G329" s="15">
        <v>0</v>
      </c>
      <c r="H329" s="15">
        <v>0</v>
      </c>
      <c r="I329" s="15">
        <v>0</v>
      </c>
      <c r="J329" s="14">
        <v>0.004644477231759743</v>
      </c>
      <c r="K329" s="14">
        <v>0</v>
      </c>
      <c r="L329" s="15">
        <v>0</v>
      </c>
      <c r="M329" s="15">
        <v>0</v>
      </c>
      <c r="N329" s="15">
        <v>0</v>
      </c>
      <c r="O329" s="14">
        <v>0</v>
      </c>
      <c r="P329" s="14">
        <v>0</v>
      </c>
      <c r="Q329" s="15">
        <v>0</v>
      </c>
      <c r="R329" s="15">
        <v>0</v>
      </c>
      <c r="S329" s="16">
        <v>0</v>
      </c>
    </row>
    <row r="330" spans="1:19" s="56" customFormat="1" ht="12.75">
      <c r="A330" s="58" t="s">
        <v>93</v>
      </c>
      <c r="B330" s="3" t="s">
        <v>907</v>
      </c>
      <c r="C330" s="11">
        <v>0.9766835797552149</v>
      </c>
      <c r="D330" s="12">
        <v>0.9536951636160511</v>
      </c>
      <c r="E330" s="12">
        <v>0.9737557934282061</v>
      </c>
      <c r="F330" s="12">
        <v>0.959537828801373</v>
      </c>
      <c r="G330" s="12">
        <v>0.9153088375321474</v>
      </c>
      <c r="H330" s="12">
        <v>0.9633400059368411</v>
      </c>
      <c r="I330" s="12">
        <v>0</v>
      </c>
      <c r="J330" s="11">
        <v>0.9702733432342805</v>
      </c>
      <c r="K330" s="11">
        <v>0</v>
      </c>
      <c r="L330" s="12">
        <v>0.7744044559249148</v>
      </c>
      <c r="M330" s="12">
        <v>0.7590502992727779</v>
      </c>
      <c r="N330" s="12">
        <v>0.7223817234438943</v>
      </c>
      <c r="O330" s="11">
        <v>0.7593697479251821</v>
      </c>
      <c r="P330" s="11">
        <v>0</v>
      </c>
      <c r="Q330" s="12">
        <v>0</v>
      </c>
      <c r="R330" s="12">
        <v>0</v>
      </c>
      <c r="S330" s="13">
        <v>0</v>
      </c>
    </row>
    <row r="331" spans="1:19" ht="12.75">
      <c r="A331" s="59"/>
      <c r="B331" s="5" t="s">
        <v>909</v>
      </c>
      <c r="C331" s="14">
        <v>0.9710906167942873</v>
      </c>
      <c r="D331" s="15">
        <v>0.955785336053979</v>
      </c>
      <c r="E331" s="15">
        <v>0.9575785820771759</v>
      </c>
      <c r="F331" s="15">
        <v>0.9511325103122293</v>
      </c>
      <c r="G331" s="15">
        <v>0.8716478483080317</v>
      </c>
      <c r="H331" s="15">
        <v>0.9630336332766812</v>
      </c>
      <c r="I331" s="15">
        <v>0</v>
      </c>
      <c r="J331" s="14">
        <v>0.9587339492315866</v>
      </c>
      <c r="K331" s="14">
        <v>0</v>
      </c>
      <c r="L331" s="15">
        <v>0.7271321877643555</v>
      </c>
      <c r="M331" s="15">
        <v>0.7357657580154832</v>
      </c>
      <c r="N331" s="15">
        <v>0.6832692766378292</v>
      </c>
      <c r="O331" s="14">
        <v>0.7254398115177112</v>
      </c>
      <c r="P331" s="14">
        <v>0</v>
      </c>
      <c r="Q331" s="15">
        <v>0</v>
      </c>
      <c r="R331" s="15">
        <v>0</v>
      </c>
      <c r="S331" s="16">
        <v>0</v>
      </c>
    </row>
    <row r="332" spans="1:19" ht="12.75">
      <c r="A332" s="59"/>
      <c r="B332" s="5" t="s">
        <v>955</v>
      </c>
      <c r="C332" s="14">
        <v>-0.5592962960927594</v>
      </c>
      <c r="D332" s="15">
        <v>0.2090172437927862</v>
      </c>
      <c r="E332" s="15">
        <v>-1.6177211351030119</v>
      </c>
      <c r="F332" s="15">
        <v>-0.840531848914361</v>
      </c>
      <c r="G332" s="15">
        <v>-4.3660989224115765</v>
      </c>
      <c r="H332" s="15">
        <v>-0.03063726601598704</v>
      </c>
      <c r="I332" s="15">
        <v>0</v>
      </c>
      <c r="J332" s="14">
        <v>-1.1539394002693881</v>
      </c>
      <c r="K332" s="14">
        <v>0</v>
      </c>
      <c r="L332" s="15">
        <v>-4.727226816055929</v>
      </c>
      <c r="M332" s="15">
        <v>-2.3284541257294733</v>
      </c>
      <c r="N332" s="15">
        <v>-3.911244680606507</v>
      </c>
      <c r="O332" s="14">
        <v>-3.3929936407470884</v>
      </c>
      <c r="P332" s="14">
        <v>0</v>
      </c>
      <c r="Q332" s="15">
        <v>0</v>
      </c>
      <c r="R332" s="15">
        <v>0</v>
      </c>
      <c r="S332" s="16">
        <v>0</v>
      </c>
    </row>
    <row r="333" spans="1:19" ht="12.75">
      <c r="A333" s="59"/>
      <c r="B333" s="5" t="s">
        <v>911</v>
      </c>
      <c r="C333" s="14">
        <v>0.01750504664738938</v>
      </c>
      <c r="D333" s="15">
        <v>0.031557307837202356</v>
      </c>
      <c r="E333" s="15">
        <v>0.008323325729410476</v>
      </c>
      <c r="F333" s="15">
        <v>0.0404621711986271</v>
      </c>
      <c r="G333" s="15">
        <v>0.0846911624678526</v>
      </c>
      <c r="H333" s="15">
        <v>0.021928255558177238</v>
      </c>
      <c r="I333" s="15">
        <v>0</v>
      </c>
      <c r="J333" s="14">
        <v>0.016610316053651708</v>
      </c>
      <c r="K333" s="14">
        <v>0</v>
      </c>
      <c r="L333" s="15">
        <v>0.14554717468750095</v>
      </c>
      <c r="M333" s="15">
        <v>0.18150246414126692</v>
      </c>
      <c r="N333" s="15">
        <v>0.2034281378323766</v>
      </c>
      <c r="O333" s="14">
        <v>0.17176735333439508</v>
      </c>
      <c r="P333" s="14">
        <v>0</v>
      </c>
      <c r="Q333" s="15">
        <v>0</v>
      </c>
      <c r="R333" s="15">
        <v>0</v>
      </c>
      <c r="S333" s="16">
        <v>0</v>
      </c>
    </row>
    <row r="334" spans="1:19" ht="12.75">
      <c r="A334" s="59"/>
      <c r="B334" s="5" t="s">
        <v>913</v>
      </c>
      <c r="C334" s="14">
        <v>0.022904911444873405</v>
      </c>
      <c r="D334" s="15">
        <v>0.024147816181164954</v>
      </c>
      <c r="E334" s="15">
        <v>0.022911033284585824</v>
      </c>
      <c r="F334" s="15">
        <v>0.026510870043891195</v>
      </c>
      <c r="G334" s="15">
        <v>0.06101863312199517</v>
      </c>
      <c r="H334" s="15">
        <v>0.024840036007104105</v>
      </c>
      <c r="I334" s="15">
        <v>0</v>
      </c>
      <c r="J334" s="14">
        <v>0.024321551429318633</v>
      </c>
      <c r="K334" s="14">
        <v>0</v>
      </c>
      <c r="L334" s="15">
        <v>0.17548441228582587</v>
      </c>
      <c r="M334" s="15">
        <v>0.1886129497886897</v>
      </c>
      <c r="N334" s="15">
        <v>0.2203517028910867</v>
      </c>
      <c r="O334" s="14">
        <v>0.18829755970090364</v>
      </c>
      <c r="P334" s="14">
        <v>0</v>
      </c>
      <c r="Q334" s="15">
        <v>0</v>
      </c>
      <c r="R334" s="15">
        <v>0</v>
      </c>
      <c r="S334" s="16">
        <v>0</v>
      </c>
    </row>
    <row r="335" spans="1:19" ht="12.75">
      <c r="A335" s="59"/>
      <c r="B335" s="5" t="s">
        <v>963</v>
      </c>
      <c r="C335" s="14">
        <v>0.5399864797484024</v>
      </c>
      <c r="D335" s="15">
        <v>-0.7409491656037402</v>
      </c>
      <c r="E335" s="15">
        <v>1.4587707555175349</v>
      </c>
      <c r="F335" s="15">
        <v>-1.3951301154735904</v>
      </c>
      <c r="G335" s="15">
        <v>-2.3672529345857436</v>
      </c>
      <c r="H335" s="15">
        <v>0.2911780448926867</v>
      </c>
      <c r="I335" s="15">
        <v>0</v>
      </c>
      <c r="J335" s="14">
        <v>0.7711235375666925</v>
      </c>
      <c r="K335" s="14">
        <v>0</v>
      </c>
      <c r="L335" s="15">
        <v>2.993723759832492</v>
      </c>
      <c r="M335" s="15">
        <v>0.7110485647422782</v>
      </c>
      <c r="N335" s="15">
        <v>1.6923565058710093</v>
      </c>
      <c r="O335" s="14">
        <v>1.6530206366508566</v>
      </c>
      <c r="P335" s="14">
        <v>0</v>
      </c>
      <c r="Q335" s="15">
        <v>0</v>
      </c>
      <c r="R335" s="15">
        <v>0</v>
      </c>
      <c r="S335" s="16">
        <v>0</v>
      </c>
    </row>
    <row r="336" spans="1:19" ht="12.75">
      <c r="A336" s="59"/>
      <c r="B336" s="5" t="s">
        <v>917</v>
      </c>
      <c r="C336" s="14">
        <v>0.005811373597395748</v>
      </c>
      <c r="D336" s="15">
        <v>0.014211668117278739</v>
      </c>
      <c r="E336" s="15">
        <v>0.017131563951837285</v>
      </c>
      <c r="F336" s="15">
        <v>0</v>
      </c>
      <c r="G336" s="15">
        <v>0</v>
      </c>
      <c r="H336" s="15">
        <v>0.012151496007854897</v>
      </c>
      <c r="I336" s="15">
        <v>0</v>
      </c>
      <c r="J336" s="14">
        <v>0.012491741367749805</v>
      </c>
      <c r="K336" s="14">
        <v>0</v>
      </c>
      <c r="L336" s="15">
        <v>0.06675761357758986</v>
      </c>
      <c r="M336" s="15">
        <v>0.04431224489656095</v>
      </c>
      <c r="N336" s="15">
        <v>0.05371754276059675</v>
      </c>
      <c r="O336" s="14">
        <v>0.053635112487412</v>
      </c>
      <c r="P336" s="14">
        <v>0</v>
      </c>
      <c r="Q336" s="15">
        <v>0</v>
      </c>
      <c r="R336" s="15">
        <v>0</v>
      </c>
      <c r="S336" s="16">
        <v>0</v>
      </c>
    </row>
    <row r="337" spans="1:19" ht="12.75">
      <c r="A337" s="59"/>
      <c r="B337" s="5" t="s">
        <v>919</v>
      </c>
      <c r="C337" s="14">
        <v>0.006004471760839326</v>
      </c>
      <c r="D337" s="15">
        <v>0.019750760487212547</v>
      </c>
      <c r="E337" s="15">
        <v>0.01716154699582025</v>
      </c>
      <c r="F337" s="15">
        <v>0.022356619643879454</v>
      </c>
      <c r="G337" s="15">
        <v>0.06733351856997315</v>
      </c>
      <c r="H337" s="15">
        <v>0.010906398907274756</v>
      </c>
      <c r="I337" s="15">
        <v>0</v>
      </c>
      <c r="J337" s="14">
        <v>0.015583874620881767</v>
      </c>
      <c r="K337" s="14">
        <v>0</v>
      </c>
      <c r="L337" s="15">
        <v>0.0823948946051135</v>
      </c>
      <c r="M337" s="15">
        <v>0.05671407539593905</v>
      </c>
      <c r="N337" s="15">
        <v>0.06592528780675852</v>
      </c>
      <c r="O337" s="14">
        <v>0.06716367330505509</v>
      </c>
      <c r="P337" s="14">
        <v>0</v>
      </c>
      <c r="Q337" s="15">
        <v>0</v>
      </c>
      <c r="R337" s="15">
        <v>0</v>
      </c>
      <c r="S337" s="16">
        <v>0</v>
      </c>
    </row>
    <row r="338" spans="1:19" ht="12.75">
      <c r="A338" s="59"/>
      <c r="B338" s="5" t="s">
        <v>965</v>
      </c>
      <c r="C338" s="14">
        <v>0.019309816344357817</v>
      </c>
      <c r="D338" s="15">
        <v>0.5539092369933808</v>
      </c>
      <c r="E338" s="15">
        <v>0.002998304398296389</v>
      </c>
      <c r="F338" s="15">
        <v>0</v>
      </c>
      <c r="G338" s="15">
        <v>0</v>
      </c>
      <c r="H338" s="15">
        <v>-0.12450971005801403</v>
      </c>
      <c r="I338" s="15">
        <v>0</v>
      </c>
      <c r="J338" s="14">
        <v>0.3092133253131962</v>
      </c>
      <c r="K338" s="14">
        <v>0</v>
      </c>
      <c r="L338" s="15">
        <v>1.563728102752364</v>
      </c>
      <c r="M338" s="15">
        <v>1.2401830499378097</v>
      </c>
      <c r="N338" s="15">
        <v>1.2207745046161769</v>
      </c>
      <c r="O338" s="14">
        <v>1.3528560817643087</v>
      </c>
      <c r="P338" s="14">
        <v>0</v>
      </c>
      <c r="Q338" s="15">
        <v>0</v>
      </c>
      <c r="R338" s="15">
        <v>0</v>
      </c>
      <c r="S338" s="16">
        <v>0</v>
      </c>
    </row>
    <row r="339" spans="1:19" ht="12.75">
      <c r="A339" s="59"/>
      <c r="B339" s="5" t="s">
        <v>921</v>
      </c>
      <c r="C339" s="14">
        <v>0</v>
      </c>
      <c r="D339" s="297">
        <v>0.000535860429467777</v>
      </c>
      <c r="E339" s="297">
        <v>0.0006542838422517016</v>
      </c>
      <c r="F339" s="15">
        <v>0</v>
      </c>
      <c r="G339" s="15">
        <v>0</v>
      </c>
      <c r="H339" s="15">
        <v>0.0025802424971267213</v>
      </c>
      <c r="I339" s="15">
        <v>0</v>
      </c>
      <c r="J339" s="14">
        <v>0.0005531534287533228</v>
      </c>
      <c r="K339" s="14">
        <v>0</v>
      </c>
      <c r="L339" s="15">
        <v>0.00236028640369224</v>
      </c>
      <c r="M339" s="15">
        <v>0.004491528292828472</v>
      </c>
      <c r="N339" s="15">
        <v>0.009908063027800113</v>
      </c>
      <c r="O339" s="14">
        <v>0.0044931092873679015</v>
      </c>
      <c r="P339" s="14">
        <v>0</v>
      </c>
      <c r="Q339" s="15">
        <v>0</v>
      </c>
      <c r="R339" s="15">
        <v>0</v>
      </c>
      <c r="S339" s="16">
        <v>0</v>
      </c>
    </row>
    <row r="340" spans="1:19" ht="12.75">
      <c r="A340" s="59"/>
      <c r="B340" s="5" t="s">
        <v>923</v>
      </c>
      <c r="C340" s="14">
        <v>0</v>
      </c>
      <c r="D340" s="297">
        <v>0.0003160872776435537</v>
      </c>
      <c r="E340" s="297">
        <v>0.0004305685011870565</v>
      </c>
      <c r="F340" s="15">
        <v>0</v>
      </c>
      <c r="G340" s="15">
        <v>0</v>
      </c>
      <c r="H340" s="15">
        <v>0.0012199318089399106</v>
      </c>
      <c r="I340" s="15">
        <v>0</v>
      </c>
      <c r="J340" s="14">
        <v>0.0003367836100220933</v>
      </c>
      <c r="K340" s="14">
        <v>0</v>
      </c>
      <c r="L340" s="15">
        <v>0.0014464443671187623</v>
      </c>
      <c r="M340" s="15">
        <v>0.004247651075658182</v>
      </c>
      <c r="N340" s="15">
        <v>0.008910812919389638</v>
      </c>
      <c r="O340" s="14">
        <v>0.003889514986523859</v>
      </c>
      <c r="P340" s="14">
        <v>0</v>
      </c>
      <c r="Q340" s="15">
        <v>0</v>
      </c>
      <c r="R340" s="15">
        <v>0</v>
      </c>
      <c r="S340" s="16">
        <v>0</v>
      </c>
    </row>
    <row r="341" spans="1:19" ht="12.75">
      <c r="A341" s="59"/>
      <c r="B341" s="5" t="s">
        <v>971</v>
      </c>
      <c r="C341" s="14">
        <v>0</v>
      </c>
      <c r="D341" s="15">
        <v>-0.021977315182422325</v>
      </c>
      <c r="E341" s="15">
        <v>-0.02237153410646451</v>
      </c>
      <c r="F341" s="15">
        <v>0</v>
      </c>
      <c r="G341" s="15">
        <v>0</v>
      </c>
      <c r="H341" s="15">
        <v>-0.13603106881868107</v>
      </c>
      <c r="I341" s="15">
        <v>0</v>
      </c>
      <c r="J341" s="14">
        <v>-0.021636981873122952</v>
      </c>
      <c r="K341" s="14">
        <v>0</v>
      </c>
      <c r="L341" s="15">
        <v>-0.09138420365734776</v>
      </c>
      <c r="M341" s="15">
        <v>-0.02438772171702904</v>
      </c>
      <c r="N341" s="15">
        <v>-0.09972501084104748</v>
      </c>
      <c r="O341" s="14">
        <v>-0.06035943008440427</v>
      </c>
      <c r="P341" s="14">
        <v>0</v>
      </c>
      <c r="Q341" s="15">
        <v>0</v>
      </c>
      <c r="R341" s="15">
        <v>0</v>
      </c>
      <c r="S341" s="16">
        <v>0</v>
      </c>
    </row>
    <row r="342" spans="1:19" ht="12.75">
      <c r="A342" s="59"/>
      <c r="B342" s="5" t="s">
        <v>925</v>
      </c>
      <c r="C342" s="14">
        <v>0</v>
      </c>
      <c r="D342" s="15">
        <v>0</v>
      </c>
      <c r="E342" s="297">
        <v>0.0001350330482945001</v>
      </c>
      <c r="F342" s="15">
        <v>0</v>
      </c>
      <c r="G342" s="15">
        <v>0</v>
      </c>
      <c r="H342" s="15">
        <v>0</v>
      </c>
      <c r="I342" s="15">
        <v>0</v>
      </c>
      <c r="J342" s="14">
        <v>7.144591556467684E-05</v>
      </c>
      <c r="K342" s="14">
        <v>0</v>
      </c>
      <c r="L342" s="15">
        <v>0.010930469406302209</v>
      </c>
      <c r="M342" s="15">
        <v>0.01064346339656549</v>
      </c>
      <c r="N342" s="15">
        <v>0.01056453293533254</v>
      </c>
      <c r="O342" s="14">
        <v>0.010734676965642408</v>
      </c>
      <c r="P342" s="14">
        <v>0</v>
      </c>
      <c r="Q342" s="15">
        <v>0</v>
      </c>
      <c r="R342" s="15">
        <v>0</v>
      </c>
      <c r="S342" s="16">
        <v>0</v>
      </c>
    </row>
    <row r="343" spans="1:19" ht="12.75">
      <c r="A343" s="59"/>
      <c r="B343" s="5" t="s">
        <v>927</v>
      </c>
      <c r="C343" s="14">
        <v>0</v>
      </c>
      <c r="D343" s="15">
        <v>0</v>
      </c>
      <c r="E343" s="15">
        <v>0.0019182691412309026</v>
      </c>
      <c r="F343" s="15">
        <v>0</v>
      </c>
      <c r="G343" s="15">
        <v>0</v>
      </c>
      <c r="H343" s="15">
        <v>0</v>
      </c>
      <c r="I343" s="15">
        <v>0</v>
      </c>
      <c r="J343" s="14">
        <v>0.0010238411081908473</v>
      </c>
      <c r="K343" s="14">
        <v>0</v>
      </c>
      <c r="L343" s="15">
        <v>0.01354206097758634</v>
      </c>
      <c r="M343" s="15">
        <v>0.014659565724229936</v>
      </c>
      <c r="N343" s="15">
        <v>0.021542919744935857</v>
      </c>
      <c r="O343" s="14">
        <v>0.015209440489806061</v>
      </c>
      <c r="P343" s="14">
        <v>0</v>
      </c>
      <c r="Q343" s="15">
        <v>0</v>
      </c>
      <c r="R343" s="15">
        <v>0</v>
      </c>
      <c r="S343" s="16">
        <v>0</v>
      </c>
    </row>
    <row r="344" spans="1:19" ht="12.75">
      <c r="A344" s="59"/>
      <c r="B344" s="5" t="s">
        <v>973</v>
      </c>
      <c r="C344" s="14">
        <v>0</v>
      </c>
      <c r="D344" s="15">
        <v>0</v>
      </c>
      <c r="E344" s="15">
        <v>0.17832360929364027</v>
      </c>
      <c r="F344" s="15">
        <v>0</v>
      </c>
      <c r="G344" s="15">
        <v>0</v>
      </c>
      <c r="H344" s="15">
        <v>0</v>
      </c>
      <c r="I344" s="15">
        <v>0</v>
      </c>
      <c r="J344" s="14">
        <v>0.09523951926261705</v>
      </c>
      <c r="K344" s="14">
        <v>0</v>
      </c>
      <c r="L344" s="15">
        <v>0.2611591571284131</v>
      </c>
      <c r="M344" s="15">
        <v>0.40161023276644464</v>
      </c>
      <c r="N344" s="15">
        <v>1.0978386809603315</v>
      </c>
      <c r="O344" s="14">
        <v>0.4474763524163653</v>
      </c>
      <c r="P344" s="14">
        <v>0</v>
      </c>
      <c r="Q344" s="15">
        <v>0</v>
      </c>
      <c r="R344" s="15">
        <v>0</v>
      </c>
      <c r="S344" s="16">
        <v>0</v>
      </c>
    </row>
    <row r="345" spans="1:19" ht="12.75">
      <c r="A345" s="59"/>
      <c r="B345" s="5" t="s">
        <v>929</v>
      </c>
      <c r="C345" s="14">
        <v>0</v>
      </c>
      <c r="D345" s="15">
        <v>0</v>
      </c>
      <c r="E345" s="15">
        <v>0</v>
      </c>
      <c r="F345" s="15">
        <v>0</v>
      </c>
      <c r="G345" s="15">
        <v>0</v>
      </c>
      <c r="H345" s="15">
        <v>0</v>
      </c>
      <c r="I345" s="15">
        <v>0</v>
      </c>
      <c r="J345" s="14">
        <v>0</v>
      </c>
      <c r="K345" s="14">
        <v>0</v>
      </c>
      <c r="L345" s="15">
        <v>0</v>
      </c>
      <c r="M345" s="15">
        <v>0</v>
      </c>
      <c r="N345" s="15">
        <v>0</v>
      </c>
      <c r="O345" s="14">
        <v>0</v>
      </c>
      <c r="P345" s="14">
        <v>0</v>
      </c>
      <c r="Q345" s="15">
        <v>0</v>
      </c>
      <c r="R345" s="15">
        <v>0</v>
      </c>
      <c r="S345" s="16">
        <v>0</v>
      </c>
    </row>
    <row r="346" spans="1:19" ht="12.75">
      <c r="A346" s="59"/>
      <c r="B346" s="5" t="s">
        <v>931</v>
      </c>
      <c r="C346" s="14">
        <v>0</v>
      </c>
      <c r="D346" s="15">
        <v>0</v>
      </c>
      <c r="E346" s="15">
        <v>0</v>
      </c>
      <c r="F346" s="15">
        <v>0</v>
      </c>
      <c r="G346" s="15">
        <v>0</v>
      </c>
      <c r="H346" s="15">
        <v>0</v>
      </c>
      <c r="I346" s="15">
        <v>0</v>
      </c>
      <c r="J346" s="14">
        <v>0</v>
      </c>
      <c r="K346" s="14">
        <v>0</v>
      </c>
      <c r="L346" s="15">
        <v>0</v>
      </c>
      <c r="M346" s="15">
        <v>0</v>
      </c>
      <c r="N346" s="15">
        <v>0</v>
      </c>
      <c r="O346" s="14">
        <v>0</v>
      </c>
      <c r="P346" s="14">
        <v>0</v>
      </c>
      <c r="Q346" s="15">
        <v>0</v>
      </c>
      <c r="R346" s="15">
        <v>0</v>
      </c>
      <c r="S346" s="16">
        <v>0</v>
      </c>
    </row>
    <row r="347" spans="1:19" ht="12.75">
      <c r="A347" s="59"/>
      <c r="B347" s="5" t="s">
        <v>959</v>
      </c>
      <c r="C347" s="14">
        <v>0</v>
      </c>
      <c r="D347" s="15">
        <v>0</v>
      </c>
      <c r="E347" s="15">
        <v>0</v>
      </c>
      <c r="F347" s="15">
        <v>0</v>
      </c>
      <c r="G347" s="15">
        <v>0</v>
      </c>
      <c r="H347" s="15">
        <v>0</v>
      </c>
      <c r="I347" s="15">
        <v>0</v>
      </c>
      <c r="J347" s="14">
        <v>0</v>
      </c>
      <c r="K347" s="14">
        <v>0</v>
      </c>
      <c r="L347" s="15">
        <v>0</v>
      </c>
      <c r="M347" s="15">
        <v>0</v>
      </c>
      <c r="N347" s="15">
        <v>0</v>
      </c>
      <c r="O347" s="14">
        <v>0</v>
      </c>
      <c r="P347" s="14">
        <v>0</v>
      </c>
      <c r="Q347" s="15">
        <v>0</v>
      </c>
      <c r="R347" s="15">
        <v>0</v>
      </c>
      <c r="S347" s="16">
        <v>0</v>
      </c>
    </row>
    <row r="348" spans="1:19" ht="12.75">
      <c r="A348" s="59"/>
      <c r="B348" s="5" t="s">
        <v>915</v>
      </c>
      <c r="C348" s="14">
        <v>0.9217804667242869</v>
      </c>
      <c r="D348" s="15">
        <v>0.8460125664572257</v>
      </c>
      <c r="E348" s="15">
        <v>0.7810625814863102</v>
      </c>
      <c r="F348" s="15">
        <v>0.7846635794061564</v>
      </c>
      <c r="G348" s="15">
        <v>0.7404353562005277</v>
      </c>
      <c r="H348" s="15">
        <v>0.9983314794215795</v>
      </c>
      <c r="I348" s="15">
        <v>0</v>
      </c>
      <c r="J348" s="14">
        <v>0.8456812311705829</v>
      </c>
      <c r="K348" s="14">
        <v>0</v>
      </c>
      <c r="L348" s="15">
        <v>0</v>
      </c>
      <c r="M348" s="15">
        <v>0</v>
      </c>
      <c r="N348" s="15">
        <v>0</v>
      </c>
      <c r="O348" s="14">
        <v>0</v>
      </c>
      <c r="P348" s="14">
        <v>0</v>
      </c>
      <c r="Q348" s="15">
        <v>0</v>
      </c>
      <c r="R348" s="15">
        <v>0</v>
      </c>
      <c r="S348" s="16">
        <v>0</v>
      </c>
    </row>
    <row r="349" spans="1:19" ht="12.75">
      <c r="A349" s="59"/>
      <c r="B349" s="5" t="s">
        <v>933</v>
      </c>
      <c r="C349" s="14">
        <v>0.9057328631850442</v>
      </c>
      <c r="D349" s="15">
        <v>0.8258858115426273</v>
      </c>
      <c r="E349" s="15">
        <v>0.7085965233302837</v>
      </c>
      <c r="F349" s="15">
        <v>0.7536130536130536</v>
      </c>
      <c r="G349" s="15">
        <v>0.7335379464285714</v>
      </c>
      <c r="H349" s="15">
        <v>0.9613453815261044</v>
      </c>
      <c r="I349" s="15">
        <v>0</v>
      </c>
      <c r="J349" s="14">
        <v>0.8004052440924837</v>
      </c>
      <c r="K349" s="14">
        <v>0</v>
      </c>
      <c r="L349" s="15">
        <v>0</v>
      </c>
      <c r="M349" s="15">
        <v>0</v>
      </c>
      <c r="N349" s="15">
        <v>0</v>
      </c>
      <c r="O349" s="14">
        <v>0</v>
      </c>
      <c r="P349" s="14">
        <v>0</v>
      </c>
      <c r="Q349" s="15">
        <v>0</v>
      </c>
      <c r="R349" s="15">
        <v>0</v>
      </c>
      <c r="S349" s="16">
        <v>0</v>
      </c>
    </row>
    <row r="350" spans="1:19" ht="13.5" thickBot="1">
      <c r="A350" s="59"/>
      <c r="B350" s="5" t="s">
        <v>957</v>
      </c>
      <c r="C350" s="14">
        <v>-1.6047603539242727</v>
      </c>
      <c r="D350" s="15">
        <v>-2.0126754914598366</v>
      </c>
      <c r="E350" s="15">
        <v>-7.246605815602658</v>
      </c>
      <c r="F350" s="15">
        <v>-3.1050525793102746</v>
      </c>
      <c r="G350" s="15">
        <v>-0.6897409771956298</v>
      </c>
      <c r="H350" s="15">
        <v>-3.6986097895475134</v>
      </c>
      <c r="I350" s="15">
        <v>0</v>
      </c>
      <c r="J350" s="14">
        <v>-4.527598707809921</v>
      </c>
      <c r="K350" s="14">
        <v>0</v>
      </c>
      <c r="L350" s="15">
        <v>0</v>
      </c>
      <c r="M350" s="15">
        <v>0</v>
      </c>
      <c r="N350" s="15">
        <v>0</v>
      </c>
      <c r="O350" s="14">
        <v>0</v>
      </c>
      <c r="P350" s="14">
        <v>0</v>
      </c>
      <c r="Q350" s="15">
        <v>0</v>
      </c>
      <c r="R350" s="15">
        <v>0</v>
      </c>
      <c r="S350" s="16">
        <v>0</v>
      </c>
    </row>
    <row r="351" spans="1:19" ht="12.75">
      <c r="A351" s="59"/>
      <c r="B351" s="5" t="s">
        <v>935</v>
      </c>
      <c r="C351" s="14">
        <v>0.06438137192033531</v>
      </c>
      <c r="D351" s="15">
        <v>0.07470597712260352</v>
      </c>
      <c r="E351" s="356">
        <v>0.09624755541069101</v>
      </c>
      <c r="F351" s="291">
        <v>0.21533642059384364</v>
      </c>
      <c r="G351" s="15">
        <v>0.21602902374670185</v>
      </c>
      <c r="H351" s="15">
        <v>0</v>
      </c>
      <c r="I351" s="15">
        <v>0</v>
      </c>
      <c r="J351" s="14">
        <v>0.08338860952282134</v>
      </c>
      <c r="K351" s="14">
        <v>0</v>
      </c>
      <c r="L351" s="15">
        <v>0</v>
      </c>
      <c r="M351" s="15">
        <v>0</v>
      </c>
      <c r="N351" s="15">
        <v>0</v>
      </c>
      <c r="O351" s="14">
        <v>0</v>
      </c>
      <c r="P351" s="14">
        <v>0</v>
      </c>
      <c r="Q351" s="15">
        <v>0</v>
      </c>
      <c r="R351" s="15">
        <v>0</v>
      </c>
      <c r="S351" s="16">
        <v>0</v>
      </c>
    </row>
    <row r="352" spans="1:19" ht="12.75">
      <c r="A352" s="59"/>
      <c r="B352" s="5" t="s">
        <v>937</v>
      </c>
      <c r="C352" s="14">
        <v>0.08226843543427093</v>
      </c>
      <c r="D352" s="15">
        <v>0.08947857032337923</v>
      </c>
      <c r="E352" s="296">
        <v>0.19125343092406222</v>
      </c>
      <c r="F352" s="292">
        <v>0.06923076923076923</v>
      </c>
      <c r="G352" s="15">
        <v>0.18610491071428573</v>
      </c>
      <c r="H352" s="15">
        <v>0.038654618473895584</v>
      </c>
      <c r="I352" s="15">
        <v>0</v>
      </c>
      <c r="J352" s="14">
        <v>0.13493286639673327</v>
      </c>
      <c r="K352" s="14">
        <v>0</v>
      </c>
      <c r="L352" s="15">
        <v>0</v>
      </c>
      <c r="M352" s="15">
        <v>0</v>
      </c>
      <c r="N352" s="15">
        <v>0</v>
      </c>
      <c r="O352" s="14">
        <v>0</v>
      </c>
      <c r="P352" s="14">
        <v>0</v>
      </c>
      <c r="Q352" s="15">
        <v>0</v>
      </c>
      <c r="R352" s="15">
        <v>0</v>
      </c>
      <c r="S352" s="16">
        <v>0</v>
      </c>
    </row>
    <row r="353" spans="1:19" ht="13.5" thickBot="1">
      <c r="A353" s="59"/>
      <c r="B353" s="5" t="s">
        <v>961</v>
      </c>
      <c r="C353" s="14">
        <v>1.788706351393561</v>
      </c>
      <c r="D353" s="15">
        <v>1.4772593200775717</v>
      </c>
      <c r="E353" s="357">
        <v>9.500587551337121</v>
      </c>
      <c r="F353" s="295">
        <v>-14.610565136307441</v>
      </c>
      <c r="G353" s="15">
        <v>-2.992411303241613</v>
      </c>
      <c r="H353" s="15">
        <v>0</v>
      </c>
      <c r="I353" s="15">
        <v>0</v>
      </c>
      <c r="J353" s="14">
        <v>5.154425687391193</v>
      </c>
      <c r="K353" s="14">
        <v>0</v>
      </c>
      <c r="L353" s="15">
        <v>0</v>
      </c>
      <c r="M353" s="15">
        <v>0</v>
      </c>
      <c r="N353" s="15">
        <v>0</v>
      </c>
      <c r="O353" s="14">
        <v>0</v>
      </c>
      <c r="P353" s="14">
        <v>0</v>
      </c>
      <c r="Q353" s="15">
        <v>0</v>
      </c>
      <c r="R353" s="15">
        <v>0</v>
      </c>
      <c r="S353" s="16">
        <v>0</v>
      </c>
    </row>
    <row r="354" spans="1:19" ht="12.75">
      <c r="A354" s="59"/>
      <c r="B354" s="5" t="s">
        <v>939</v>
      </c>
      <c r="C354" s="14">
        <v>0.012904155165844184</v>
      </c>
      <c r="D354" s="15">
        <v>0.06816497502819398</v>
      </c>
      <c r="E354" s="15">
        <v>0.11629318774445893</v>
      </c>
      <c r="F354" s="292">
        <v>0</v>
      </c>
      <c r="G354" s="15">
        <v>0.03611477572559367</v>
      </c>
      <c r="H354" s="15">
        <v>0</v>
      </c>
      <c r="I354" s="15">
        <v>0</v>
      </c>
      <c r="J354" s="14">
        <v>0.06627584239059947</v>
      </c>
      <c r="K354" s="14">
        <v>0</v>
      </c>
      <c r="L354" s="15">
        <v>0</v>
      </c>
      <c r="M354" s="15">
        <v>0</v>
      </c>
      <c r="N354" s="15">
        <v>0</v>
      </c>
      <c r="O354" s="14">
        <v>0</v>
      </c>
      <c r="P354" s="14">
        <v>0</v>
      </c>
      <c r="Q354" s="15">
        <v>0</v>
      </c>
      <c r="R354" s="15">
        <v>0</v>
      </c>
      <c r="S354" s="16">
        <v>0</v>
      </c>
    </row>
    <row r="355" spans="1:19" ht="12.75">
      <c r="A355" s="59"/>
      <c r="B355" s="5" t="s">
        <v>941</v>
      </c>
      <c r="C355" s="14">
        <v>0.011525246422033241</v>
      </c>
      <c r="D355" s="15">
        <v>0.07437722419928826</v>
      </c>
      <c r="E355" s="15">
        <v>0.09720402561756633</v>
      </c>
      <c r="F355" s="292">
        <v>0.17715617715617715</v>
      </c>
      <c r="G355" s="15">
        <v>0.08035714285714286</v>
      </c>
      <c r="H355" s="15">
        <v>0</v>
      </c>
      <c r="I355" s="15">
        <v>0</v>
      </c>
      <c r="J355" s="14">
        <v>0.06195624877446343</v>
      </c>
      <c r="K355" s="14">
        <v>0</v>
      </c>
      <c r="L355" s="15">
        <v>0</v>
      </c>
      <c r="M355" s="15">
        <v>0</v>
      </c>
      <c r="N355" s="15">
        <v>0</v>
      </c>
      <c r="O355" s="14">
        <v>0</v>
      </c>
      <c r="P355" s="14">
        <v>0</v>
      </c>
      <c r="Q355" s="15">
        <v>0</v>
      </c>
      <c r="R355" s="15">
        <v>0</v>
      </c>
      <c r="S355" s="16">
        <v>0</v>
      </c>
    </row>
    <row r="356" spans="1:19" ht="13.5" thickBot="1">
      <c r="A356" s="59"/>
      <c r="B356" s="5" t="s">
        <v>967</v>
      </c>
      <c r="C356" s="14">
        <v>-0.13789087438109432</v>
      </c>
      <c r="D356" s="15">
        <v>0.6212249171094281</v>
      </c>
      <c r="E356" s="15">
        <v>-1.90891621268926</v>
      </c>
      <c r="F356" s="295">
        <v>0</v>
      </c>
      <c r="G356" s="15">
        <v>4.42423671315492</v>
      </c>
      <c r="H356" s="15">
        <v>0</v>
      </c>
      <c r="I356" s="15">
        <v>0</v>
      </c>
      <c r="J356" s="14">
        <v>-0.43195936161360415</v>
      </c>
      <c r="K356" s="14">
        <v>0</v>
      </c>
      <c r="L356" s="15">
        <v>0</v>
      </c>
      <c r="M356" s="15">
        <v>0</v>
      </c>
      <c r="N356" s="15">
        <v>0</v>
      </c>
      <c r="O356" s="14">
        <v>0</v>
      </c>
      <c r="P356" s="14">
        <v>0</v>
      </c>
      <c r="Q356" s="15">
        <v>0</v>
      </c>
      <c r="R356" s="15">
        <v>0</v>
      </c>
      <c r="S356" s="16">
        <v>0</v>
      </c>
    </row>
    <row r="357" spans="1:19" ht="12.75">
      <c r="A357" s="59"/>
      <c r="B357" s="5" t="s">
        <v>943</v>
      </c>
      <c r="C357" s="14">
        <v>0</v>
      </c>
      <c r="D357" s="15">
        <v>0.011116481391976801</v>
      </c>
      <c r="E357" s="15">
        <v>0.004314700130378097</v>
      </c>
      <c r="F357" s="15">
        <v>0</v>
      </c>
      <c r="G357" s="15">
        <v>0.007420844327176781</v>
      </c>
      <c r="H357" s="15">
        <v>0.0016685205784204673</v>
      </c>
      <c r="I357" s="15">
        <v>0</v>
      </c>
      <c r="J357" s="14">
        <v>0.0033350997009527266</v>
      </c>
      <c r="K357" s="14">
        <v>0</v>
      </c>
      <c r="L357" s="15">
        <v>0</v>
      </c>
      <c r="M357" s="15">
        <v>0</v>
      </c>
      <c r="N357" s="15">
        <v>0</v>
      </c>
      <c r="O357" s="14">
        <v>0</v>
      </c>
      <c r="P357" s="14">
        <v>0</v>
      </c>
      <c r="Q357" s="15">
        <v>0</v>
      </c>
      <c r="R357" s="15">
        <v>0</v>
      </c>
      <c r="S357" s="16">
        <v>0</v>
      </c>
    </row>
    <row r="358" spans="1:19" ht="12.75">
      <c r="A358" s="59"/>
      <c r="B358" s="5" t="s">
        <v>945</v>
      </c>
      <c r="C358" s="14">
        <v>0</v>
      </c>
      <c r="D358" s="15">
        <v>0.009654958997369643</v>
      </c>
      <c r="E358" s="15">
        <v>0.0017785910338517842</v>
      </c>
      <c r="F358" s="15">
        <v>0</v>
      </c>
      <c r="G358" s="15">
        <v>0</v>
      </c>
      <c r="H358" s="15">
        <v>0</v>
      </c>
      <c r="I358" s="15">
        <v>0</v>
      </c>
      <c r="J358" s="14">
        <v>0.0019092569722280513</v>
      </c>
      <c r="K358" s="14">
        <v>0</v>
      </c>
      <c r="L358" s="15">
        <v>0</v>
      </c>
      <c r="M358" s="15">
        <v>0</v>
      </c>
      <c r="N358" s="15">
        <v>0</v>
      </c>
      <c r="O358" s="14">
        <v>0</v>
      </c>
      <c r="P358" s="14">
        <v>0</v>
      </c>
      <c r="Q358" s="15">
        <v>0</v>
      </c>
      <c r="R358" s="15">
        <v>0</v>
      </c>
      <c r="S358" s="16">
        <v>0</v>
      </c>
    </row>
    <row r="359" spans="1:19" ht="12.75">
      <c r="A359" s="59"/>
      <c r="B359" s="5" t="s">
        <v>969</v>
      </c>
      <c r="C359" s="14">
        <v>0</v>
      </c>
      <c r="D359" s="15">
        <v>-0.14615223946071576</v>
      </c>
      <c r="E359" s="15">
        <v>-0.2536109096526312</v>
      </c>
      <c r="F359" s="15">
        <v>0</v>
      </c>
      <c r="G359" s="15">
        <v>-0.7420844327176781</v>
      </c>
      <c r="H359" s="15">
        <v>-0.16685205784204674</v>
      </c>
      <c r="I359" s="15">
        <v>0</v>
      </c>
      <c r="J359" s="14">
        <v>-0.14258427287246753</v>
      </c>
      <c r="K359" s="14">
        <v>0</v>
      </c>
      <c r="L359" s="15">
        <v>0</v>
      </c>
      <c r="M359" s="15">
        <v>0</v>
      </c>
      <c r="N359" s="15">
        <v>0</v>
      </c>
      <c r="O359" s="14">
        <v>0</v>
      </c>
      <c r="P359" s="14">
        <v>0</v>
      </c>
      <c r="Q359" s="15">
        <v>0</v>
      </c>
      <c r="R359" s="15">
        <v>0</v>
      </c>
      <c r="S359" s="16">
        <v>0</v>
      </c>
    </row>
    <row r="360" spans="1:19" ht="12.75">
      <c r="A360" s="59"/>
      <c r="B360" s="5" t="s">
        <v>947</v>
      </c>
      <c r="C360" s="14">
        <v>0.0009340061895335546</v>
      </c>
      <c r="D360" s="15">
        <v>0</v>
      </c>
      <c r="E360" s="15">
        <v>0.002081975228161669</v>
      </c>
      <c r="F360" s="15">
        <v>0</v>
      </c>
      <c r="G360" s="15">
        <v>0</v>
      </c>
      <c r="H360" s="15">
        <v>0</v>
      </c>
      <c r="I360" s="15">
        <v>0</v>
      </c>
      <c r="J360" s="14">
        <v>0.001319217215043523</v>
      </c>
      <c r="K360" s="14">
        <v>0</v>
      </c>
      <c r="L360" s="15">
        <v>0</v>
      </c>
      <c r="M360" s="15">
        <v>0</v>
      </c>
      <c r="N360" s="15">
        <v>0</v>
      </c>
      <c r="O360" s="14">
        <v>0</v>
      </c>
      <c r="P360" s="14">
        <v>0</v>
      </c>
      <c r="Q360" s="15">
        <v>0</v>
      </c>
      <c r="R360" s="15">
        <v>0</v>
      </c>
      <c r="S360" s="16">
        <v>0</v>
      </c>
    </row>
    <row r="361" spans="1:19" ht="12.75">
      <c r="A361" s="59"/>
      <c r="B361" s="5" t="s">
        <v>949</v>
      </c>
      <c r="C361" s="293">
        <v>0.00047345495865160027</v>
      </c>
      <c r="D361" s="15">
        <v>0.0006034349373356027</v>
      </c>
      <c r="E361" s="15">
        <v>0.0011674290942360476</v>
      </c>
      <c r="F361" s="15">
        <v>0</v>
      </c>
      <c r="G361" s="15">
        <v>0</v>
      </c>
      <c r="H361" s="15">
        <v>0</v>
      </c>
      <c r="I361" s="15">
        <v>0</v>
      </c>
      <c r="J361" s="14">
        <v>0.0007963837640915205</v>
      </c>
      <c r="K361" s="14">
        <v>0</v>
      </c>
      <c r="L361" s="15">
        <v>0</v>
      </c>
      <c r="M361" s="15">
        <v>0</v>
      </c>
      <c r="N361" s="15">
        <v>0</v>
      </c>
      <c r="O361" s="14">
        <v>0</v>
      </c>
      <c r="P361" s="14">
        <v>0</v>
      </c>
      <c r="Q361" s="15">
        <v>0</v>
      </c>
      <c r="R361" s="15">
        <v>0</v>
      </c>
      <c r="S361" s="16">
        <v>0</v>
      </c>
    </row>
    <row r="362" spans="1:19" ht="12.75">
      <c r="A362" s="59"/>
      <c r="B362" s="5" t="s">
        <v>975</v>
      </c>
      <c r="C362" s="14">
        <v>-0.046055123088195433</v>
      </c>
      <c r="D362" s="15">
        <v>0</v>
      </c>
      <c r="E362" s="15">
        <v>-0.09145461339256215</v>
      </c>
      <c r="F362" s="15">
        <v>0</v>
      </c>
      <c r="G362" s="15">
        <v>0</v>
      </c>
      <c r="H362" s="15">
        <v>0</v>
      </c>
      <c r="I362" s="15">
        <v>0</v>
      </c>
      <c r="J362" s="14">
        <v>-0.05228334509520025</v>
      </c>
      <c r="K362" s="14">
        <v>0</v>
      </c>
      <c r="L362" s="15">
        <v>0</v>
      </c>
      <c r="M362" s="15">
        <v>0</v>
      </c>
      <c r="N362" s="15">
        <v>0</v>
      </c>
      <c r="O362" s="14">
        <v>0</v>
      </c>
      <c r="P362" s="14">
        <v>0</v>
      </c>
      <c r="Q362" s="15">
        <v>0</v>
      </c>
      <c r="R362" s="15">
        <v>0</v>
      </c>
      <c r="S362" s="16">
        <v>0</v>
      </c>
    </row>
    <row r="363" spans="1:19" ht="12.75">
      <c r="A363" s="59"/>
      <c r="B363" s="5" t="s">
        <v>951</v>
      </c>
      <c r="C363" s="14">
        <v>0</v>
      </c>
      <c r="D363" s="15">
        <v>0</v>
      </c>
      <c r="E363" s="15">
        <v>0</v>
      </c>
      <c r="F363" s="15">
        <v>0</v>
      </c>
      <c r="G363" s="15">
        <v>0</v>
      </c>
      <c r="H363" s="15">
        <v>0</v>
      </c>
      <c r="I363" s="15">
        <v>0</v>
      </c>
      <c r="J363" s="14">
        <v>0</v>
      </c>
      <c r="K363" s="14">
        <v>0</v>
      </c>
      <c r="L363" s="15">
        <v>0</v>
      </c>
      <c r="M363" s="15">
        <v>0</v>
      </c>
      <c r="N363" s="15">
        <v>0</v>
      </c>
      <c r="O363" s="14">
        <v>0</v>
      </c>
      <c r="P363" s="14">
        <v>0</v>
      </c>
      <c r="Q363" s="15">
        <v>0</v>
      </c>
      <c r="R363" s="15">
        <v>0</v>
      </c>
      <c r="S363" s="16">
        <v>0</v>
      </c>
    </row>
    <row r="364" spans="1:19" ht="12.75">
      <c r="A364" s="59"/>
      <c r="B364" s="5" t="s">
        <v>953</v>
      </c>
      <c r="C364" s="14">
        <v>0</v>
      </c>
      <c r="D364" s="15">
        <v>0</v>
      </c>
      <c r="E364" s="15">
        <v>0</v>
      </c>
      <c r="F364" s="15">
        <v>0</v>
      </c>
      <c r="G364" s="15">
        <v>0</v>
      </c>
      <c r="H364" s="15">
        <v>0</v>
      </c>
      <c r="I364" s="15">
        <v>0</v>
      </c>
      <c r="J364" s="14">
        <v>0</v>
      </c>
      <c r="K364" s="14">
        <v>0</v>
      </c>
      <c r="L364" s="15">
        <v>0</v>
      </c>
      <c r="M364" s="15">
        <v>0</v>
      </c>
      <c r="N364" s="15">
        <v>0</v>
      </c>
      <c r="O364" s="14">
        <v>0</v>
      </c>
      <c r="P364" s="14">
        <v>0</v>
      </c>
      <c r="Q364" s="15">
        <v>0</v>
      </c>
      <c r="R364" s="15">
        <v>0</v>
      </c>
      <c r="S364" s="16">
        <v>0</v>
      </c>
    </row>
    <row r="365" spans="1:19" s="301" customFormat="1" ht="12.75">
      <c r="A365" s="345"/>
      <c r="B365" s="5" t="s">
        <v>977</v>
      </c>
      <c r="C365" s="14">
        <v>0</v>
      </c>
      <c r="D365" s="15">
        <v>0</v>
      </c>
      <c r="E365" s="15">
        <v>0</v>
      </c>
      <c r="F365" s="15">
        <v>0</v>
      </c>
      <c r="G365" s="15">
        <v>0</v>
      </c>
      <c r="H365" s="15">
        <v>0</v>
      </c>
      <c r="I365" s="15">
        <v>0</v>
      </c>
      <c r="J365" s="14">
        <v>0</v>
      </c>
      <c r="K365" s="14">
        <v>0</v>
      </c>
      <c r="L365" s="15">
        <v>0</v>
      </c>
      <c r="M365" s="15">
        <v>0</v>
      </c>
      <c r="N365" s="15">
        <v>0</v>
      </c>
      <c r="O365" s="14">
        <v>0</v>
      </c>
      <c r="P365" s="14">
        <v>0</v>
      </c>
      <c r="Q365" s="15">
        <v>0</v>
      </c>
      <c r="R365" s="15">
        <v>0</v>
      </c>
      <c r="S365" s="16">
        <v>0</v>
      </c>
    </row>
    <row r="366" spans="1:19" s="56" customFormat="1" ht="12.75">
      <c r="A366" s="58" t="s">
        <v>151</v>
      </c>
      <c r="B366" s="3" t="s">
        <v>907</v>
      </c>
      <c r="C366" s="11">
        <v>0.9768422165095157</v>
      </c>
      <c r="D366" s="12">
        <v>0</v>
      </c>
      <c r="E366" s="12">
        <v>0.9794611616515045</v>
      </c>
      <c r="F366" s="12">
        <v>0.9762829530124011</v>
      </c>
      <c r="G366" s="12">
        <v>0.9277938258786763</v>
      </c>
      <c r="H366" s="12">
        <v>0.9897095636342949</v>
      </c>
      <c r="I366" s="12">
        <v>0</v>
      </c>
      <c r="J366" s="11">
        <v>0.9672655683088481</v>
      </c>
      <c r="K366" s="11">
        <v>0.7225299291310209</v>
      </c>
      <c r="L366" s="12">
        <v>0.8285544446855415</v>
      </c>
      <c r="M366" s="12">
        <v>0.8629956075001451</v>
      </c>
      <c r="N366" s="12">
        <v>0.8438662365363936</v>
      </c>
      <c r="O366" s="11">
        <v>0.8369098276137502</v>
      </c>
      <c r="P366" s="11">
        <v>0</v>
      </c>
      <c r="Q366" s="12">
        <v>0</v>
      </c>
      <c r="R366" s="12">
        <v>0</v>
      </c>
      <c r="S366" s="13">
        <v>0</v>
      </c>
    </row>
    <row r="367" spans="1:19" ht="12.75">
      <c r="A367" s="59"/>
      <c r="B367" s="5" t="s">
        <v>909</v>
      </c>
      <c r="C367" s="14">
        <v>0.9694132137300565</v>
      </c>
      <c r="D367" s="15">
        <v>0</v>
      </c>
      <c r="E367" s="15">
        <v>0.9914590791413247</v>
      </c>
      <c r="F367" s="15">
        <v>0.9689823606662699</v>
      </c>
      <c r="G367" s="15">
        <v>0.9194853338564332</v>
      </c>
      <c r="H367" s="15">
        <v>0.9948884169149813</v>
      </c>
      <c r="I367" s="15">
        <v>0</v>
      </c>
      <c r="J367" s="14">
        <v>0.9629307733316401</v>
      </c>
      <c r="K367" s="14">
        <v>0.700098709282421</v>
      </c>
      <c r="L367" s="15">
        <v>0.8108062660412426</v>
      </c>
      <c r="M367" s="15">
        <v>0.8357872026819362</v>
      </c>
      <c r="N367" s="15">
        <v>0.8113651743217346</v>
      </c>
      <c r="O367" s="14">
        <v>0.812265125530373</v>
      </c>
      <c r="P367" s="14">
        <v>0</v>
      </c>
      <c r="Q367" s="15">
        <v>0</v>
      </c>
      <c r="R367" s="15">
        <v>0</v>
      </c>
      <c r="S367" s="16">
        <v>0</v>
      </c>
    </row>
    <row r="368" spans="1:19" ht="12.75">
      <c r="A368" s="59"/>
      <c r="B368" s="5" t="s">
        <v>955</v>
      </c>
      <c r="C368" s="14">
        <v>-0.7429002779459237</v>
      </c>
      <c r="D368" s="15">
        <v>0</v>
      </c>
      <c r="E368" s="15">
        <v>1.1997917489820153</v>
      </c>
      <c r="F368" s="15">
        <v>-0.7300592346131229</v>
      </c>
      <c r="G368" s="15">
        <v>-0.8308492022243152</v>
      </c>
      <c r="H368" s="15">
        <v>0.5178853280686457</v>
      </c>
      <c r="I368" s="15">
        <v>0</v>
      </c>
      <c r="J368" s="14">
        <v>-0.4334794977208012</v>
      </c>
      <c r="K368" s="14">
        <v>-2.243121984859986</v>
      </c>
      <c r="L368" s="15">
        <v>-1.7748178644298895</v>
      </c>
      <c r="M368" s="15">
        <v>-2.7208404818208964</v>
      </c>
      <c r="N368" s="15">
        <v>-3.2501062214658982</v>
      </c>
      <c r="O368" s="14">
        <v>-2.4644702083377212</v>
      </c>
      <c r="P368" s="14">
        <v>0</v>
      </c>
      <c r="Q368" s="15">
        <v>0</v>
      </c>
      <c r="R368" s="15">
        <v>0</v>
      </c>
      <c r="S368" s="16">
        <v>0</v>
      </c>
    </row>
    <row r="369" spans="1:19" ht="12.75">
      <c r="A369" s="59"/>
      <c r="B369" s="5" t="s">
        <v>911</v>
      </c>
      <c r="C369" s="14">
        <v>0.004909672592698346</v>
      </c>
      <c r="D369" s="15">
        <v>0</v>
      </c>
      <c r="E369" s="15">
        <v>0.0030663528214262994</v>
      </c>
      <c r="F369" s="15">
        <v>0</v>
      </c>
      <c r="G369" s="15">
        <v>0.0021875674619899876</v>
      </c>
      <c r="H369" s="15">
        <v>0.0023183705979404902</v>
      </c>
      <c r="I369" s="15">
        <v>0</v>
      </c>
      <c r="J369" s="14">
        <v>0.0034330226260872922</v>
      </c>
      <c r="K369" s="14">
        <v>0.06703858422197606</v>
      </c>
      <c r="L369" s="15">
        <v>0.042141136612699415</v>
      </c>
      <c r="M369" s="15">
        <v>0.042788173145765204</v>
      </c>
      <c r="N369" s="15">
        <v>0.06863280859790459</v>
      </c>
      <c r="O369" s="14">
        <v>0.05023744862541209</v>
      </c>
      <c r="P369" s="14">
        <v>0</v>
      </c>
      <c r="Q369" s="15">
        <v>0</v>
      </c>
      <c r="R369" s="15">
        <v>0</v>
      </c>
      <c r="S369" s="16">
        <v>0</v>
      </c>
    </row>
    <row r="370" spans="1:19" ht="12.75">
      <c r="A370" s="59"/>
      <c r="B370" s="5" t="s">
        <v>913</v>
      </c>
      <c r="C370" s="14">
        <v>0.003276929925711484</v>
      </c>
      <c r="D370" s="15">
        <v>0</v>
      </c>
      <c r="E370" s="15">
        <v>0.00138426092234513</v>
      </c>
      <c r="F370" s="15">
        <v>0</v>
      </c>
      <c r="G370" s="15">
        <v>0.0010508701204597407</v>
      </c>
      <c r="H370" s="15">
        <v>0.002631078425156914</v>
      </c>
      <c r="I370" s="15">
        <v>0</v>
      </c>
      <c r="J370" s="14">
        <v>0.0021752253604907994</v>
      </c>
      <c r="K370" s="14">
        <v>0.07665587944972699</v>
      </c>
      <c r="L370" s="15">
        <v>0.04559695548278609</v>
      </c>
      <c r="M370" s="15">
        <v>0.05657499819824847</v>
      </c>
      <c r="N370" s="15">
        <v>0.06993909685930863</v>
      </c>
      <c r="O370" s="14">
        <v>0.05664881352035917</v>
      </c>
      <c r="P370" s="14">
        <v>0</v>
      </c>
      <c r="Q370" s="15">
        <v>0</v>
      </c>
      <c r="R370" s="15">
        <v>0</v>
      </c>
      <c r="S370" s="16">
        <v>0</v>
      </c>
    </row>
    <row r="371" spans="1:19" ht="12.75">
      <c r="A371" s="59"/>
      <c r="B371" s="5" t="s">
        <v>963</v>
      </c>
      <c r="C371" s="14">
        <v>-0.16327426669868617</v>
      </c>
      <c r="D371" s="15">
        <v>0</v>
      </c>
      <c r="E371" s="15">
        <v>-0.16820918990811695</v>
      </c>
      <c r="F371" s="15">
        <v>0</v>
      </c>
      <c r="G371" s="15">
        <v>-0.11366973415302468</v>
      </c>
      <c r="H371" s="15">
        <v>0.031270782721642354</v>
      </c>
      <c r="I371" s="15">
        <v>0</v>
      </c>
      <c r="J371" s="14">
        <v>-0.12577972655964928</v>
      </c>
      <c r="K371" s="14">
        <v>0.9617295227750927</v>
      </c>
      <c r="L371" s="15">
        <v>0.34558188700866754</v>
      </c>
      <c r="M371" s="15">
        <v>1.3786825052483263</v>
      </c>
      <c r="N371" s="15">
        <v>0.130628826140404</v>
      </c>
      <c r="O371" s="14">
        <v>0.6411364894947085</v>
      </c>
      <c r="P371" s="14">
        <v>0</v>
      </c>
      <c r="Q371" s="15">
        <v>0</v>
      </c>
      <c r="R371" s="15">
        <v>0</v>
      </c>
      <c r="S371" s="16">
        <v>0</v>
      </c>
    </row>
    <row r="372" spans="1:19" ht="12.75">
      <c r="A372" s="59"/>
      <c r="B372" s="5" t="s">
        <v>917</v>
      </c>
      <c r="C372" s="14">
        <v>0.013485839729226365</v>
      </c>
      <c r="D372" s="15">
        <v>0</v>
      </c>
      <c r="E372" s="15">
        <v>0.0067911444748393664</v>
      </c>
      <c r="F372" s="15">
        <v>0.015785759209559793</v>
      </c>
      <c r="G372" s="15">
        <v>0.02609249874070952</v>
      </c>
      <c r="H372" s="15">
        <v>0</v>
      </c>
      <c r="I372" s="15">
        <v>0</v>
      </c>
      <c r="J372" s="14">
        <v>0.014656987188318569</v>
      </c>
      <c r="K372" s="14">
        <v>0.15189451065703952</v>
      </c>
      <c r="L372" s="15">
        <v>0.09498576818089818</v>
      </c>
      <c r="M372" s="15">
        <v>0.05457003811993266</v>
      </c>
      <c r="N372" s="15">
        <v>0.03537116364341495</v>
      </c>
      <c r="O372" s="14">
        <v>0.0712149817738211</v>
      </c>
      <c r="P372" s="14">
        <v>0</v>
      </c>
      <c r="Q372" s="15">
        <v>0</v>
      </c>
      <c r="R372" s="15">
        <v>0</v>
      </c>
      <c r="S372" s="16">
        <v>0</v>
      </c>
    </row>
    <row r="373" spans="1:19" ht="12.75">
      <c r="A373" s="59"/>
      <c r="B373" s="5" t="s">
        <v>919</v>
      </c>
      <c r="C373" s="14">
        <v>0.02144677946144212</v>
      </c>
      <c r="D373" s="15">
        <v>0</v>
      </c>
      <c r="E373" s="15">
        <v>0.0026136828153451672</v>
      </c>
      <c r="F373" s="15">
        <v>0.02456940940827452</v>
      </c>
      <c r="G373" s="15">
        <v>0.031894408570296205</v>
      </c>
      <c r="H373" s="15">
        <v>0.0023140810245355988</v>
      </c>
      <c r="I373" s="15">
        <v>0</v>
      </c>
      <c r="J373" s="14">
        <v>0.020293578256741853</v>
      </c>
      <c r="K373" s="14">
        <v>0.17256631639448727</v>
      </c>
      <c r="L373" s="15">
        <v>0.10947871493052483</v>
      </c>
      <c r="M373" s="15">
        <v>0.07254897858124272</v>
      </c>
      <c r="N373" s="15">
        <v>0.07380596293495136</v>
      </c>
      <c r="O373" s="14">
        <v>0.09309123887565827</v>
      </c>
      <c r="P373" s="14">
        <v>0</v>
      </c>
      <c r="Q373" s="15">
        <v>0</v>
      </c>
      <c r="R373" s="15">
        <v>0</v>
      </c>
      <c r="S373" s="16">
        <v>0</v>
      </c>
    </row>
    <row r="374" spans="1:19" ht="12.75">
      <c r="A374" s="59"/>
      <c r="B374" s="5" t="s">
        <v>965</v>
      </c>
      <c r="C374" s="14">
        <v>0.7960939732215755</v>
      </c>
      <c r="D374" s="15">
        <v>0</v>
      </c>
      <c r="E374" s="15">
        <v>-0.41774616594941993</v>
      </c>
      <c r="F374" s="15">
        <v>0.8783650198714725</v>
      </c>
      <c r="G374" s="15">
        <v>0.5801909829586684</v>
      </c>
      <c r="H374" s="15">
        <v>0</v>
      </c>
      <c r="I374" s="15">
        <v>0</v>
      </c>
      <c r="J374" s="14">
        <v>0.5636591068423285</v>
      </c>
      <c r="K374" s="14">
        <v>2.0671805737447757</v>
      </c>
      <c r="L374" s="15">
        <v>1.4492946749626645</v>
      </c>
      <c r="M374" s="15">
        <v>1.7978940461310058</v>
      </c>
      <c r="N374" s="15">
        <v>3.8434799291536406</v>
      </c>
      <c r="O374" s="14">
        <v>2.1876257101837173</v>
      </c>
      <c r="P374" s="14">
        <v>0</v>
      </c>
      <c r="Q374" s="15">
        <v>0</v>
      </c>
      <c r="R374" s="15">
        <v>0</v>
      </c>
      <c r="S374" s="16">
        <v>0</v>
      </c>
    </row>
    <row r="375" spans="1:19" ht="12.75">
      <c r="A375" s="59"/>
      <c r="B375" s="5" t="s">
        <v>921</v>
      </c>
      <c r="C375" s="14">
        <v>0.002163741659999611</v>
      </c>
      <c r="D375" s="15">
        <v>0</v>
      </c>
      <c r="E375" s="15">
        <v>0.0007920351167377059</v>
      </c>
      <c r="F375" s="15">
        <v>0.007931287778039166</v>
      </c>
      <c r="G375" s="15">
        <v>0.03795964102511385</v>
      </c>
      <c r="H375" s="15">
        <v>0.007972065767764693</v>
      </c>
      <c r="I375" s="15">
        <v>0</v>
      </c>
      <c r="J375" s="14">
        <v>0.010689041298140288</v>
      </c>
      <c r="K375" s="14">
        <v>0.05513366343240755</v>
      </c>
      <c r="L375" s="15">
        <v>0.002173520611065627</v>
      </c>
      <c r="M375" s="15">
        <v>0.027174964685849186</v>
      </c>
      <c r="N375" s="15">
        <v>0.029586146514593285</v>
      </c>
      <c r="O375" s="14">
        <v>0.019335724762914445</v>
      </c>
      <c r="P375" s="14">
        <v>0</v>
      </c>
      <c r="Q375" s="15">
        <v>0</v>
      </c>
      <c r="R375" s="15">
        <v>0</v>
      </c>
      <c r="S375" s="16">
        <v>0</v>
      </c>
    </row>
    <row r="376" spans="1:19" ht="12.75">
      <c r="A376" s="59"/>
      <c r="B376" s="5" t="s">
        <v>923</v>
      </c>
      <c r="C376" s="14">
        <v>0.0028091840724410104</v>
      </c>
      <c r="D376" s="15">
        <v>0</v>
      </c>
      <c r="E376" s="297">
        <v>0.0003437426451461061</v>
      </c>
      <c r="F376" s="15">
        <v>0.006448229925455628</v>
      </c>
      <c r="G376" s="15">
        <v>0.03965083088797525</v>
      </c>
      <c r="H376" s="15">
        <v>0</v>
      </c>
      <c r="I376" s="15">
        <v>0</v>
      </c>
      <c r="J376" s="14">
        <v>0.010757510215798407</v>
      </c>
      <c r="K376" s="14">
        <v>0.050679094873364736</v>
      </c>
      <c r="L376" s="15">
        <v>0.002108151163819807</v>
      </c>
      <c r="M376" s="15">
        <v>0.02525009473725813</v>
      </c>
      <c r="N376" s="15">
        <v>0.03521691412714028</v>
      </c>
      <c r="O376" s="14">
        <v>0.01997019958985889</v>
      </c>
      <c r="P376" s="14">
        <v>0</v>
      </c>
      <c r="Q376" s="15">
        <v>0</v>
      </c>
      <c r="R376" s="15">
        <v>0</v>
      </c>
      <c r="S376" s="16">
        <v>0</v>
      </c>
    </row>
    <row r="377" spans="1:19" ht="12.75">
      <c r="A377" s="59"/>
      <c r="B377" s="5" t="s">
        <v>971</v>
      </c>
      <c r="C377" s="14">
        <v>0.06454424124413996</v>
      </c>
      <c r="D377" s="15">
        <v>0</v>
      </c>
      <c r="E377" s="15">
        <v>-0.044829247159159986</v>
      </c>
      <c r="F377" s="15">
        <v>-0.1483057852583539</v>
      </c>
      <c r="G377" s="15">
        <v>0.1691189862861396</v>
      </c>
      <c r="H377" s="15">
        <v>-0.7972065767764692</v>
      </c>
      <c r="I377" s="15">
        <v>0</v>
      </c>
      <c r="J377" s="14">
        <v>0.0068468917658118245</v>
      </c>
      <c r="K377" s="14">
        <v>-0.4454568559042811</v>
      </c>
      <c r="L377" s="15">
        <v>-0.006536944724581982</v>
      </c>
      <c r="M377" s="15">
        <v>-0.19248699485910556</v>
      </c>
      <c r="N377" s="15">
        <v>0.5630767612546994</v>
      </c>
      <c r="O377" s="14">
        <v>0.0634474826944443</v>
      </c>
      <c r="P377" s="14">
        <v>0</v>
      </c>
      <c r="Q377" s="15">
        <v>0</v>
      </c>
      <c r="R377" s="15">
        <v>0</v>
      </c>
      <c r="S377" s="16">
        <v>0</v>
      </c>
    </row>
    <row r="378" spans="1:19" ht="12.75">
      <c r="A378" s="59"/>
      <c r="B378" s="5" t="s">
        <v>925</v>
      </c>
      <c r="C378" s="14">
        <v>0.0015157316255781333</v>
      </c>
      <c r="D378" s="15">
        <v>0</v>
      </c>
      <c r="E378" s="15">
        <v>0.009889305935492079</v>
      </c>
      <c r="F378" s="15">
        <v>0</v>
      </c>
      <c r="G378" s="15">
        <v>0.005966466893510285</v>
      </c>
      <c r="H378" s="15">
        <v>0</v>
      </c>
      <c r="I378" s="15">
        <v>0</v>
      </c>
      <c r="J378" s="14">
        <v>0.0034312275815769197</v>
      </c>
      <c r="K378" s="14">
        <v>0.0034033125575560212</v>
      </c>
      <c r="L378" s="15">
        <v>0.022654211469697438</v>
      </c>
      <c r="M378" s="15">
        <v>0.012471216548307823</v>
      </c>
      <c r="N378" s="15">
        <v>0.022543644707693572</v>
      </c>
      <c r="O378" s="14">
        <v>0.018522445067313417</v>
      </c>
      <c r="P378" s="14">
        <v>0</v>
      </c>
      <c r="Q378" s="15">
        <v>0</v>
      </c>
      <c r="R378" s="15">
        <v>0</v>
      </c>
      <c r="S378" s="16">
        <v>0</v>
      </c>
    </row>
    <row r="379" spans="1:19" ht="12.75">
      <c r="A379" s="59"/>
      <c r="B379" s="5" t="s">
        <v>927</v>
      </c>
      <c r="C379" s="14">
        <v>0.0008939544299956928</v>
      </c>
      <c r="D379" s="15">
        <v>0</v>
      </c>
      <c r="E379" s="15">
        <v>0.004199234475838918</v>
      </c>
      <c r="F379" s="15">
        <v>0</v>
      </c>
      <c r="G379" s="15">
        <v>0.007918556564835684</v>
      </c>
      <c r="H379" s="297">
        <v>0.00016642363532619033</v>
      </c>
      <c r="I379" s="15">
        <v>0</v>
      </c>
      <c r="J379" s="14">
        <v>0.0027881512171869702</v>
      </c>
      <c r="K379" s="14">
        <v>0</v>
      </c>
      <c r="L379" s="15">
        <v>0.02042304628728206</v>
      </c>
      <c r="M379" s="15">
        <v>0.009838725801314466</v>
      </c>
      <c r="N379" s="15">
        <v>0.009647262201952767</v>
      </c>
      <c r="O379" s="14">
        <v>0.013430509396380498</v>
      </c>
      <c r="P379" s="14">
        <v>0</v>
      </c>
      <c r="Q379" s="15">
        <v>0</v>
      </c>
      <c r="R379" s="15">
        <v>0</v>
      </c>
      <c r="S379" s="16">
        <v>0</v>
      </c>
    </row>
    <row r="380" spans="1:19" ht="12.75">
      <c r="A380" s="59"/>
      <c r="B380" s="5" t="s">
        <v>973</v>
      </c>
      <c r="C380" s="14">
        <v>-0.062177719558244054</v>
      </c>
      <c r="D380" s="15">
        <v>0</v>
      </c>
      <c r="E380" s="15">
        <v>-0.5690071459653161</v>
      </c>
      <c r="F380" s="15">
        <v>0</v>
      </c>
      <c r="G380" s="15">
        <v>0.19520896713253988</v>
      </c>
      <c r="H380" s="15">
        <v>0</v>
      </c>
      <c r="I380" s="15">
        <v>0</v>
      </c>
      <c r="J380" s="14">
        <v>-0.06430763643899494</v>
      </c>
      <c r="K380" s="14">
        <v>-0.34033125575560214</v>
      </c>
      <c r="L380" s="15">
        <v>-0.22311651824153783</v>
      </c>
      <c r="M380" s="15">
        <v>-0.26324907469933573</v>
      </c>
      <c r="N380" s="15">
        <v>-1.2896382505740804</v>
      </c>
      <c r="O380" s="14">
        <v>-0.5091935670932919</v>
      </c>
      <c r="P380" s="14">
        <v>0</v>
      </c>
      <c r="Q380" s="15">
        <v>0</v>
      </c>
      <c r="R380" s="15">
        <v>0</v>
      </c>
      <c r="S380" s="16">
        <v>0</v>
      </c>
    </row>
    <row r="381" spans="1:19" ht="12.75">
      <c r="A381" s="59"/>
      <c r="B381" s="5" t="s">
        <v>929</v>
      </c>
      <c r="C381" s="14">
        <v>0.0010827978829818102</v>
      </c>
      <c r="D381" s="15">
        <v>0</v>
      </c>
      <c r="E381" s="15">
        <v>0</v>
      </c>
      <c r="F381" s="15">
        <v>0</v>
      </c>
      <c r="G381" s="15">
        <v>0</v>
      </c>
      <c r="H381" s="15">
        <v>0</v>
      </c>
      <c r="I381" s="15">
        <v>0</v>
      </c>
      <c r="J381" s="14">
        <v>0.0005241529970287526</v>
      </c>
      <c r="K381" s="14">
        <v>0</v>
      </c>
      <c r="L381" s="15">
        <v>0.009490918440097808</v>
      </c>
      <c r="M381" s="15">
        <v>0</v>
      </c>
      <c r="N381" s="15">
        <v>0</v>
      </c>
      <c r="O381" s="14">
        <v>0.003779572156788707</v>
      </c>
      <c r="P381" s="14">
        <v>0</v>
      </c>
      <c r="Q381" s="15">
        <v>0</v>
      </c>
      <c r="R381" s="15">
        <v>0</v>
      </c>
      <c r="S381" s="16">
        <v>0</v>
      </c>
    </row>
    <row r="382" spans="1:19" ht="12.75">
      <c r="A382" s="59"/>
      <c r="B382" s="5" t="s">
        <v>931</v>
      </c>
      <c r="C382" s="14">
        <v>0.0021599383803532295</v>
      </c>
      <c r="D382" s="15">
        <v>0</v>
      </c>
      <c r="E382" s="15">
        <v>0</v>
      </c>
      <c r="F382" s="15">
        <v>0</v>
      </c>
      <c r="G382" s="15">
        <v>0</v>
      </c>
      <c r="H382" s="15">
        <v>0</v>
      </c>
      <c r="I382" s="15">
        <v>0</v>
      </c>
      <c r="J382" s="14">
        <v>0.0010547616181418998</v>
      </c>
      <c r="K382" s="14">
        <v>0</v>
      </c>
      <c r="L382" s="15">
        <v>0.011586866094344632</v>
      </c>
      <c r="M382" s="15">
        <v>0</v>
      </c>
      <c r="N382" s="15">
        <v>2.5589554912341556E-05</v>
      </c>
      <c r="O382" s="14">
        <v>0.004594113087370149</v>
      </c>
      <c r="P382" s="14">
        <v>0</v>
      </c>
      <c r="Q382" s="15">
        <v>0</v>
      </c>
      <c r="R382" s="15">
        <v>0</v>
      </c>
      <c r="S382" s="16">
        <v>0</v>
      </c>
    </row>
    <row r="383" spans="1:19" ht="13.5" thickBot="1">
      <c r="A383" s="59"/>
      <c r="B383" s="5" t="s">
        <v>959</v>
      </c>
      <c r="C383" s="14">
        <v>0.10771404973714194</v>
      </c>
      <c r="D383" s="15">
        <v>0</v>
      </c>
      <c r="E383" s="15">
        <v>0</v>
      </c>
      <c r="F383" s="15">
        <v>0</v>
      </c>
      <c r="G383" s="15">
        <v>0</v>
      </c>
      <c r="H383" s="15">
        <v>0</v>
      </c>
      <c r="I383" s="15">
        <v>0</v>
      </c>
      <c r="J383" s="14">
        <v>0.05306086211131473</v>
      </c>
      <c r="K383" s="14">
        <v>0</v>
      </c>
      <c r="L383" s="15">
        <v>0.20959476542468242</v>
      </c>
      <c r="M383" s="15">
        <v>0</v>
      </c>
      <c r="N383" s="15">
        <v>0</v>
      </c>
      <c r="O383" s="14">
        <v>0.08145409305814416</v>
      </c>
      <c r="P383" s="14">
        <v>0</v>
      </c>
      <c r="Q383" s="15">
        <v>0</v>
      </c>
      <c r="R383" s="15">
        <v>0</v>
      </c>
      <c r="S383" s="16">
        <v>0</v>
      </c>
    </row>
    <row r="384" spans="1:19" ht="12.75">
      <c r="A384" s="59"/>
      <c r="B384" s="5" t="s">
        <v>915</v>
      </c>
      <c r="C384" s="291">
        <v>0.8700278021181536</v>
      </c>
      <c r="D384" s="15">
        <v>0</v>
      </c>
      <c r="E384" s="15">
        <v>0.9232745386760237</v>
      </c>
      <c r="F384" s="15">
        <v>0.9915932746196957</v>
      </c>
      <c r="G384" s="291">
        <v>0.870740780677162</v>
      </c>
      <c r="H384" s="15">
        <v>0.9591836734693877</v>
      </c>
      <c r="I384" s="15">
        <v>0</v>
      </c>
      <c r="J384" s="14">
        <v>0.8846649767762165</v>
      </c>
      <c r="K384" s="14">
        <v>0</v>
      </c>
      <c r="L384" s="15">
        <v>0</v>
      </c>
      <c r="M384" s="15">
        <v>0</v>
      </c>
      <c r="N384" s="15">
        <v>0</v>
      </c>
      <c r="O384" s="14">
        <v>0</v>
      </c>
      <c r="P384" s="14">
        <v>0</v>
      </c>
      <c r="Q384" s="15">
        <v>0</v>
      </c>
      <c r="R384" s="15">
        <v>0</v>
      </c>
      <c r="S384" s="16">
        <v>0</v>
      </c>
    </row>
    <row r="385" spans="1:19" ht="12.75">
      <c r="A385" s="59"/>
      <c r="B385" s="5" t="s">
        <v>933</v>
      </c>
      <c r="C385" s="292">
        <v>0.7206357158761968</v>
      </c>
      <c r="D385" s="15">
        <v>0</v>
      </c>
      <c r="E385" s="15">
        <v>0.9468149954282231</v>
      </c>
      <c r="F385" s="15">
        <v>0.9503610621481776</v>
      </c>
      <c r="G385" s="292">
        <v>0.7690929031912902</v>
      </c>
      <c r="H385" s="15">
        <v>1</v>
      </c>
      <c r="I385" s="15">
        <v>0</v>
      </c>
      <c r="J385" s="14">
        <v>0.7676198591704676</v>
      </c>
      <c r="K385" s="14">
        <v>0</v>
      </c>
      <c r="L385" s="15">
        <v>0</v>
      </c>
      <c r="M385" s="15">
        <v>0</v>
      </c>
      <c r="N385" s="15">
        <v>0</v>
      </c>
      <c r="O385" s="14">
        <v>0</v>
      </c>
      <c r="P385" s="14">
        <v>0</v>
      </c>
      <c r="Q385" s="15">
        <v>0</v>
      </c>
      <c r="R385" s="15">
        <v>0</v>
      </c>
      <c r="S385" s="16">
        <v>0</v>
      </c>
    </row>
    <row r="386" spans="1:19" ht="13.5" thickBot="1">
      <c r="A386" s="59"/>
      <c r="B386" s="5" t="s">
        <v>957</v>
      </c>
      <c r="C386" s="295">
        <v>-14.939208624195677</v>
      </c>
      <c r="D386" s="15">
        <v>0</v>
      </c>
      <c r="E386" s="15">
        <v>2.35404567521994</v>
      </c>
      <c r="F386" s="15">
        <v>-4.123221247151809</v>
      </c>
      <c r="G386" s="295">
        <v>-10.164787748587178</v>
      </c>
      <c r="H386" s="15">
        <v>4.081632653061229</v>
      </c>
      <c r="I386" s="15">
        <v>0</v>
      </c>
      <c r="J386" s="14">
        <v>-11.704511760574887</v>
      </c>
      <c r="K386" s="14">
        <v>0</v>
      </c>
      <c r="L386" s="15">
        <v>0</v>
      </c>
      <c r="M386" s="15">
        <v>0</v>
      </c>
      <c r="N386" s="15">
        <v>0</v>
      </c>
      <c r="O386" s="14">
        <v>0</v>
      </c>
      <c r="P386" s="14">
        <v>0</v>
      </c>
      <c r="Q386" s="15">
        <v>0</v>
      </c>
      <c r="R386" s="15">
        <v>0</v>
      </c>
      <c r="S386" s="16">
        <v>0</v>
      </c>
    </row>
    <row r="387" spans="1:19" ht="12.75">
      <c r="A387" s="59"/>
      <c r="B387" s="5" t="s">
        <v>935</v>
      </c>
      <c r="C387" s="292">
        <v>0.08933458821493093</v>
      </c>
      <c r="D387" s="15">
        <v>0</v>
      </c>
      <c r="E387" s="15">
        <v>0.02440552648892509</v>
      </c>
      <c r="F387" s="15">
        <v>0</v>
      </c>
      <c r="G387" s="15">
        <v>0.02552835885270649</v>
      </c>
      <c r="H387" s="15">
        <v>0</v>
      </c>
      <c r="I387" s="15">
        <v>0</v>
      </c>
      <c r="J387" s="14">
        <v>0.06682149188999106</v>
      </c>
      <c r="K387" s="14">
        <v>0</v>
      </c>
      <c r="L387" s="15">
        <v>0</v>
      </c>
      <c r="M387" s="15">
        <v>0</v>
      </c>
      <c r="N387" s="15">
        <v>0</v>
      </c>
      <c r="O387" s="14">
        <v>0</v>
      </c>
      <c r="P387" s="14">
        <v>0</v>
      </c>
      <c r="Q387" s="15">
        <v>0</v>
      </c>
      <c r="R387" s="15">
        <v>0</v>
      </c>
      <c r="S387" s="16">
        <v>0</v>
      </c>
    </row>
    <row r="388" spans="1:19" ht="12.75">
      <c r="A388" s="59"/>
      <c r="B388" s="5" t="s">
        <v>937</v>
      </c>
      <c r="C388" s="292">
        <v>0.1352427076374972</v>
      </c>
      <c r="D388" s="15">
        <v>0</v>
      </c>
      <c r="E388" s="15">
        <v>0.009600731484303566</v>
      </c>
      <c r="F388" s="15">
        <v>0</v>
      </c>
      <c r="G388" s="15">
        <v>0.011368804001819008</v>
      </c>
      <c r="H388" s="15">
        <v>0</v>
      </c>
      <c r="I388" s="15">
        <v>0</v>
      </c>
      <c r="J388" s="14">
        <v>0.09499716591027538</v>
      </c>
      <c r="K388" s="14">
        <v>0</v>
      </c>
      <c r="L388" s="15">
        <v>0</v>
      </c>
      <c r="M388" s="15">
        <v>0</v>
      </c>
      <c r="N388" s="15">
        <v>0</v>
      </c>
      <c r="O388" s="14">
        <v>0</v>
      </c>
      <c r="P388" s="14">
        <v>0</v>
      </c>
      <c r="Q388" s="15">
        <v>0</v>
      </c>
      <c r="R388" s="15">
        <v>0</v>
      </c>
      <c r="S388" s="16">
        <v>0</v>
      </c>
    </row>
    <row r="389" spans="1:19" ht="13.5" thickBot="1">
      <c r="A389" s="59"/>
      <c r="B389" s="5" t="s">
        <v>961</v>
      </c>
      <c r="C389" s="295">
        <v>4.590811942256629</v>
      </c>
      <c r="D389" s="15">
        <v>0</v>
      </c>
      <c r="E389" s="15">
        <v>-1.4804795004621527</v>
      </c>
      <c r="F389" s="15">
        <v>0</v>
      </c>
      <c r="G389" s="15">
        <v>-1.4159554850887481</v>
      </c>
      <c r="H389" s="15">
        <v>0</v>
      </c>
      <c r="I389" s="15">
        <v>0</v>
      </c>
      <c r="J389" s="14">
        <v>2.8175674020284314</v>
      </c>
      <c r="K389" s="14">
        <v>0</v>
      </c>
      <c r="L389" s="15">
        <v>0</v>
      </c>
      <c r="M389" s="15">
        <v>0</v>
      </c>
      <c r="N389" s="15">
        <v>0</v>
      </c>
      <c r="O389" s="14">
        <v>0</v>
      </c>
      <c r="P389" s="14">
        <v>0</v>
      </c>
      <c r="Q389" s="15">
        <v>0</v>
      </c>
      <c r="R389" s="15">
        <v>0</v>
      </c>
      <c r="S389" s="16">
        <v>0</v>
      </c>
    </row>
    <row r="390" spans="1:19" ht="12.75">
      <c r="A390" s="59"/>
      <c r="B390" s="5" t="s">
        <v>939</v>
      </c>
      <c r="C390" s="292">
        <v>0.018606865067774425</v>
      </c>
      <c r="D390" s="15">
        <v>0</v>
      </c>
      <c r="E390" s="15">
        <v>0.013722234405839782</v>
      </c>
      <c r="F390" s="15">
        <v>0.006691067139425826</v>
      </c>
      <c r="G390" s="291">
        <v>0.026525770972611603</v>
      </c>
      <c r="H390" s="15">
        <v>0</v>
      </c>
      <c r="I390" s="15">
        <v>0</v>
      </c>
      <c r="J390" s="14">
        <v>0.01823836246684933</v>
      </c>
      <c r="K390" s="14">
        <v>0</v>
      </c>
      <c r="L390" s="15">
        <v>0</v>
      </c>
      <c r="M390" s="15">
        <v>0</v>
      </c>
      <c r="N390" s="15">
        <v>0</v>
      </c>
      <c r="O390" s="14">
        <v>0</v>
      </c>
      <c r="P390" s="14">
        <v>0</v>
      </c>
      <c r="Q390" s="15">
        <v>0</v>
      </c>
      <c r="R390" s="15">
        <v>0</v>
      </c>
      <c r="S390" s="16">
        <v>0</v>
      </c>
    </row>
    <row r="391" spans="1:19" ht="12.75">
      <c r="A391" s="59"/>
      <c r="B391" s="5" t="s">
        <v>941</v>
      </c>
      <c r="C391" s="292">
        <v>0.04933199732798931</v>
      </c>
      <c r="D391" s="15">
        <v>0</v>
      </c>
      <c r="E391" s="15">
        <v>0.014172508381590978</v>
      </c>
      <c r="F391" s="15">
        <v>0.02780462841871837</v>
      </c>
      <c r="G391" s="292">
        <v>0.09399994649974587</v>
      </c>
      <c r="H391" s="15">
        <v>0</v>
      </c>
      <c r="I391" s="15">
        <v>0</v>
      </c>
      <c r="J391" s="14">
        <v>0.050355497563443666</v>
      </c>
      <c r="K391" s="14">
        <v>0</v>
      </c>
      <c r="L391" s="15">
        <v>0</v>
      </c>
      <c r="M391" s="15">
        <v>0</v>
      </c>
      <c r="N391" s="15">
        <v>0</v>
      </c>
      <c r="O391" s="14">
        <v>0</v>
      </c>
      <c r="P391" s="14">
        <v>0</v>
      </c>
      <c r="Q391" s="15">
        <v>0</v>
      </c>
      <c r="R391" s="15">
        <v>0</v>
      </c>
      <c r="S391" s="16">
        <v>0</v>
      </c>
    </row>
    <row r="392" spans="1:19" ht="13.5" thickBot="1">
      <c r="A392" s="59"/>
      <c r="B392" s="5" t="s">
        <v>967</v>
      </c>
      <c r="C392" s="292">
        <v>3.0725132260214885</v>
      </c>
      <c r="D392" s="15">
        <v>0</v>
      </c>
      <c r="E392" s="15">
        <v>0.045027397575119615</v>
      </c>
      <c r="F392" s="15">
        <v>2.1113561279292545</v>
      </c>
      <c r="G392" s="295">
        <v>6.747417552713427</v>
      </c>
      <c r="H392" s="15">
        <v>0</v>
      </c>
      <c r="I392" s="15">
        <v>0</v>
      </c>
      <c r="J392" s="14">
        <v>3.2117135096594334</v>
      </c>
      <c r="K392" s="14">
        <v>0</v>
      </c>
      <c r="L392" s="15">
        <v>0</v>
      </c>
      <c r="M392" s="15">
        <v>0</v>
      </c>
      <c r="N392" s="15">
        <v>0</v>
      </c>
      <c r="O392" s="14">
        <v>0</v>
      </c>
      <c r="P392" s="14">
        <v>0</v>
      </c>
      <c r="Q392" s="15">
        <v>0</v>
      </c>
      <c r="R392" s="15">
        <v>0</v>
      </c>
      <c r="S392" s="16">
        <v>0</v>
      </c>
    </row>
    <row r="393" spans="1:19" ht="12.75">
      <c r="A393" s="59"/>
      <c r="B393" s="5" t="s">
        <v>943</v>
      </c>
      <c r="C393" s="291">
        <v>0.01951016345914603</v>
      </c>
      <c r="D393" s="15">
        <v>0</v>
      </c>
      <c r="E393" s="15">
        <v>0.011090573012939002</v>
      </c>
      <c r="F393" s="15">
        <v>0.001715658240878417</v>
      </c>
      <c r="G393" s="292">
        <v>0.07720508949751995</v>
      </c>
      <c r="H393" s="15">
        <v>0.04081632653061224</v>
      </c>
      <c r="I393" s="15">
        <v>0</v>
      </c>
      <c r="J393" s="14">
        <v>0.025352019809814063</v>
      </c>
      <c r="K393" s="14">
        <v>0</v>
      </c>
      <c r="L393" s="15">
        <v>0</v>
      </c>
      <c r="M393" s="15">
        <v>0</v>
      </c>
      <c r="N393" s="15">
        <v>0</v>
      </c>
      <c r="O393" s="14">
        <v>0</v>
      </c>
      <c r="P393" s="14">
        <v>0</v>
      </c>
      <c r="Q393" s="15">
        <v>0</v>
      </c>
      <c r="R393" s="15">
        <v>0</v>
      </c>
      <c r="S393" s="16">
        <v>0</v>
      </c>
    </row>
    <row r="394" spans="1:19" ht="12.75">
      <c r="A394" s="59"/>
      <c r="B394" s="5" t="s">
        <v>945</v>
      </c>
      <c r="C394" s="292">
        <v>0.09407147628590515</v>
      </c>
      <c r="D394" s="15">
        <v>0</v>
      </c>
      <c r="E394" s="15">
        <v>0.006629076501066748</v>
      </c>
      <c r="F394" s="15">
        <v>0.021834309433103997</v>
      </c>
      <c r="G394" s="292">
        <v>0.11486504560896664</v>
      </c>
      <c r="H394" s="15">
        <v>0</v>
      </c>
      <c r="I394" s="15">
        <v>0</v>
      </c>
      <c r="J394" s="14">
        <v>0.08274400751699502</v>
      </c>
      <c r="K394" s="14">
        <v>0</v>
      </c>
      <c r="L394" s="15">
        <v>0</v>
      </c>
      <c r="M394" s="15">
        <v>0</v>
      </c>
      <c r="N394" s="15">
        <v>0</v>
      </c>
      <c r="O394" s="14">
        <v>0</v>
      </c>
      <c r="P394" s="14">
        <v>0</v>
      </c>
      <c r="Q394" s="15">
        <v>0</v>
      </c>
      <c r="R394" s="15">
        <v>0</v>
      </c>
      <c r="S394" s="16">
        <v>0</v>
      </c>
    </row>
    <row r="395" spans="1:19" ht="13.5" thickBot="1">
      <c r="A395" s="59"/>
      <c r="B395" s="5" t="s">
        <v>969</v>
      </c>
      <c r="C395" s="295">
        <v>7.456131282675912</v>
      </c>
      <c r="D395" s="15">
        <v>0</v>
      </c>
      <c r="E395" s="15">
        <v>-0.4461496511872253</v>
      </c>
      <c r="F395" s="15">
        <v>2.011865119222558</v>
      </c>
      <c r="G395" s="295">
        <v>3.7659956111446693</v>
      </c>
      <c r="H395" s="15">
        <v>-4.081632653061225</v>
      </c>
      <c r="I395" s="15">
        <v>0</v>
      </c>
      <c r="J395" s="14">
        <v>5.739198770718096</v>
      </c>
      <c r="K395" s="14">
        <v>0</v>
      </c>
      <c r="L395" s="15">
        <v>0</v>
      </c>
      <c r="M395" s="15">
        <v>0</v>
      </c>
      <c r="N395" s="15">
        <v>0</v>
      </c>
      <c r="O395" s="14">
        <v>0</v>
      </c>
      <c r="P395" s="14">
        <v>0</v>
      </c>
      <c r="Q395" s="15">
        <v>0</v>
      </c>
      <c r="R395" s="15">
        <v>0</v>
      </c>
      <c r="S395" s="16">
        <v>0</v>
      </c>
    </row>
    <row r="396" spans="1:19" ht="12.75">
      <c r="A396" s="59"/>
      <c r="B396" s="5" t="s">
        <v>947</v>
      </c>
      <c r="C396" s="14">
        <v>0.002217678685403347</v>
      </c>
      <c r="D396" s="15">
        <v>0</v>
      </c>
      <c r="E396" s="15">
        <v>0.02750712741627244</v>
      </c>
      <c r="F396" s="15">
        <v>0</v>
      </c>
      <c r="G396" s="15">
        <v>0</v>
      </c>
      <c r="H396" s="15">
        <v>0</v>
      </c>
      <c r="I396" s="15">
        <v>0</v>
      </c>
      <c r="J396" s="14">
        <v>0.0047180178464153325</v>
      </c>
      <c r="K396" s="14">
        <v>0</v>
      </c>
      <c r="L396" s="15">
        <v>0</v>
      </c>
      <c r="M396" s="15">
        <v>0</v>
      </c>
      <c r="N396" s="15">
        <v>0</v>
      </c>
      <c r="O396" s="14">
        <v>0</v>
      </c>
      <c r="P396" s="14">
        <v>0</v>
      </c>
      <c r="Q396" s="15">
        <v>0</v>
      </c>
      <c r="R396" s="15">
        <v>0</v>
      </c>
      <c r="S396" s="16">
        <v>0</v>
      </c>
    </row>
    <row r="397" spans="1:19" ht="12.75">
      <c r="A397" s="59"/>
      <c r="B397" s="5" t="s">
        <v>949</v>
      </c>
      <c r="C397" s="293">
        <v>0.0004843019372077488</v>
      </c>
      <c r="D397" s="15">
        <v>0</v>
      </c>
      <c r="E397" s="15">
        <v>0.022782688204815604</v>
      </c>
      <c r="F397" s="15">
        <v>0</v>
      </c>
      <c r="G397" s="15">
        <v>0.010673300698178316</v>
      </c>
      <c r="H397" s="15">
        <v>0</v>
      </c>
      <c r="I397" s="15">
        <v>0</v>
      </c>
      <c r="J397" s="14">
        <v>0.004123695653000902</v>
      </c>
      <c r="K397" s="14">
        <v>0</v>
      </c>
      <c r="L397" s="15">
        <v>0</v>
      </c>
      <c r="M397" s="15">
        <v>0</v>
      </c>
      <c r="N397" s="15">
        <v>0</v>
      </c>
      <c r="O397" s="14">
        <v>0</v>
      </c>
      <c r="P397" s="14">
        <v>0</v>
      </c>
      <c r="Q397" s="15">
        <v>0</v>
      </c>
      <c r="R397" s="15">
        <v>0</v>
      </c>
      <c r="S397" s="16">
        <v>0</v>
      </c>
    </row>
    <row r="398" spans="1:19" ht="12.75">
      <c r="A398" s="59"/>
      <c r="B398" s="5" t="s">
        <v>975</v>
      </c>
      <c r="C398" s="14">
        <v>-0.17333767481955983</v>
      </c>
      <c r="D398" s="15">
        <v>0</v>
      </c>
      <c r="E398" s="15">
        <v>-0.4724439211456835</v>
      </c>
      <c r="F398" s="15">
        <v>0</v>
      </c>
      <c r="G398" s="15">
        <v>0</v>
      </c>
      <c r="H398" s="15">
        <v>0</v>
      </c>
      <c r="I398" s="15">
        <v>0</v>
      </c>
      <c r="J398" s="14">
        <v>-0.05943221934144308</v>
      </c>
      <c r="K398" s="14">
        <v>0</v>
      </c>
      <c r="L398" s="15">
        <v>0</v>
      </c>
      <c r="M398" s="15">
        <v>0</v>
      </c>
      <c r="N398" s="15">
        <v>0</v>
      </c>
      <c r="O398" s="14">
        <v>0</v>
      </c>
      <c r="P398" s="14">
        <v>0</v>
      </c>
      <c r="Q398" s="15">
        <v>0</v>
      </c>
      <c r="R398" s="15">
        <v>0</v>
      </c>
      <c r="S398" s="16">
        <v>0</v>
      </c>
    </row>
    <row r="399" spans="1:19" ht="12.75">
      <c r="A399" s="59"/>
      <c r="B399" s="5" t="s">
        <v>951</v>
      </c>
      <c r="C399" s="293">
        <v>0.00030290245459167666</v>
      </c>
      <c r="D399" s="15">
        <v>0</v>
      </c>
      <c r="E399" s="15">
        <v>0</v>
      </c>
      <c r="F399" s="15">
        <v>0</v>
      </c>
      <c r="G399" s="15">
        <v>0</v>
      </c>
      <c r="H399" s="15">
        <v>0</v>
      </c>
      <c r="I399" s="15">
        <v>0</v>
      </c>
      <c r="J399" s="14">
        <v>0.0002051312107137101</v>
      </c>
      <c r="K399" s="14">
        <v>0</v>
      </c>
      <c r="L399" s="15">
        <v>0</v>
      </c>
      <c r="M399" s="15">
        <v>0</v>
      </c>
      <c r="N399" s="15">
        <v>0</v>
      </c>
      <c r="O399" s="14">
        <v>0</v>
      </c>
      <c r="P399" s="14">
        <v>0</v>
      </c>
      <c r="Q399" s="15">
        <v>0</v>
      </c>
      <c r="R399" s="15">
        <v>0</v>
      </c>
      <c r="S399" s="16">
        <v>0</v>
      </c>
    </row>
    <row r="400" spans="1:19" ht="12.75">
      <c r="A400" s="59"/>
      <c r="B400" s="5" t="s">
        <v>953</v>
      </c>
      <c r="C400" s="14">
        <v>0.00023380093520374083</v>
      </c>
      <c r="D400" s="15">
        <v>0</v>
      </c>
      <c r="E400" s="15">
        <v>0</v>
      </c>
      <c r="F400" s="15">
        <v>0</v>
      </c>
      <c r="G400" s="15">
        <v>0</v>
      </c>
      <c r="H400" s="15">
        <v>0</v>
      </c>
      <c r="I400" s="15">
        <v>0</v>
      </c>
      <c r="J400" s="14">
        <v>0.00015977418581737812</v>
      </c>
      <c r="K400" s="14">
        <v>0</v>
      </c>
      <c r="L400" s="15">
        <v>0</v>
      </c>
      <c r="M400" s="15">
        <v>0</v>
      </c>
      <c r="N400" s="15">
        <v>0</v>
      </c>
      <c r="O400" s="14">
        <v>0</v>
      </c>
      <c r="P400" s="14">
        <v>0</v>
      </c>
      <c r="Q400" s="15">
        <v>0</v>
      </c>
      <c r="R400" s="15">
        <v>0</v>
      </c>
      <c r="S400" s="16">
        <v>0</v>
      </c>
    </row>
    <row r="401" spans="1:19" s="301" customFormat="1" ht="12.75">
      <c r="A401" s="345"/>
      <c r="B401" s="5" t="s">
        <v>977</v>
      </c>
      <c r="C401" s="14">
        <v>-0.0069101519387935835</v>
      </c>
      <c r="D401" s="15">
        <v>0</v>
      </c>
      <c r="E401" s="15">
        <v>0</v>
      </c>
      <c r="F401" s="15">
        <v>0</v>
      </c>
      <c r="G401" s="15">
        <v>0</v>
      </c>
      <c r="H401" s="15">
        <v>0</v>
      </c>
      <c r="I401" s="15">
        <v>0</v>
      </c>
      <c r="J401" s="14">
        <v>-0.004535702489633198</v>
      </c>
      <c r="K401" s="14">
        <v>0</v>
      </c>
      <c r="L401" s="15">
        <v>0</v>
      </c>
      <c r="M401" s="15">
        <v>0</v>
      </c>
      <c r="N401" s="15">
        <v>0</v>
      </c>
      <c r="O401" s="14">
        <v>0</v>
      </c>
      <c r="P401" s="14">
        <v>0</v>
      </c>
      <c r="Q401" s="15">
        <v>0</v>
      </c>
      <c r="R401" s="15">
        <v>0</v>
      </c>
      <c r="S401" s="16">
        <v>0</v>
      </c>
    </row>
    <row r="402" spans="1:19" s="56" customFormat="1" ht="12.75">
      <c r="A402" s="58" t="s">
        <v>534</v>
      </c>
      <c r="B402" s="3" t="s">
        <v>907</v>
      </c>
      <c r="C402" s="11">
        <v>0</v>
      </c>
      <c r="D402" s="12">
        <v>0</v>
      </c>
      <c r="E402" s="12">
        <v>0</v>
      </c>
      <c r="F402" s="12">
        <v>0</v>
      </c>
      <c r="G402" s="12">
        <v>0</v>
      </c>
      <c r="H402" s="12">
        <v>0</v>
      </c>
      <c r="I402" s="12">
        <v>0</v>
      </c>
      <c r="J402" s="11">
        <v>0</v>
      </c>
      <c r="K402" s="11">
        <v>0</v>
      </c>
      <c r="L402" s="12">
        <v>0</v>
      </c>
      <c r="M402" s="12">
        <v>0</v>
      </c>
      <c r="N402" s="12">
        <v>0</v>
      </c>
      <c r="O402" s="11">
        <v>0</v>
      </c>
      <c r="P402" s="11">
        <v>0</v>
      </c>
      <c r="Q402" s="12">
        <v>0</v>
      </c>
      <c r="R402" s="12">
        <v>0</v>
      </c>
      <c r="S402" s="13">
        <v>0</v>
      </c>
    </row>
    <row r="403" spans="1:19" ht="12.75">
      <c r="A403" s="59"/>
      <c r="B403" s="5" t="s">
        <v>909</v>
      </c>
      <c r="C403" s="14">
        <v>0</v>
      </c>
      <c r="D403" s="15">
        <v>0</v>
      </c>
      <c r="E403" s="15">
        <v>0</v>
      </c>
      <c r="F403" s="15">
        <v>0</v>
      </c>
      <c r="G403" s="15">
        <v>0</v>
      </c>
      <c r="H403" s="15">
        <v>0</v>
      </c>
      <c r="I403" s="15">
        <v>0</v>
      </c>
      <c r="J403" s="14">
        <v>0</v>
      </c>
      <c r="K403" s="14">
        <v>0</v>
      </c>
      <c r="L403" s="15">
        <v>0</v>
      </c>
      <c r="M403" s="15">
        <v>0</v>
      </c>
      <c r="N403" s="15">
        <v>0</v>
      </c>
      <c r="O403" s="14">
        <v>0</v>
      </c>
      <c r="P403" s="14">
        <v>0</v>
      </c>
      <c r="Q403" s="15">
        <v>0</v>
      </c>
      <c r="R403" s="15">
        <v>0</v>
      </c>
      <c r="S403" s="16">
        <v>0</v>
      </c>
    </row>
    <row r="404" spans="1:19" ht="12.75">
      <c r="A404" s="59"/>
      <c r="B404" s="5" t="s">
        <v>955</v>
      </c>
      <c r="C404" s="14">
        <v>0</v>
      </c>
      <c r="D404" s="15">
        <v>0</v>
      </c>
      <c r="E404" s="15">
        <v>0</v>
      </c>
      <c r="F404" s="15">
        <v>0</v>
      </c>
      <c r="G404" s="15">
        <v>0</v>
      </c>
      <c r="H404" s="15">
        <v>0</v>
      </c>
      <c r="I404" s="15">
        <v>0</v>
      </c>
      <c r="J404" s="14">
        <v>0</v>
      </c>
      <c r="K404" s="14">
        <v>0</v>
      </c>
      <c r="L404" s="15">
        <v>0</v>
      </c>
      <c r="M404" s="15">
        <v>0</v>
      </c>
      <c r="N404" s="15">
        <v>0</v>
      </c>
      <c r="O404" s="14">
        <v>0</v>
      </c>
      <c r="P404" s="14">
        <v>0</v>
      </c>
      <c r="Q404" s="15">
        <v>0</v>
      </c>
      <c r="R404" s="15">
        <v>0</v>
      </c>
      <c r="S404" s="16">
        <v>0</v>
      </c>
    </row>
    <row r="405" spans="1:19" ht="12.75">
      <c r="A405" s="59"/>
      <c r="B405" s="5" t="s">
        <v>911</v>
      </c>
      <c r="C405" s="14">
        <v>0</v>
      </c>
      <c r="D405" s="15">
        <v>0</v>
      </c>
      <c r="E405" s="15">
        <v>0</v>
      </c>
      <c r="F405" s="15">
        <v>0</v>
      </c>
      <c r="G405" s="15">
        <v>0</v>
      </c>
      <c r="H405" s="15">
        <v>0</v>
      </c>
      <c r="I405" s="15">
        <v>0</v>
      </c>
      <c r="J405" s="14">
        <v>0</v>
      </c>
      <c r="K405" s="14">
        <v>0</v>
      </c>
      <c r="L405" s="15">
        <v>0</v>
      </c>
      <c r="M405" s="15">
        <v>0</v>
      </c>
      <c r="N405" s="15">
        <v>0</v>
      </c>
      <c r="O405" s="14">
        <v>0</v>
      </c>
      <c r="P405" s="14">
        <v>0</v>
      </c>
      <c r="Q405" s="15">
        <v>0</v>
      </c>
      <c r="R405" s="15">
        <v>0</v>
      </c>
      <c r="S405" s="16">
        <v>0</v>
      </c>
    </row>
    <row r="406" spans="1:19" ht="12.75">
      <c r="A406" s="59"/>
      <c r="B406" s="5" t="s">
        <v>913</v>
      </c>
      <c r="C406" s="14">
        <v>0</v>
      </c>
      <c r="D406" s="15">
        <v>0</v>
      </c>
      <c r="E406" s="15">
        <v>0</v>
      </c>
      <c r="F406" s="15">
        <v>0</v>
      </c>
      <c r="G406" s="15">
        <v>0</v>
      </c>
      <c r="H406" s="15">
        <v>0</v>
      </c>
      <c r="I406" s="15">
        <v>0</v>
      </c>
      <c r="J406" s="14">
        <v>0</v>
      </c>
      <c r="K406" s="14">
        <v>0</v>
      </c>
      <c r="L406" s="15">
        <v>0</v>
      </c>
      <c r="M406" s="15">
        <v>0</v>
      </c>
      <c r="N406" s="15">
        <v>0</v>
      </c>
      <c r="O406" s="14">
        <v>0</v>
      </c>
      <c r="P406" s="14">
        <v>0</v>
      </c>
      <c r="Q406" s="15">
        <v>0</v>
      </c>
      <c r="R406" s="15">
        <v>0</v>
      </c>
      <c r="S406" s="16">
        <v>0</v>
      </c>
    </row>
    <row r="407" spans="1:19" ht="12.75">
      <c r="A407" s="59"/>
      <c r="B407" s="5" t="s">
        <v>963</v>
      </c>
      <c r="C407" s="14">
        <v>0</v>
      </c>
      <c r="D407" s="15">
        <v>0</v>
      </c>
      <c r="E407" s="15">
        <v>0</v>
      </c>
      <c r="F407" s="15">
        <v>0</v>
      </c>
      <c r="G407" s="15">
        <v>0</v>
      </c>
      <c r="H407" s="15">
        <v>0</v>
      </c>
      <c r="I407" s="15">
        <v>0</v>
      </c>
      <c r="J407" s="14">
        <v>0</v>
      </c>
      <c r="K407" s="14">
        <v>0</v>
      </c>
      <c r="L407" s="15">
        <v>0</v>
      </c>
      <c r="M407" s="15">
        <v>0</v>
      </c>
      <c r="N407" s="15">
        <v>0</v>
      </c>
      <c r="O407" s="14">
        <v>0</v>
      </c>
      <c r="P407" s="14">
        <v>0</v>
      </c>
      <c r="Q407" s="15">
        <v>0</v>
      </c>
      <c r="R407" s="15">
        <v>0</v>
      </c>
      <c r="S407" s="16">
        <v>0</v>
      </c>
    </row>
    <row r="408" spans="1:19" ht="12.75">
      <c r="A408" s="59"/>
      <c r="B408" s="5" t="s">
        <v>917</v>
      </c>
      <c r="C408" s="14">
        <v>0</v>
      </c>
      <c r="D408" s="15">
        <v>0</v>
      </c>
      <c r="E408" s="15">
        <v>0</v>
      </c>
      <c r="F408" s="15">
        <v>0</v>
      </c>
      <c r="G408" s="15">
        <v>0</v>
      </c>
      <c r="H408" s="15">
        <v>0</v>
      </c>
      <c r="I408" s="15">
        <v>0</v>
      </c>
      <c r="J408" s="14">
        <v>0</v>
      </c>
      <c r="K408" s="14">
        <v>0</v>
      </c>
      <c r="L408" s="15">
        <v>0</v>
      </c>
      <c r="M408" s="15">
        <v>0</v>
      </c>
      <c r="N408" s="15">
        <v>0</v>
      </c>
      <c r="O408" s="14">
        <v>0</v>
      </c>
      <c r="P408" s="14">
        <v>0</v>
      </c>
      <c r="Q408" s="15">
        <v>0</v>
      </c>
      <c r="R408" s="15">
        <v>0</v>
      </c>
      <c r="S408" s="16">
        <v>0</v>
      </c>
    </row>
    <row r="409" spans="1:19" ht="12.75">
      <c r="A409" s="59"/>
      <c r="B409" s="5" t="s">
        <v>919</v>
      </c>
      <c r="C409" s="14">
        <v>0</v>
      </c>
      <c r="D409" s="15">
        <v>0</v>
      </c>
      <c r="E409" s="15">
        <v>0</v>
      </c>
      <c r="F409" s="15">
        <v>0</v>
      </c>
      <c r="G409" s="15">
        <v>0</v>
      </c>
      <c r="H409" s="15">
        <v>0</v>
      </c>
      <c r="I409" s="15">
        <v>0</v>
      </c>
      <c r="J409" s="14">
        <v>0</v>
      </c>
      <c r="K409" s="14">
        <v>0</v>
      </c>
      <c r="L409" s="15">
        <v>0</v>
      </c>
      <c r="M409" s="15">
        <v>0</v>
      </c>
      <c r="N409" s="15">
        <v>0</v>
      </c>
      <c r="O409" s="14">
        <v>0</v>
      </c>
      <c r="P409" s="14">
        <v>0</v>
      </c>
      <c r="Q409" s="15">
        <v>0</v>
      </c>
      <c r="R409" s="15">
        <v>0</v>
      </c>
      <c r="S409" s="16">
        <v>0</v>
      </c>
    </row>
    <row r="410" spans="1:19" ht="12.75">
      <c r="A410" s="59"/>
      <c r="B410" s="5" t="s">
        <v>965</v>
      </c>
      <c r="C410" s="14">
        <v>0</v>
      </c>
      <c r="D410" s="15">
        <v>0</v>
      </c>
      <c r="E410" s="15">
        <v>0</v>
      </c>
      <c r="F410" s="15">
        <v>0</v>
      </c>
      <c r="G410" s="15">
        <v>0</v>
      </c>
      <c r="H410" s="15">
        <v>0</v>
      </c>
      <c r="I410" s="15">
        <v>0</v>
      </c>
      <c r="J410" s="14">
        <v>0</v>
      </c>
      <c r="K410" s="14">
        <v>0</v>
      </c>
      <c r="L410" s="15">
        <v>0</v>
      </c>
      <c r="M410" s="15">
        <v>0</v>
      </c>
      <c r="N410" s="15">
        <v>0</v>
      </c>
      <c r="O410" s="14">
        <v>0</v>
      </c>
      <c r="P410" s="14">
        <v>0</v>
      </c>
      <c r="Q410" s="15">
        <v>0</v>
      </c>
      <c r="R410" s="15">
        <v>0</v>
      </c>
      <c r="S410" s="16">
        <v>0</v>
      </c>
    </row>
    <row r="411" spans="1:19" ht="12.75">
      <c r="A411" s="59"/>
      <c r="B411" s="5" t="s">
        <v>921</v>
      </c>
      <c r="C411" s="14">
        <v>0</v>
      </c>
      <c r="D411" s="15">
        <v>0</v>
      </c>
      <c r="E411" s="15">
        <v>0</v>
      </c>
      <c r="F411" s="15">
        <v>0</v>
      </c>
      <c r="G411" s="15">
        <v>0</v>
      </c>
      <c r="H411" s="15">
        <v>0</v>
      </c>
      <c r="I411" s="15">
        <v>0</v>
      </c>
      <c r="J411" s="14">
        <v>0</v>
      </c>
      <c r="K411" s="14">
        <v>0</v>
      </c>
      <c r="L411" s="15">
        <v>0</v>
      </c>
      <c r="M411" s="15">
        <v>0</v>
      </c>
      <c r="N411" s="15">
        <v>0</v>
      </c>
      <c r="O411" s="14">
        <v>0</v>
      </c>
      <c r="P411" s="14">
        <v>0</v>
      </c>
      <c r="Q411" s="15">
        <v>0</v>
      </c>
      <c r="R411" s="15">
        <v>0</v>
      </c>
      <c r="S411" s="16">
        <v>0</v>
      </c>
    </row>
    <row r="412" spans="1:19" ht="12.75">
      <c r="A412" s="59"/>
      <c r="B412" s="5" t="s">
        <v>923</v>
      </c>
      <c r="C412" s="14">
        <v>0</v>
      </c>
      <c r="D412" s="15">
        <v>0</v>
      </c>
      <c r="E412" s="15">
        <v>0</v>
      </c>
      <c r="F412" s="15">
        <v>0</v>
      </c>
      <c r="G412" s="15">
        <v>0</v>
      </c>
      <c r="H412" s="15">
        <v>0</v>
      </c>
      <c r="I412" s="15">
        <v>0</v>
      </c>
      <c r="J412" s="14">
        <v>0</v>
      </c>
      <c r="K412" s="14">
        <v>0</v>
      </c>
      <c r="L412" s="15">
        <v>0</v>
      </c>
      <c r="M412" s="15">
        <v>0</v>
      </c>
      <c r="N412" s="15">
        <v>0</v>
      </c>
      <c r="O412" s="14">
        <v>0</v>
      </c>
      <c r="P412" s="14">
        <v>0</v>
      </c>
      <c r="Q412" s="15">
        <v>0</v>
      </c>
      <c r="R412" s="15">
        <v>0</v>
      </c>
      <c r="S412" s="16">
        <v>0</v>
      </c>
    </row>
    <row r="413" spans="1:19" ht="12.75">
      <c r="A413" s="59"/>
      <c r="B413" s="5" t="s">
        <v>971</v>
      </c>
      <c r="C413" s="14">
        <v>0</v>
      </c>
      <c r="D413" s="15">
        <v>0</v>
      </c>
      <c r="E413" s="15">
        <v>0</v>
      </c>
      <c r="F413" s="15">
        <v>0</v>
      </c>
      <c r="G413" s="15">
        <v>0</v>
      </c>
      <c r="H413" s="15">
        <v>0</v>
      </c>
      <c r="I413" s="15">
        <v>0</v>
      </c>
      <c r="J413" s="14">
        <v>0</v>
      </c>
      <c r="K413" s="14">
        <v>0</v>
      </c>
      <c r="L413" s="15">
        <v>0</v>
      </c>
      <c r="M413" s="15">
        <v>0</v>
      </c>
      <c r="N413" s="15">
        <v>0</v>
      </c>
      <c r="O413" s="14">
        <v>0</v>
      </c>
      <c r="P413" s="14">
        <v>0</v>
      </c>
      <c r="Q413" s="15">
        <v>0</v>
      </c>
      <c r="R413" s="15">
        <v>0</v>
      </c>
      <c r="S413" s="16">
        <v>0</v>
      </c>
    </row>
    <row r="414" spans="1:19" ht="12.75">
      <c r="A414" s="59"/>
      <c r="B414" s="5" t="s">
        <v>925</v>
      </c>
      <c r="C414" s="14">
        <v>0</v>
      </c>
      <c r="D414" s="15">
        <v>0</v>
      </c>
      <c r="E414" s="15">
        <v>0</v>
      </c>
      <c r="F414" s="15">
        <v>0</v>
      </c>
      <c r="G414" s="15">
        <v>0</v>
      </c>
      <c r="H414" s="15">
        <v>0</v>
      </c>
      <c r="I414" s="15">
        <v>0</v>
      </c>
      <c r="J414" s="14">
        <v>0</v>
      </c>
      <c r="K414" s="14">
        <v>0</v>
      </c>
      <c r="L414" s="15">
        <v>0</v>
      </c>
      <c r="M414" s="15">
        <v>0</v>
      </c>
      <c r="N414" s="15">
        <v>0</v>
      </c>
      <c r="O414" s="14">
        <v>0</v>
      </c>
      <c r="P414" s="14">
        <v>0</v>
      </c>
      <c r="Q414" s="15">
        <v>0</v>
      </c>
      <c r="R414" s="15">
        <v>0</v>
      </c>
      <c r="S414" s="16">
        <v>0</v>
      </c>
    </row>
    <row r="415" spans="1:19" ht="12.75">
      <c r="A415" s="59"/>
      <c r="B415" s="5" t="s">
        <v>927</v>
      </c>
      <c r="C415" s="14">
        <v>0</v>
      </c>
      <c r="D415" s="15">
        <v>0</v>
      </c>
      <c r="E415" s="15">
        <v>0</v>
      </c>
      <c r="F415" s="15">
        <v>0</v>
      </c>
      <c r="G415" s="15">
        <v>0</v>
      </c>
      <c r="H415" s="15">
        <v>0</v>
      </c>
      <c r="I415" s="15">
        <v>0</v>
      </c>
      <c r="J415" s="14">
        <v>0</v>
      </c>
      <c r="K415" s="14">
        <v>0</v>
      </c>
      <c r="L415" s="15">
        <v>0</v>
      </c>
      <c r="M415" s="15">
        <v>0</v>
      </c>
      <c r="N415" s="15">
        <v>0</v>
      </c>
      <c r="O415" s="14">
        <v>0</v>
      </c>
      <c r="P415" s="14">
        <v>0</v>
      </c>
      <c r="Q415" s="15">
        <v>0</v>
      </c>
      <c r="R415" s="15">
        <v>0</v>
      </c>
      <c r="S415" s="16">
        <v>0</v>
      </c>
    </row>
    <row r="416" spans="1:19" ht="12.75">
      <c r="A416" s="59"/>
      <c r="B416" s="5" t="s">
        <v>973</v>
      </c>
      <c r="C416" s="14">
        <v>0</v>
      </c>
      <c r="D416" s="15">
        <v>0</v>
      </c>
      <c r="E416" s="15">
        <v>0</v>
      </c>
      <c r="F416" s="15">
        <v>0</v>
      </c>
      <c r="G416" s="15">
        <v>0</v>
      </c>
      <c r="H416" s="15">
        <v>0</v>
      </c>
      <c r="I416" s="15">
        <v>0</v>
      </c>
      <c r="J416" s="14">
        <v>0</v>
      </c>
      <c r="K416" s="14">
        <v>0</v>
      </c>
      <c r="L416" s="15">
        <v>0</v>
      </c>
      <c r="M416" s="15">
        <v>0</v>
      </c>
      <c r="N416" s="15">
        <v>0</v>
      </c>
      <c r="O416" s="14">
        <v>0</v>
      </c>
      <c r="P416" s="14">
        <v>0</v>
      </c>
      <c r="Q416" s="15">
        <v>0</v>
      </c>
      <c r="R416" s="15">
        <v>0</v>
      </c>
      <c r="S416" s="16">
        <v>0</v>
      </c>
    </row>
    <row r="417" spans="1:19" ht="12.75">
      <c r="A417" s="59"/>
      <c r="B417" s="5" t="s">
        <v>929</v>
      </c>
      <c r="C417" s="14">
        <v>0</v>
      </c>
      <c r="D417" s="15">
        <v>0</v>
      </c>
      <c r="E417" s="15">
        <v>0</v>
      </c>
      <c r="F417" s="15">
        <v>0</v>
      </c>
      <c r="G417" s="15">
        <v>0</v>
      </c>
      <c r="H417" s="15">
        <v>0</v>
      </c>
      <c r="I417" s="15">
        <v>0</v>
      </c>
      <c r="J417" s="14">
        <v>0</v>
      </c>
      <c r="K417" s="14">
        <v>0</v>
      </c>
      <c r="L417" s="15">
        <v>0</v>
      </c>
      <c r="M417" s="15">
        <v>0</v>
      </c>
      <c r="N417" s="15">
        <v>0</v>
      </c>
      <c r="O417" s="14">
        <v>0</v>
      </c>
      <c r="P417" s="14">
        <v>0</v>
      </c>
      <c r="Q417" s="15">
        <v>0</v>
      </c>
      <c r="R417" s="15">
        <v>0</v>
      </c>
      <c r="S417" s="16">
        <v>0</v>
      </c>
    </row>
    <row r="418" spans="1:19" ht="12.75">
      <c r="A418" s="59"/>
      <c r="B418" s="5" t="s">
        <v>931</v>
      </c>
      <c r="C418" s="14">
        <v>0</v>
      </c>
      <c r="D418" s="15">
        <v>0</v>
      </c>
      <c r="E418" s="15">
        <v>0</v>
      </c>
      <c r="F418" s="15">
        <v>0</v>
      </c>
      <c r="G418" s="15">
        <v>0</v>
      </c>
      <c r="H418" s="15">
        <v>0</v>
      </c>
      <c r="I418" s="15">
        <v>0</v>
      </c>
      <c r="J418" s="14">
        <v>0</v>
      </c>
      <c r="K418" s="14">
        <v>0</v>
      </c>
      <c r="L418" s="15">
        <v>0</v>
      </c>
      <c r="M418" s="15">
        <v>0</v>
      </c>
      <c r="N418" s="15">
        <v>0</v>
      </c>
      <c r="O418" s="14">
        <v>0</v>
      </c>
      <c r="P418" s="14">
        <v>0</v>
      </c>
      <c r="Q418" s="15">
        <v>0</v>
      </c>
      <c r="R418" s="15">
        <v>0</v>
      </c>
      <c r="S418" s="16">
        <v>0</v>
      </c>
    </row>
    <row r="419" spans="1:19" ht="12.75">
      <c r="A419" s="59"/>
      <c r="B419" s="5" t="s">
        <v>959</v>
      </c>
      <c r="C419" s="14">
        <v>0</v>
      </c>
      <c r="D419" s="15">
        <v>0</v>
      </c>
      <c r="E419" s="15">
        <v>0</v>
      </c>
      <c r="F419" s="15">
        <v>0</v>
      </c>
      <c r="G419" s="15">
        <v>0</v>
      </c>
      <c r="H419" s="15">
        <v>0</v>
      </c>
      <c r="I419" s="15">
        <v>0</v>
      </c>
      <c r="J419" s="14">
        <v>0</v>
      </c>
      <c r="K419" s="14">
        <v>0</v>
      </c>
      <c r="L419" s="15">
        <v>0</v>
      </c>
      <c r="M419" s="15">
        <v>0</v>
      </c>
      <c r="N419" s="15">
        <v>0</v>
      </c>
      <c r="O419" s="14">
        <v>0</v>
      </c>
      <c r="P419" s="14">
        <v>0</v>
      </c>
      <c r="Q419" s="15">
        <v>0</v>
      </c>
      <c r="R419" s="15">
        <v>0</v>
      </c>
      <c r="S419" s="16">
        <v>0</v>
      </c>
    </row>
    <row r="420" spans="1:19" ht="12.75">
      <c r="A420" s="59"/>
      <c r="B420" s="5" t="s">
        <v>915</v>
      </c>
      <c r="C420" s="14">
        <v>0</v>
      </c>
      <c r="D420" s="15">
        <v>0</v>
      </c>
      <c r="E420" s="15">
        <v>0</v>
      </c>
      <c r="F420" s="15">
        <v>0</v>
      </c>
      <c r="G420" s="15">
        <v>0</v>
      </c>
      <c r="H420" s="15">
        <v>0</v>
      </c>
      <c r="I420" s="15">
        <v>0</v>
      </c>
      <c r="J420" s="14">
        <v>0</v>
      </c>
      <c r="K420" s="14">
        <v>0</v>
      </c>
      <c r="L420" s="15">
        <v>0</v>
      </c>
      <c r="M420" s="15">
        <v>0</v>
      </c>
      <c r="N420" s="15">
        <v>0</v>
      </c>
      <c r="O420" s="14">
        <v>0</v>
      </c>
      <c r="P420" s="14">
        <v>0</v>
      </c>
      <c r="Q420" s="15">
        <v>0</v>
      </c>
      <c r="R420" s="15">
        <v>0</v>
      </c>
      <c r="S420" s="16">
        <v>0</v>
      </c>
    </row>
    <row r="421" spans="1:19" ht="12.75">
      <c r="A421" s="59"/>
      <c r="B421" s="5" t="s">
        <v>933</v>
      </c>
      <c r="C421" s="14">
        <v>0</v>
      </c>
      <c r="D421" s="15">
        <v>0</v>
      </c>
      <c r="E421" s="15">
        <v>0</v>
      </c>
      <c r="F421" s="15">
        <v>0</v>
      </c>
      <c r="G421" s="15">
        <v>0</v>
      </c>
      <c r="H421" s="15">
        <v>0</v>
      </c>
      <c r="I421" s="15">
        <v>0</v>
      </c>
      <c r="J421" s="14">
        <v>0</v>
      </c>
      <c r="K421" s="14">
        <v>0</v>
      </c>
      <c r="L421" s="15">
        <v>0</v>
      </c>
      <c r="M421" s="15">
        <v>0</v>
      </c>
      <c r="N421" s="15">
        <v>0</v>
      </c>
      <c r="O421" s="14">
        <v>0</v>
      </c>
      <c r="P421" s="14">
        <v>0</v>
      </c>
      <c r="Q421" s="15">
        <v>0</v>
      </c>
      <c r="R421" s="15">
        <v>0</v>
      </c>
      <c r="S421" s="16">
        <v>0</v>
      </c>
    </row>
    <row r="422" spans="1:19" ht="12.75">
      <c r="A422" s="59"/>
      <c r="B422" s="5" t="s">
        <v>957</v>
      </c>
      <c r="C422" s="14">
        <v>0</v>
      </c>
      <c r="D422" s="15">
        <v>0</v>
      </c>
      <c r="E422" s="15">
        <v>0</v>
      </c>
      <c r="F422" s="15">
        <v>0</v>
      </c>
      <c r="G422" s="15">
        <v>0</v>
      </c>
      <c r="H422" s="15">
        <v>0</v>
      </c>
      <c r="I422" s="15">
        <v>0</v>
      </c>
      <c r="J422" s="14">
        <v>0</v>
      </c>
      <c r="K422" s="14">
        <v>0</v>
      </c>
      <c r="L422" s="15">
        <v>0</v>
      </c>
      <c r="M422" s="15">
        <v>0</v>
      </c>
      <c r="N422" s="15">
        <v>0</v>
      </c>
      <c r="O422" s="14">
        <v>0</v>
      </c>
      <c r="P422" s="14">
        <v>0</v>
      </c>
      <c r="Q422" s="15">
        <v>0</v>
      </c>
      <c r="R422" s="15">
        <v>0</v>
      </c>
      <c r="S422" s="16">
        <v>0</v>
      </c>
    </row>
    <row r="423" spans="1:19" ht="12.75">
      <c r="A423" s="59"/>
      <c r="B423" s="5" t="s">
        <v>935</v>
      </c>
      <c r="C423" s="14">
        <v>0</v>
      </c>
      <c r="D423" s="15">
        <v>0</v>
      </c>
      <c r="E423" s="15">
        <v>0</v>
      </c>
      <c r="F423" s="15">
        <v>0</v>
      </c>
      <c r="G423" s="15">
        <v>0</v>
      </c>
      <c r="H423" s="15">
        <v>0</v>
      </c>
      <c r="I423" s="15">
        <v>0</v>
      </c>
      <c r="J423" s="14">
        <v>0</v>
      </c>
      <c r="K423" s="14">
        <v>0</v>
      </c>
      <c r="L423" s="15">
        <v>0</v>
      </c>
      <c r="M423" s="15">
        <v>0</v>
      </c>
      <c r="N423" s="15">
        <v>0</v>
      </c>
      <c r="O423" s="14">
        <v>0</v>
      </c>
      <c r="P423" s="14">
        <v>0</v>
      </c>
      <c r="Q423" s="15">
        <v>0</v>
      </c>
      <c r="R423" s="15">
        <v>0</v>
      </c>
      <c r="S423" s="16">
        <v>0</v>
      </c>
    </row>
    <row r="424" spans="1:19" ht="12.75">
      <c r="A424" s="59"/>
      <c r="B424" s="5" t="s">
        <v>937</v>
      </c>
      <c r="C424" s="14">
        <v>0</v>
      </c>
      <c r="D424" s="15">
        <v>0</v>
      </c>
      <c r="E424" s="15">
        <v>0</v>
      </c>
      <c r="F424" s="15">
        <v>0</v>
      </c>
      <c r="G424" s="15">
        <v>0</v>
      </c>
      <c r="H424" s="15">
        <v>0</v>
      </c>
      <c r="I424" s="15">
        <v>0</v>
      </c>
      <c r="J424" s="14">
        <v>0</v>
      </c>
      <c r="K424" s="14">
        <v>0</v>
      </c>
      <c r="L424" s="15">
        <v>0</v>
      </c>
      <c r="M424" s="15">
        <v>0</v>
      </c>
      <c r="N424" s="15">
        <v>0</v>
      </c>
      <c r="O424" s="14">
        <v>0</v>
      </c>
      <c r="P424" s="14">
        <v>0</v>
      </c>
      <c r="Q424" s="15">
        <v>0</v>
      </c>
      <c r="R424" s="15">
        <v>0</v>
      </c>
      <c r="S424" s="16">
        <v>0</v>
      </c>
    </row>
    <row r="425" spans="1:19" ht="12.75">
      <c r="A425" s="59"/>
      <c r="B425" s="5" t="s">
        <v>961</v>
      </c>
      <c r="C425" s="14">
        <v>0</v>
      </c>
      <c r="D425" s="15">
        <v>0</v>
      </c>
      <c r="E425" s="15">
        <v>0</v>
      </c>
      <c r="F425" s="15">
        <v>0</v>
      </c>
      <c r="G425" s="15">
        <v>0</v>
      </c>
      <c r="H425" s="15">
        <v>0</v>
      </c>
      <c r="I425" s="15">
        <v>0</v>
      </c>
      <c r="J425" s="14">
        <v>0</v>
      </c>
      <c r="K425" s="14">
        <v>0</v>
      </c>
      <c r="L425" s="15">
        <v>0</v>
      </c>
      <c r="M425" s="15">
        <v>0</v>
      </c>
      <c r="N425" s="15">
        <v>0</v>
      </c>
      <c r="O425" s="14">
        <v>0</v>
      </c>
      <c r="P425" s="14">
        <v>0</v>
      </c>
      <c r="Q425" s="15">
        <v>0</v>
      </c>
      <c r="R425" s="15">
        <v>0</v>
      </c>
      <c r="S425" s="16">
        <v>0</v>
      </c>
    </row>
    <row r="426" spans="1:19" ht="12.75">
      <c r="A426" s="59"/>
      <c r="B426" s="5" t="s">
        <v>939</v>
      </c>
      <c r="C426" s="14">
        <v>0</v>
      </c>
      <c r="D426" s="15">
        <v>0</v>
      </c>
      <c r="E426" s="15">
        <v>0</v>
      </c>
      <c r="F426" s="15">
        <v>0</v>
      </c>
      <c r="G426" s="15">
        <v>0</v>
      </c>
      <c r="H426" s="15">
        <v>0</v>
      </c>
      <c r="I426" s="15">
        <v>0</v>
      </c>
      <c r="J426" s="14">
        <v>0</v>
      </c>
      <c r="K426" s="14">
        <v>0</v>
      </c>
      <c r="L426" s="15">
        <v>0</v>
      </c>
      <c r="M426" s="15">
        <v>0</v>
      </c>
      <c r="N426" s="15">
        <v>0</v>
      </c>
      <c r="O426" s="14">
        <v>0</v>
      </c>
      <c r="P426" s="14">
        <v>0</v>
      </c>
      <c r="Q426" s="15">
        <v>0</v>
      </c>
      <c r="R426" s="15">
        <v>0</v>
      </c>
      <c r="S426" s="16">
        <v>0</v>
      </c>
    </row>
    <row r="427" spans="1:19" ht="12.75">
      <c r="A427" s="59"/>
      <c r="B427" s="5" t="s">
        <v>941</v>
      </c>
      <c r="C427" s="14">
        <v>0</v>
      </c>
      <c r="D427" s="15">
        <v>0</v>
      </c>
      <c r="E427" s="15">
        <v>0</v>
      </c>
      <c r="F427" s="15">
        <v>0</v>
      </c>
      <c r="G427" s="15">
        <v>0</v>
      </c>
      <c r="H427" s="15">
        <v>0</v>
      </c>
      <c r="I427" s="15">
        <v>0</v>
      </c>
      <c r="J427" s="14">
        <v>0</v>
      </c>
      <c r="K427" s="14">
        <v>0</v>
      </c>
      <c r="L427" s="15">
        <v>0</v>
      </c>
      <c r="M427" s="15">
        <v>0</v>
      </c>
      <c r="N427" s="15">
        <v>0</v>
      </c>
      <c r="O427" s="14">
        <v>0</v>
      </c>
      <c r="P427" s="14">
        <v>0</v>
      </c>
      <c r="Q427" s="15">
        <v>0</v>
      </c>
      <c r="R427" s="15">
        <v>0</v>
      </c>
      <c r="S427" s="16">
        <v>0</v>
      </c>
    </row>
    <row r="428" spans="1:19" ht="12.75">
      <c r="A428" s="59"/>
      <c r="B428" s="5" t="s">
        <v>967</v>
      </c>
      <c r="C428" s="14">
        <v>0</v>
      </c>
      <c r="D428" s="15">
        <v>0</v>
      </c>
      <c r="E428" s="15">
        <v>0</v>
      </c>
      <c r="F428" s="15">
        <v>0</v>
      </c>
      <c r="G428" s="15">
        <v>0</v>
      </c>
      <c r="H428" s="15">
        <v>0</v>
      </c>
      <c r="I428" s="15">
        <v>0</v>
      </c>
      <c r="J428" s="14">
        <v>0</v>
      </c>
      <c r="K428" s="14">
        <v>0</v>
      </c>
      <c r="L428" s="15">
        <v>0</v>
      </c>
      <c r="M428" s="15">
        <v>0</v>
      </c>
      <c r="N428" s="15">
        <v>0</v>
      </c>
      <c r="O428" s="14">
        <v>0</v>
      </c>
      <c r="P428" s="14">
        <v>0</v>
      </c>
      <c r="Q428" s="15">
        <v>0</v>
      </c>
      <c r="R428" s="15">
        <v>0</v>
      </c>
      <c r="S428" s="16">
        <v>0</v>
      </c>
    </row>
    <row r="429" spans="1:19" ht="12.75">
      <c r="A429" s="59"/>
      <c r="B429" s="5" t="s">
        <v>943</v>
      </c>
      <c r="C429" s="14">
        <v>0</v>
      </c>
      <c r="D429" s="15">
        <v>0</v>
      </c>
      <c r="E429" s="15">
        <v>0</v>
      </c>
      <c r="F429" s="15">
        <v>0</v>
      </c>
      <c r="G429" s="15">
        <v>0</v>
      </c>
      <c r="H429" s="15">
        <v>0</v>
      </c>
      <c r="I429" s="15">
        <v>0</v>
      </c>
      <c r="J429" s="14">
        <v>0</v>
      </c>
      <c r="K429" s="14">
        <v>0</v>
      </c>
      <c r="L429" s="15">
        <v>0</v>
      </c>
      <c r="M429" s="15">
        <v>0</v>
      </c>
      <c r="N429" s="15">
        <v>0</v>
      </c>
      <c r="O429" s="14">
        <v>0</v>
      </c>
      <c r="P429" s="14">
        <v>0</v>
      </c>
      <c r="Q429" s="15">
        <v>0</v>
      </c>
      <c r="R429" s="15">
        <v>0</v>
      </c>
      <c r="S429" s="16">
        <v>0</v>
      </c>
    </row>
    <row r="430" spans="1:19" ht="12.75">
      <c r="A430" s="59"/>
      <c r="B430" s="5" t="s">
        <v>945</v>
      </c>
      <c r="C430" s="14">
        <v>0</v>
      </c>
      <c r="D430" s="15">
        <v>0</v>
      </c>
      <c r="E430" s="15">
        <v>0</v>
      </c>
      <c r="F430" s="15">
        <v>0</v>
      </c>
      <c r="G430" s="15">
        <v>0</v>
      </c>
      <c r="H430" s="15">
        <v>0</v>
      </c>
      <c r="I430" s="15">
        <v>0</v>
      </c>
      <c r="J430" s="14">
        <v>0</v>
      </c>
      <c r="K430" s="14">
        <v>0</v>
      </c>
      <c r="L430" s="15">
        <v>0</v>
      </c>
      <c r="M430" s="15">
        <v>0</v>
      </c>
      <c r="N430" s="15">
        <v>0</v>
      </c>
      <c r="O430" s="14">
        <v>0</v>
      </c>
      <c r="P430" s="14">
        <v>0</v>
      </c>
      <c r="Q430" s="15">
        <v>0</v>
      </c>
      <c r="R430" s="15">
        <v>0</v>
      </c>
      <c r="S430" s="16">
        <v>0</v>
      </c>
    </row>
    <row r="431" spans="1:19" ht="12.75">
      <c r="A431" s="59"/>
      <c r="B431" s="5" t="s">
        <v>969</v>
      </c>
      <c r="C431" s="14">
        <v>0</v>
      </c>
      <c r="D431" s="15">
        <v>0</v>
      </c>
      <c r="E431" s="15">
        <v>0</v>
      </c>
      <c r="F431" s="15">
        <v>0</v>
      </c>
      <c r="G431" s="15">
        <v>0</v>
      </c>
      <c r="H431" s="15">
        <v>0</v>
      </c>
      <c r="I431" s="15">
        <v>0</v>
      </c>
      <c r="J431" s="14">
        <v>0</v>
      </c>
      <c r="K431" s="14">
        <v>0</v>
      </c>
      <c r="L431" s="15">
        <v>0</v>
      </c>
      <c r="M431" s="15">
        <v>0</v>
      </c>
      <c r="N431" s="15">
        <v>0</v>
      </c>
      <c r="O431" s="14">
        <v>0</v>
      </c>
      <c r="P431" s="14">
        <v>0</v>
      </c>
      <c r="Q431" s="15">
        <v>0</v>
      </c>
      <c r="R431" s="15">
        <v>0</v>
      </c>
      <c r="S431" s="16">
        <v>0</v>
      </c>
    </row>
    <row r="432" spans="1:19" ht="12.75">
      <c r="A432" s="59"/>
      <c r="B432" s="5" t="s">
        <v>947</v>
      </c>
      <c r="C432" s="14">
        <v>0</v>
      </c>
      <c r="D432" s="15">
        <v>0</v>
      </c>
      <c r="E432" s="15">
        <v>0</v>
      </c>
      <c r="F432" s="15">
        <v>0</v>
      </c>
      <c r="G432" s="15">
        <v>0</v>
      </c>
      <c r="H432" s="15">
        <v>0</v>
      </c>
      <c r="I432" s="15">
        <v>0</v>
      </c>
      <c r="J432" s="14">
        <v>0</v>
      </c>
      <c r="K432" s="14">
        <v>0</v>
      </c>
      <c r="L432" s="15">
        <v>0</v>
      </c>
      <c r="M432" s="15">
        <v>0</v>
      </c>
      <c r="N432" s="15">
        <v>0</v>
      </c>
      <c r="O432" s="14">
        <v>0</v>
      </c>
      <c r="P432" s="14">
        <v>0</v>
      </c>
      <c r="Q432" s="15">
        <v>0</v>
      </c>
      <c r="R432" s="15">
        <v>0</v>
      </c>
      <c r="S432" s="16">
        <v>0</v>
      </c>
    </row>
    <row r="433" spans="1:19" ht="12.75">
      <c r="A433" s="59"/>
      <c r="B433" s="5" t="s">
        <v>949</v>
      </c>
      <c r="C433" s="14">
        <v>0</v>
      </c>
      <c r="D433" s="15">
        <v>0</v>
      </c>
      <c r="E433" s="15">
        <v>0</v>
      </c>
      <c r="F433" s="15">
        <v>0</v>
      </c>
      <c r="G433" s="15">
        <v>0</v>
      </c>
      <c r="H433" s="15">
        <v>0</v>
      </c>
      <c r="I433" s="15">
        <v>0</v>
      </c>
      <c r="J433" s="14">
        <v>0</v>
      </c>
      <c r="K433" s="14">
        <v>0</v>
      </c>
      <c r="L433" s="15">
        <v>0</v>
      </c>
      <c r="M433" s="15">
        <v>0</v>
      </c>
      <c r="N433" s="15">
        <v>0</v>
      </c>
      <c r="O433" s="14">
        <v>0</v>
      </c>
      <c r="P433" s="14">
        <v>0</v>
      </c>
      <c r="Q433" s="15">
        <v>0</v>
      </c>
      <c r="R433" s="15">
        <v>0</v>
      </c>
      <c r="S433" s="16">
        <v>0</v>
      </c>
    </row>
    <row r="434" spans="1:19" ht="12.75">
      <c r="A434" s="59"/>
      <c r="B434" s="5" t="s">
        <v>975</v>
      </c>
      <c r="C434" s="14">
        <v>0</v>
      </c>
      <c r="D434" s="15">
        <v>0</v>
      </c>
      <c r="E434" s="15">
        <v>0</v>
      </c>
      <c r="F434" s="15">
        <v>0</v>
      </c>
      <c r="G434" s="15">
        <v>0</v>
      </c>
      <c r="H434" s="15">
        <v>0</v>
      </c>
      <c r="I434" s="15">
        <v>0</v>
      </c>
      <c r="J434" s="14">
        <v>0</v>
      </c>
      <c r="K434" s="14">
        <v>0</v>
      </c>
      <c r="L434" s="15">
        <v>0</v>
      </c>
      <c r="M434" s="15">
        <v>0</v>
      </c>
      <c r="N434" s="15">
        <v>0</v>
      </c>
      <c r="O434" s="14">
        <v>0</v>
      </c>
      <c r="P434" s="14">
        <v>0</v>
      </c>
      <c r="Q434" s="15">
        <v>0</v>
      </c>
      <c r="R434" s="15">
        <v>0</v>
      </c>
      <c r="S434" s="16">
        <v>0</v>
      </c>
    </row>
    <row r="435" spans="1:19" ht="12.75">
      <c r="A435" s="59"/>
      <c r="B435" s="5" t="s">
        <v>951</v>
      </c>
      <c r="C435" s="14">
        <v>0</v>
      </c>
      <c r="D435" s="15">
        <v>0</v>
      </c>
      <c r="E435" s="15">
        <v>0</v>
      </c>
      <c r="F435" s="15">
        <v>0</v>
      </c>
      <c r="G435" s="15">
        <v>0</v>
      </c>
      <c r="H435" s="15">
        <v>0</v>
      </c>
      <c r="I435" s="15">
        <v>0</v>
      </c>
      <c r="J435" s="14">
        <v>0</v>
      </c>
      <c r="K435" s="14">
        <v>0</v>
      </c>
      <c r="L435" s="15">
        <v>0</v>
      </c>
      <c r="M435" s="15">
        <v>0</v>
      </c>
      <c r="N435" s="15">
        <v>0</v>
      </c>
      <c r="O435" s="14">
        <v>0</v>
      </c>
      <c r="P435" s="14">
        <v>0</v>
      </c>
      <c r="Q435" s="15">
        <v>0</v>
      </c>
      <c r="R435" s="15">
        <v>0</v>
      </c>
      <c r="S435" s="16">
        <v>0</v>
      </c>
    </row>
    <row r="436" spans="1:19" ht="12.75">
      <c r="A436" s="59"/>
      <c r="B436" s="5" t="s">
        <v>953</v>
      </c>
      <c r="C436" s="14">
        <v>0</v>
      </c>
      <c r="D436" s="15">
        <v>0</v>
      </c>
      <c r="E436" s="15">
        <v>0</v>
      </c>
      <c r="F436" s="15">
        <v>0</v>
      </c>
      <c r="G436" s="15">
        <v>0</v>
      </c>
      <c r="H436" s="15">
        <v>0</v>
      </c>
      <c r="I436" s="15">
        <v>0</v>
      </c>
      <c r="J436" s="14">
        <v>0</v>
      </c>
      <c r="K436" s="14">
        <v>0</v>
      </c>
      <c r="L436" s="15">
        <v>0</v>
      </c>
      <c r="M436" s="15">
        <v>0</v>
      </c>
      <c r="N436" s="15">
        <v>0</v>
      </c>
      <c r="O436" s="14">
        <v>0</v>
      </c>
      <c r="P436" s="14">
        <v>0</v>
      </c>
      <c r="Q436" s="15">
        <v>0</v>
      </c>
      <c r="R436" s="15">
        <v>0</v>
      </c>
      <c r="S436" s="16">
        <v>0</v>
      </c>
    </row>
    <row r="437" spans="1:19" s="301" customFormat="1" ht="12.75">
      <c r="A437" s="345"/>
      <c r="B437" s="5" t="s">
        <v>977</v>
      </c>
      <c r="C437" s="14">
        <v>0</v>
      </c>
      <c r="D437" s="15">
        <v>0</v>
      </c>
      <c r="E437" s="15">
        <v>0</v>
      </c>
      <c r="F437" s="15">
        <v>0</v>
      </c>
      <c r="G437" s="15">
        <v>0</v>
      </c>
      <c r="H437" s="15">
        <v>0</v>
      </c>
      <c r="I437" s="15">
        <v>0</v>
      </c>
      <c r="J437" s="14">
        <v>0</v>
      </c>
      <c r="K437" s="14">
        <v>0</v>
      </c>
      <c r="L437" s="15">
        <v>0</v>
      </c>
      <c r="M437" s="15">
        <v>0</v>
      </c>
      <c r="N437" s="15">
        <v>0</v>
      </c>
      <c r="O437" s="14">
        <v>0</v>
      </c>
      <c r="P437" s="14">
        <v>0</v>
      </c>
      <c r="Q437" s="15">
        <v>0</v>
      </c>
      <c r="R437" s="15">
        <v>0</v>
      </c>
      <c r="S437" s="16">
        <v>0</v>
      </c>
    </row>
    <row r="438" spans="1:19" s="56" customFormat="1" ht="12.75">
      <c r="A438" s="58" t="s">
        <v>535</v>
      </c>
      <c r="B438" s="3" t="s">
        <v>907</v>
      </c>
      <c r="C438" s="11">
        <v>0</v>
      </c>
      <c r="D438" s="12">
        <v>0</v>
      </c>
      <c r="E438" s="12">
        <v>0</v>
      </c>
      <c r="F438" s="12">
        <v>0</v>
      </c>
      <c r="G438" s="12">
        <v>0</v>
      </c>
      <c r="H438" s="12">
        <v>0</v>
      </c>
      <c r="I438" s="12">
        <v>0</v>
      </c>
      <c r="J438" s="11">
        <v>0</v>
      </c>
      <c r="K438" s="11">
        <v>0</v>
      </c>
      <c r="L438" s="12">
        <v>0</v>
      </c>
      <c r="M438" s="12">
        <v>0</v>
      </c>
      <c r="N438" s="12">
        <v>0</v>
      </c>
      <c r="O438" s="11">
        <v>0</v>
      </c>
      <c r="P438" s="11">
        <v>0</v>
      </c>
      <c r="Q438" s="12">
        <v>0</v>
      </c>
      <c r="R438" s="12">
        <v>0</v>
      </c>
      <c r="S438" s="13">
        <v>0</v>
      </c>
    </row>
    <row r="439" spans="1:19" ht="12.75">
      <c r="A439" s="59"/>
      <c r="B439" s="5" t="s">
        <v>909</v>
      </c>
      <c r="C439" s="14">
        <v>0</v>
      </c>
      <c r="D439" s="15">
        <v>0</v>
      </c>
      <c r="E439" s="15">
        <v>0</v>
      </c>
      <c r="F439" s="15">
        <v>0</v>
      </c>
      <c r="G439" s="15">
        <v>0</v>
      </c>
      <c r="H439" s="15">
        <v>0</v>
      </c>
      <c r="I439" s="15">
        <v>0</v>
      </c>
      <c r="J439" s="14">
        <v>0</v>
      </c>
      <c r="K439" s="14">
        <v>0</v>
      </c>
      <c r="L439" s="15">
        <v>0</v>
      </c>
      <c r="M439" s="15">
        <v>0</v>
      </c>
      <c r="N439" s="15">
        <v>0</v>
      </c>
      <c r="O439" s="14">
        <v>0</v>
      </c>
      <c r="P439" s="14">
        <v>0</v>
      </c>
      <c r="Q439" s="15">
        <v>0</v>
      </c>
      <c r="R439" s="15">
        <v>0</v>
      </c>
      <c r="S439" s="16">
        <v>0</v>
      </c>
    </row>
    <row r="440" spans="1:19" ht="12.75">
      <c r="A440" s="59"/>
      <c r="B440" s="5" t="s">
        <v>955</v>
      </c>
      <c r="C440" s="14">
        <v>0</v>
      </c>
      <c r="D440" s="15">
        <v>0</v>
      </c>
      <c r="E440" s="15">
        <v>0</v>
      </c>
      <c r="F440" s="15">
        <v>0</v>
      </c>
      <c r="G440" s="15">
        <v>0</v>
      </c>
      <c r="H440" s="15">
        <v>0</v>
      </c>
      <c r="I440" s="15">
        <v>0</v>
      </c>
      <c r="J440" s="14">
        <v>0</v>
      </c>
      <c r="K440" s="14">
        <v>0</v>
      </c>
      <c r="L440" s="15">
        <v>0</v>
      </c>
      <c r="M440" s="15">
        <v>0</v>
      </c>
      <c r="N440" s="15">
        <v>0</v>
      </c>
      <c r="O440" s="14">
        <v>0</v>
      </c>
      <c r="P440" s="14">
        <v>0</v>
      </c>
      <c r="Q440" s="15">
        <v>0</v>
      </c>
      <c r="R440" s="15">
        <v>0</v>
      </c>
      <c r="S440" s="16">
        <v>0</v>
      </c>
    </row>
    <row r="441" spans="1:19" ht="12.75">
      <c r="A441" s="59"/>
      <c r="B441" s="5" t="s">
        <v>911</v>
      </c>
      <c r="C441" s="14">
        <v>0</v>
      </c>
      <c r="D441" s="15">
        <v>0</v>
      </c>
      <c r="E441" s="15">
        <v>0</v>
      </c>
      <c r="F441" s="15">
        <v>0</v>
      </c>
      <c r="G441" s="15">
        <v>0</v>
      </c>
      <c r="H441" s="15">
        <v>0</v>
      </c>
      <c r="I441" s="15">
        <v>0</v>
      </c>
      <c r="J441" s="14">
        <v>0</v>
      </c>
      <c r="K441" s="14">
        <v>0</v>
      </c>
      <c r="L441" s="15">
        <v>0</v>
      </c>
      <c r="M441" s="15">
        <v>0</v>
      </c>
      <c r="N441" s="15">
        <v>0</v>
      </c>
      <c r="O441" s="14">
        <v>0</v>
      </c>
      <c r="P441" s="14">
        <v>0</v>
      </c>
      <c r="Q441" s="15">
        <v>0</v>
      </c>
      <c r="R441" s="15">
        <v>0</v>
      </c>
      <c r="S441" s="16">
        <v>0</v>
      </c>
    </row>
    <row r="442" spans="1:19" ht="12.75">
      <c r="A442" s="59"/>
      <c r="B442" s="5" t="s">
        <v>913</v>
      </c>
      <c r="C442" s="14">
        <v>0</v>
      </c>
      <c r="D442" s="15">
        <v>0</v>
      </c>
      <c r="E442" s="15">
        <v>0</v>
      </c>
      <c r="F442" s="15">
        <v>0</v>
      </c>
      <c r="G442" s="15">
        <v>0</v>
      </c>
      <c r="H442" s="15">
        <v>0</v>
      </c>
      <c r="I442" s="15">
        <v>0</v>
      </c>
      <c r="J442" s="14">
        <v>0</v>
      </c>
      <c r="K442" s="14">
        <v>0</v>
      </c>
      <c r="L442" s="15">
        <v>0</v>
      </c>
      <c r="M442" s="15">
        <v>0</v>
      </c>
      <c r="N442" s="15">
        <v>0</v>
      </c>
      <c r="O442" s="14">
        <v>0</v>
      </c>
      <c r="P442" s="14">
        <v>0</v>
      </c>
      <c r="Q442" s="15">
        <v>0</v>
      </c>
      <c r="R442" s="15">
        <v>0</v>
      </c>
      <c r="S442" s="16">
        <v>0</v>
      </c>
    </row>
    <row r="443" spans="1:19" ht="12.75">
      <c r="A443" s="59"/>
      <c r="B443" s="5" t="s">
        <v>963</v>
      </c>
      <c r="C443" s="14">
        <v>0</v>
      </c>
      <c r="D443" s="15">
        <v>0</v>
      </c>
      <c r="E443" s="15">
        <v>0</v>
      </c>
      <c r="F443" s="15">
        <v>0</v>
      </c>
      <c r="G443" s="15">
        <v>0</v>
      </c>
      <c r="H443" s="15">
        <v>0</v>
      </c>
      <c r="I443" s="15">
        <v>0</v>
      </c>
      <c r="J443" s="14">
        <v>0</v>
      </c>
      <c r="K443" s="14">
        <v>0</v>
      </c>
      <c r="L443" s="15">
        <v>0</v>
      </c>
      <c r="M443" s="15">
        <v>0</v>
      </c>
      <c r="N443" s="15">
        <v>0</v>
      </c>
      <c r="O443" s="14">
        <v>0</v>
      </c>
      <c r="P443" s="14">
        <v>0</v>
      </c>
      <c r="Q443" s="15">
        <v>0</v>
      </c>
      <c r="R443" s="15">
        <v>0</v>
      </c>
      <c r="S443" s="16">
        <v>0</v>
      </c>
    </row>
    <row r="444" spans="1:19" ht="12.75">
      <c r="A444" s="59"/>
      <c r="B444" s="5" t="s">
        <v>917</v>
      </c>
      <c r="C444" s="14">
        <v>0</v>
      </c>
      <c r="D444" s="15">
        <v>0</v>
      </c>
      <c r="E444" s="15">
        <v>0</v>
      </c>
      <c r="F444" s="15">
        <v>0</v>
      </c>
      <c r="G444" s="15">
        <v>0</v>
      </c>
      <c r="H444" s="15">
        <v>0</v>
      </c>
      <c r="I444" s="15">
        <v>0</v>
      </c>
      <c r="J444" s="14">
        <v>0</v>
      </c>
      <c r="K444" s="14">
        <v>0</v>
      </c>
      <c r="L444" s="15">
        <v>0</v>
      </c>
      <c r="M444" s="15">
        <v>0</v>
      </c>
      <c r="N444" s="15">
        <v>0</v>
      </c>
      <c r="O444" s="14">
        <v>0</v>
      </c>
      <c r="P444" s="14">
        <v>0</v>
      </c>
      <c r="Q444" s="15">
        <v>0</v>
      </c>
      <c r="R444" s="15">
        <v>0</v>
      </c>
      <c r="S444" s="16">
        <v>0</v>
      </c>
    </row>
    <row r="445" spans="1:19" ht="12.75">
      <c r="A445" s="59"/>
      <c r="B445" s="5" t="s">
        <v>919</v>
      </c>
      <c r="C445" s="14">
        <v>0</v>
      </c>
      <c r="D445" s="15">
        <v>0</v>
      </c>
      <c r="E445" s="15">
        <v>0</v>
      </c>
      <c r="F445" s="15">
        <v>0</v>
      </c>
      <c r="G445" s="15">
        <v>0</v>
      </c>
      <c r="H445" s="15">
        <v>0</v>
      </c>
      <c r="I445" s="15">
        <v>0</v>
      </c>
      <c r="J445" s="14">
        <v>0</v>
      </c>
      <c r="K445" s="14">
        <v>0</v>
      </c>
      <c r="L445" s="15">
        <v>0</v>
      </c>
      <c r="M445" s="15">
        <v>0</v>
      </c>
      <c r="N445" s="15">
        <v>0</v>
      </c>
      <c r="O445" s="14">
        <v>0</v>
      </c>
      <c r="P445" s="14">
        <v>0</v>
      </c>
      <c r="Q445" s="15">
        <v>0</v>
      </c>
      <c r="R445" s="15">
        <v>0</v>
      </c>
      <c r="S445" s="16">
        <v>0</v>
      </c>
    </row>
    <row r="446" spans="1:19" ht="12.75">
      <c r="A446" s="59"/>
      <c r="B446" s="5" t="s">
        <v>965</v>
      </c>
      <c r="C446" s="14">
        <v>0</v>
      </c>
      <c r="D446" s="15">
        <v>0</v>
      </c>
      <c r="E446" s="15">
        <v>0</v>
      </c>
      <c r="F446" s="15">
        <v>0</v>
      </c>
      <c r="G446" s="15">
        <v>0</v>
      </c>
      <c r="H446" s="15">
        <v>0</v>
      </c>
      <c r="I446" s="15">
        <v>0</v>
      </c>
      <c r="J446" s="14">
        <v>0</v>
      </c>
      <c r="K446" s="14">
        <v>0</v>
      </c>
      <c r="L446" s="15">
        <v>0</v>
      </c>
      <c r="M446" s="15">
        <v>0</v>
      </c>
      <c r="N446" s="15">
        <v>0</v>
      </c>
      <c r="O446" s="14">
        <v>0</v>
      </c>
      <c r="P446" s="14">
        <v>0</v>
      </c>
      <c r="Q446" s="15">
        <v>0</v>
      </c>
      <c r="R446" s="15">
        <v>0</v>
      </c>
      <c r="S446" s="16">
        <v>0</v>
      </c>
    </row>
    <row r="447" spans="1:19" ht="12.75">
      <c r="A447" s="59"/>
      <c r="B447" s="5" t="s">
        <v>921</v>
      </c>
      <c r="C447" s="14">
        <v>0</v>
      </c>
      <c r="D447" s="15">
        <v>0</v>
      </c>
      <c r="E447" s="15">
        <v>0</v>
      </c>
      <c r="F447" s="15">
        <v>0</v>
      </c>
      <c r="G447" s="15">
        <v>0</v>
      </c>
      <c r="H447" s="15">
        <v>0</v>
      </c>
      <c r="I447" s="15">
        <v>0</v>
      </c>
      <c r="J447" s="14">
        <v>0</v>
      </c>
      <c r="K447" s="14">
        <v>0</v>
      </c>
      <c r="L447" s="15">
        <v>0</v>
      </c>
      <c r="M447" s="15">
        <v>0</v>
      </c>
      <c r="N447" s="15">
        <v>0</v>
      </c>
      <c r="O447" s="14">
        <v>0</v>
      </c>
      <c r="P447" s="14">
        <v>0</v>
      </c>
      <c r="Q447" s="15">
        <v>0</v>
      </c>
      <c r="R447" s="15">
        <v>0</v>
      </c>
      <c r="S447" s="16">
        <v>0</v>
      </c>
    </row>
    <row r="448" spans="1:19" ht="12.75">
      <c r="A448" s="59"/>
      <c r="B448" s="5" t="s">
        <v>923</v>
      </c>
      <c r="C448" s="14">
        <v>0</v>
      </c>
      <c r="D448" s="15">
        <v>0</v>
      </c>
      <c r="E448" s="15">
        <v>0</v>
      </c>
      <c r="F448" s="15">
        <v>0</v>
      </c>
      <c r="G448" s="15">
        <v>0</v>
      </c>
      <c r="H448" s="15">
        <v>0</v>
      </c>
      <c r="I448" s="15">
        <v>0</v>
      </c>
      <c r="J448" s="14">
        <v>0</v>
      </c>
      <c r="K448" s="14">
        <v>0</v>
      </c>
      <c r="L448" s="15">
        <v>0</v>
      </c>
      <c r="M448" s="15">
        <v>0</v>
      </c>
      <c r="N448" s="15">
        <v>0</v>
      </c>
      <c r="O448" s="14">
        <v>0</v>
      </c>
      <c r="P448" s="14">
        <v>0</v>
      </c>
      <c r="Q448" s="15">
        <v>0</v>
      </c>
      <c r="R448" s="15">
        <v>0</v>
      </c>
      <c r="S448" s="16">
        <v>0</v>
      </c>
    </row>
    <row r="449" spans="1:19" ht="12.75">
      <c r="A449" s="59"/>
      <c r="B449" s="5" t="s">
        <v>971</v>
      </c>
      <c r="C449" s="14">
        <v>0</v>
      </c>
      <c r="D449" s="15">
        <v>0</v>
      </c>
      <c r="E449" s="15">
        <v>0</v>
      </c>
      <c r="F449" s="15">
        <v>0</v>
      </c>
      <c r="G449" s="15">
        <v>0</v>
      </c>
      <c r="H449" s="15">
        <v>0</v>
      </c>
      <c r="I449" s="15">
        <v>0</v>
      </c>
      <c r="J449" s="14">
        <v>0</v>
      </c>
      <c r="K449" s="14">
        <v>0</v>
      </c>
      <c r="L449" s="15">
        <v>0</v>
      </c>
      <c r="M449" s="15">
        <v>0</v>
      </c>
      <c r="N449" s="15">
        <v>0</v>
      </c>
      <c r="O449" s="14">
        <v>0</v>
      </c>
      <c r="P449" s="14">
        <v>0</v>
      </c>
      <c r="Q449" s="15">
        <v>0</v>
      </c>
      <c r="R449" s="15">
        <v>0</v>
      </c>
      <c r="S449" s="16">
        <v>0</v>
      </c>
    </row>
    <row r="450" spans="1:19" ht="12.75">
      <c r="A450" s="59"/>
      <c r="B450" s="5" t="s">
        <v>925</v>
      </c>
      <c r="C450" s="14">
        <v>0</v>
      </c>
      <c r="D450" s="15">
        <v>0</v>
      </c>
      <c r="E450" s="15">
        <v>0</v>
      </c>
      <c r="F450" s="15">
        <v>0</v>
      </c>
      <c r="G450" s="15">
        <v>0</v>
      </c>
      <c r="H450" s="15">
        <v>0</v>
      </c>
      <c r="I450" s="15">
        <v>0</v>
      </c>
      <c r="J450" s="14">
        <v>0</v>
      </c>
      <c r="K450" s="14">
        <v>0</v>
      </c>
      <c r="L450" s="15">
        <v>0</v>
      </c>
      <c r="M450" s="15">
        <v>0</v>
      </c>
      <c r="N450" s="15">
        <v>0</v>
      </c>
      <c r="O450" s="14">
        <v>0</v>
      </c>
      <c r="P450" s="14">
        <v>0</v>
      </c>
      <c r="Q450" s="15">
        <v>0</v>
      </c>
      <c r="R450" s="15">
        <v>0</v>
      </c>
      <c r="S450" s="16">
        <v>0</v>
      </c>
    </row>
    <row r="451" spans="1:19" ht="12.75">
      <c r="A451" s="59"/>
      <c r="B451" s="5" t="s">
        <v>927</v>
      </c>
      <c r="C451" s="14">
        <v>0</v>
      </c>
      <c r="D451" s="15">
        <v>0</v>
      </c>
      <c r="E451" s="15">
        <v>0</v>
      </c>
      <c r="F451" s="15">
        <v>0</v>
      </c>
      <c r="G451" s="15">
        <v>0</v>
      </c>
      <c r="H451" s="15">
        <v>0</v>
      </c>
      <c r="I451" s="15">
        <v>0</v>
      </c>
      <c r="J451" s="14">
        <v>0</v>
      </c>
      <c r="K451" s="14">
        <v>0</v>
      </c>
      <c r="L451" s="15">
        <v>0</v>
      </c>
      <c r="M451" s="15">
        <v>0</v>
      </c>
      <c r="N451" s="15">
        <v>0</v>
      </c>
      <c r="O451" s="14">
        <v>0</v>
      </c>
      <c r="P451" s="14">
        <v>0</v>
      </c>
      <c r="Q451" s="15">
        <v>0</v>
      </c>
      <c r="R451" s="15">
        <v>0</v>
      </c>
      <c r="S451" s="16">
        <v>0</v>
      </c>
    </row>
    <row r="452" spans="1:19" ht="12.75">
      <c r="A452" s="59"/>
      <c r="B452" s="5" t="s">
        <v>973</v>
      </c>
      <c r="C452" s="14">
        <v>0</v>
      </c>
      <c r="D452" s="15">
        <v>0</v>
      </c>
      <c r="E452" s="15">
        <v>0</v>
      </c>
      <c r="F452" s="15">
        <v>0</v>
      </c>
      <c r="G452" s="15">
        <v>0</v>
      </c>
      <c r="H452" s="15">
        <v>0</v>
      </c>
      <c r="I452" s="15">
        <v>0</v>
      </c>
      <c r="J452" s="14">
        <v>0</v>
      </c>
      <c r="K452" s="14">
        <v>0</v>
      </c>
      <c r="L452" s="15">
        <v>0</v>
      </c>
      <c r="M452" s="15">
        <v>0</v>
      </c>
      <c r="N452" s="15">
        <v>0</v>
      </c>
      <c r="O452" s="14">
        <v>0</v>
      </c>
      <c r="P452" s="14">
        <v>0</v>
      </c>
      <c r="Q452" s="15">
        <v>0</v>
      </c>
      <c r="R452" s="15">
        <v>0</v>
      </c>
      <c r="S452" s="16">
        <v>0</v>
      </c>
    </row>
    <row r="453" spans="1:19" ht="12.75">
      <c r="A453" s="59"/>
      <c r="B453" s="5" t="s">
        <v>929</v>
      </c>
      <c r="C453" s="14">
        <v>0</v>
      </c>
      <c r="D453" s="15">
        <v>0</v>
      </c>
      <c r="E453" s="15">
        <v>0</v>
      </c>
      <c r="F453" s="15">
        <v>0</v>
      </c>
      <c r="G453" s="15">
        <v>0</v>
      </c>
      <c r="H453" s="15">
        <v>0</v>
      </c>
      <c r="I453" s="15">
        <v>0</v>
      </c>
      <c r="J453" s="14">
        <v>0</v>
      </c>
      <c r="K453" s="14">
        <v>0</v>
      </c>
      <c r="L453" s="15">
        <v>0</v>
      </c>
      <c r="M453" s="15">
        <v>0</v>
      </c>
      <c r="N453" s="15">
        <v>0</v>
      </c>
      <c r="O453" s="14">
        <v>0</v>
      </c>
      <c r="P453" s="14">
        <v>0</v>
      </c>
      <c r="Q453" s="15">
        <v>0</v>
      </c>
      <c r="R453" s="15">
        <v>0</v>
      </c>
      <c r="S453" s="16">
        <v>0</v>
      </c>
    </row>
    <row r="454" spans="1:19" ht="12.75">
      <c r="A454" s="59"/>
      <c r="B454" s="5" t="s">
        <v>931</v>
      </c>
      <c r="C454" s="14">
        <v>0</v>
      </c>
      <c r="D454" s="15">
        <v>0</v>
      </c>
      <c r="E454" s="15">
        <v>0</v>
      </c>
      <c r="F454" s="15">
        <v>0</v>
      </c>
      <c r="G454" s="15">
        <v>0</v>
      </c>
      <c r="H454" s="15">
        <v>0</v>
      </c>
      <c r="I454" s="15">
        <v>0</v>
      </c>
      <c r="J454" s="14">
        <v>0</v>
      </c>
      <c r="K454" s="14">
        <v>0</v>
      </c>
      <c r="L454" s="15">
        <v>0</v>
      </c>
      <c r="M454" s="15">
        <v>0</v>
      </c>
      <c r="N454" s="15">
        <v>0</v>
      </c>
      <c r="O454" s="14">
        <v>0</v>
      </c>
      <c r="P454" s="14">
        <v>0</v>
      </c>
      <c r="Q454" s="15">
        <v>0</v>
      </c>
      <c r="R454" s="15">
        <v>0</v>
      </c>
      <c r="S454" s="16">
        <v>0</v>
      </c>
    </row>
    <row r="455" spans="1:19" ht="12.75">
      <c r="A455" s="59"/>
      <c r="B455" s="5" t="s">
        <v>959</v>
      </c>
      <c r="C455" s="14">
        <v>0</v>
      </c>
      <c r="D455" s="15">
        <v>0</v>
      </c>
      <c r="E455" s="15">
        <v>0</v>
      </c>
      <c r="F455" s="15">
        <v>0</v>
      </c>
      <c r="G455" s="15">
        <v>0</v>
      </c>
      <c r="H455" s="15">
        <v>0</v>
      </c>
      <c r="I455" s="15">
        <v>0</v>
      </c>
      <c r="J455" s="14">
        <v>0</v>
      </c>
      <c r="K455" s="14">
        <v>0</v>
      </c>
      <c r="L455" s="15">
        <v>0</v>
      </c>
      <c r="M455" s="15">
        <v>0</v>
      </c>
      <c r="N455" s="15">
        <v>0</v>
      </c>
      <c r="O455" s="14">
        <v>0</v>
      </c>
      <c r="P455" s="14">
        <v>0</v>
      </c>
      <c r="Q455" s="15">
        <v>0</v>
      </c>
      <c r="R455" s="15">
        <v>0</v>
      </c>
      <c r="S455" s="16">
        <v>0</v>
      </c>
    </row>
    <row r="456" spans="1:19" ht="12.75">
      <c r="A456" s="59"/>
      <c r="B456" s="5" t="s">
        <v>915</v>
      </c>
      <c r="C456" s="14">
        <v>0</v>
      </c>
      <c r="D456" s="15">
        <v>0</v>
      </c>
      <c r="E456" s="15">
        <v>0</v>
      </c>
      <c r="F456" s="15">
        <v>0</v>
      </c>
      <c r="G456" s="15">
        <v>0</v>
      </c>
      <c r="H456" s="15">
        <v>0</v>
      </c>
      <c r="I456" s="15">
        <v>0</v>
      </c>
      <c r="J456" s="14">
        <v>0</v>
      </c>
      <c r="K456" s="14">
        <v>0</v>
      </c>
      <c r="L456" s="15">
        <v>0</v>
      </c>
      <c r="M456" s="15">
        <v>0</v>
      </c>
      <c r="N456" s="15">
        <v>0</v>
      </c>
      <c r="O456" s="14">
        <v>0</v>
      </c>
      <c r="P456" s="14">
        <v>0</v>
      </c>
      <c r="Q456" s="15">
        <v>0</v>
      </c>
      <c r="R456" s="15">
        <v>0</v>
      </c>
      <c r="S456" s="16">
        <v>0</v>
      </c>
    </row>
    <row r="457" spans="1:19" ht="12.75">
      <c r="A457" s="59"/>
      <c r="B457" s="5" t="s">
        <v>933</v>
      </c>
      <c r="C457" s="14">
        <v>0</v>
      </c>
      <c r="D457" s="15">
        <v>0</v>
      </c>
      <c r="E457" s="15">
        <v>0</v>
      </c>
      <c r="F457" s="15">
        <v>0</v>
      </c>
      <c r="G457" s="15">
        <v>0</v>
      </c>
      <c r="H457" s="15">
        <v>0</v>
      </c>
      <c r="I457" s="15">
        <v>0</v>
      </c>
      <c r="J457" s="14">
        <v>0</v>
      </c>
      <c r="K457" s="14">
        <v>0</v>
      </c>
      <c r="L457" s="15">
        <v>0</v>
      </c>
      <c r="M457" s="15">
        <v>0</v>
      </c>
      <c r="N457" s="15">
        <v>0</v>
      </c>
      <c r="O457" s="14">
        <v>0</v>
      </c>
      <c r="P457" s="14">
        <v>0</v>
      </c>
      <c r="Q457" s="15">
        <v>0</v>
      </c>
      <c r="R457" s="15">
        <v>0</v>
      </c>
      <c r="S457" s="16">
        <v>0</v>
      </c>
    </row>
    <row r="458" spans="1:19" ht="12.75">
      <c r="A458" s="59"/>
      <c r="B458" s="5" t="s">
        <v>957</v>
      </c>
      <c r="C458" s="14">
        <v>0</v>
      </c>
      <c r="D458" s="15">
        <v>0</v>
      </c>
      <c r="E458" s="15">
        <v>0</v>
      </c>
      <c r="F458" s="15">
        <v>0</v>
      </c>
      <c r="G458" s="15">
        <v>0</v>
      </c>
      <c r="H458" s="15">
        <v>0</v>
      </c>
      <c r="I458" s="15">
        <v>0</v>
      </c>
      <c r="J458" s="14">
        <v>0</v>
      </c>
      <c r="K458" s="14">
        <v>0</v>
      </c>
      <c r="L458" s="15">
        <v>0</v>
      </c>
      <c r="M458" s="15">
        <v>0</v>
      </c>
      <c r="N458" s="15">
        <v>0</v>
      </c>
      <c r="O458" s="14">
        <v>0</v>
      </c>
      <c r="P458" s="14">
        <v>0</v>
      </c>
      <c r="Q458" s="15">
        <v>0</v>
      </c>
      <c r="R458" s="15">
        <v>0</v>
      </c>
      <c r="S458" s="16">
        <v>0</v>
      </c>
    </row>
    <row r="459" spans="1:19" ht="12.75">
      <c r="A459" s="59"/>
      <c r="B459" s="5" t="s">
        <v>935</v>
      </c>
      <c r="C459" s="14">
        <v>0</v>
      </c>
      <c r="D459" s="15">
        <v>0</v>
      </c>
      <c r="E459" s="15">
        <v>0</v>
      </c>
      <c r="F459" s="15">
        <v>0</v>
      </c>
      <c r="G459" s="15">
        <v>0</v>
      </c>
      <c r="H459" s="15">
        <v>0</v>
      </c>
      <c r="I459" s="15">
        <v>0</v>
      </c>
      <c r="J459" s="14">
        <v>0</v>
      </c>
      <c r="K459" s="14">
        <v>0</v>
      </c>
      <c r="L459" s="15">
        <v>0</v>
      </c>
      <c r="M459" s="15">
        <v>0</v>
      </c>
      <c r="N459" s="15">
        <v>0</v>
      </c>
      <c r="O459" s="14">
        <v>0</v>
      </c>
      <c r="P459" s="14">
        <v>0</v>
      </c>
      <c r="Q459" s="15">
        <v>0</v>
      </c>
      <c r="R459" s="15">
        <v>0</v>
      </c>
      <c r="S459" s="16">
        <v>0</v>
      </c>
    </row>
    <row r="460" spans="1:19" ht="12.75">
      <c r="A460" s="59"/>
      <c r="B460" s="5" t="s">
        <v>937</v>
      </c>
      <c r="C460" s="14">
        <v>0</v>
      </c>
      <c r="D460" s="15">
        <v>0</v>
      </c>
      <c r="E460" s="15">
        <v>0</v>
      </c>
      <c r="F460" s="15">
        <v>0</v>
      </c>
      <c r="G460" s="15">
        <v>0</v>
      </c>
      <c r="H460" s="15">
        <v>0</v>
      </c>
      <c r="I460" s="15">
        <v>0</v>
      </c>
      <c r="J460" s="14">
        <v>0</v>
      </c>
      <c r="K460" s="14">
        <v>0</v>
      </c>
      <c r="L460" s="15">
        <v>0</v>
      </c>
      <c r="M460" s="15">
        <v>0</v>
      </c>
      <c r="N460" s="15">
        <v>0</v>
      </c>
      <c r="O460" s="14">
        <v>0</v>
      </c>
      <c r="P460" s="14">
        <v>0</v>
      </c>
      <c r="Q460" s="15">
        <v>0</v>
      </c>
      <c r="R460" s="15">
        <v>0</v>
      </c>
      <c r="S460" s="16">
        <v>0</v>
      </c>
    </row>
    <row r="461" spans="1:19" ht="12.75">
      <c r="A461" s="59"/>
      <c r="B461" s="5" t="s">
        <v>961</v>
      </c>
      <c r="C461" s="14">
        <v>0</v>
      </c>
      <c r="D461" s="15">
        <v>0</v>
      </c>
      <c r="E461" s="15">
        <v>0</v>
      </c>
      <c r="F461" s="15">
        <v>0</v>
      </c>
      <c r="G461" s="15">
        <v>0</v>
      </c>
      <c r="H461" s="15">
        <v>0</v>
      </c>
      <c r="I461" s="15">
        <v>0</v>
      </c>
      <c r="J461" s="14">
        <v>0</v>
      </c>
      <c r="K461" s="14">
        <v>0</v>
      </c>
      <c r="L461" s="15">
        <v>0</v>
      </c>
      <c r="M461" s="15">
        <v>0</v>
      </c>
      <c r="N461" s="15">
        <v>0</v>
      </c>
      <c r="O461" s="14">
        <v>0</v>
      </c>
      <c r="P461" s="14">
        <v>0</v>
      </c>
      <c r="Q461" s="15">
        <v>0</v>
      </c>
      <c r="R461" s="15">
        <v>0</v>
      </c>
      <c r="S461" s="16">
        <v>0</v>
      </c>
    </row>
    <row r="462" spans="1:19" ht="12.75">
      <c r="A462" s="59"/>
      <c r="B462" s="5" t="s">
        <v>939</v>
      </c>
      <c r="C462" s="14">
        <v>0</v>
      </c>
      <c r="D462" s="15">
        <v>0</v>
      </c>
      <c r="E462" s="15">
        <v>0</v>
      </c>
      <c r="F462" s="15">
        <v>0</v>
      </c>
      <c r="G462" s="15">
        <v>0</v>
      </c>
      <c r="H462" s="15">
        <v>0</v>
      </c>
      <c r="I462" s="15">
        <v>0</v>
      </c>
      <c r="J462" s="14">
        <v>0</v>
      </c>
      <c r="K462" s="14">
        <v>0</v>
      </c>
      <c r="L462" s="15">
        <v>0</v>
      </c>
      <c r="M462" s="15">
        <v>0</v>
      </c>
      <c r="N462" s="15">
        <v>0</v>
      </c>
      <c r="O462" s="14">
        <v>0</v>
      </c>
      <c r="P462" s="14">
        <v>0</v>
      </c>
      <c r="Q462" s="15">
        <v>0</v>
      </c>
      <c r="R462" s="15">
        <v>0</v>
      </c>
      <c r="S462" s="16">
        <v>0</v>
      </c>
    </row>
    <row r="463" spans="1:19" ht="12.75">
      <c r="A463" s="59"/>
      <c r="B463" s="5" t="s">
        <v>941</v>
      </c>
      <c r="C463" s="14">
        <v>0</v>
      </c>
      <c r="D463" s="15">
        <v>0</v>
      </c>
      <c r="E463" s="15">
        <v>0</v>
      </c>
      <c r="F463" s="15">
        <v>0</v>
      </c>
      <c r="G463" s="15">
        <v>0</v>
      </c>
      <c r="H463" s="15">
        <v>0</v>
      </c>
      <c r="I463" s="15">
        <v>0</v>
      </c>
      <c r="J463" s="14">
        <v>0</v>
      </c>
      <c r="K463" s="14">
        <v>0</v>
      </c>
      <c r="L463" s="15">
        <v>0</v>
      </c>
      <c r="M463" s="15">
        <v>0</v>
      </c>
      <c r="N463" s="15">
        <v>0</v>
      </c>
      <c r="O463" s="14">
        <v>0</v>
      </c>
      <c r="P463" s="14">
        <v>0</v>
      </c>
      <c r="Q463" s="15">
        <v>0</v>
      </c>
      <c r="R463" s="15">
        <v>0</v>
      </c>
      <c r="S463" s="16">
        <v>0</v>
      </c>
    </row>
    <row r="464" spans="1:19" ht="12.75">
      <c r="A464" s="59"/>
      <c r="B464" s="5" t="s">
        <v>967</v>
      </c>
      <c r="C464" s="14">
        <v>0</v>
      </c>
      <c r="D464" s="15">
        <v>0</v>
      </c>
      <c r="E464" s="15">
        <v>0</v>
      </c>
      <c r="F464" s="15">
        <v>0</v>
      </c>
      <c r="G464" s="15">
        <v>0</v>
      </c>
      <c r="H464" s="15">
        <v>0</v>
      </c>
      <c r="I464" s="15">
        <v>0</v>
      </c>
      <c r="J464" s="14">
        <v>0</v>
      </c>
      <c r="K464" s="14">
        <v>0</v>
      </c>
      <c r="L464" s="15">
        <v>0</v>
      </c>
      <c r="M464" s="15">
        <v>0</v>
      </c>
      <c r="N464" s="15">
        <v>0</v>
      </c>
      <c r="O464" s="14">
        <v>0</v>
      </c>
      <c r="P464" s="14">
        <v>0</v>
      </c>
      <c r="Q464" s="15">
        <v>0</v>
      </c>
      <c r="R464" s="15">
        <v>0</v>
      </c>
      <c r="S464" s="16">
        <v>0</v>
      </c>
    </row>
    <row r="465" spans="1:19" ht="12.75">
      <c r="A465" s="59"/>
      <c r="B465" s="5" t="s">
        <v>943</v>
      </c>
      <c r="C465" s="14">
        <v>0</v>
      </c>
      <c r="D465" s="15">
        <v>0</v>
      </c>
      <c r="E465" s="15">
        <v>0</v>
      </c>
      <c r="F465" s="15">
        <v>0</v>
      </c>
      <c r="G465" s="15">
        <v>0</v>
      </c>
      <c r="H465" s="15">
        <v>0</v>
      </c>
      <c r="I465" s="15">
        <v>0</v>
      </c>
      <c r="J465" s="14">
        <v>0</v>
      </c>
      <c r="K465" s="14">
        <v>0</v>
      </c>
      <c r="L465" s="15">
        <v>0</v>
      </c>
      <c r="M465" s="15">
        <v>0</v>
      </c>
      <c r="N465" s="15">
        <v>0</v>
      </c>
      <c r="O465" s="14">
        <v>0</v>
      </c>
      <c r="P465" s="14">
        <v>0</v>
      </c>
      <c r="Q465" s="15">
        <v>0</v>
      </c>
      <c r="R465" s="15">
        <v>0</v>
      </c>
      <c r="S465" s="16">
        <v>0</v>
      </c>
    </row>
    <row r="466" spans="1:19" ht="12.75">
      <c r="A466" s="59"/>
      <c r="B466" s="5" t="s">
        <v>945</v>
      </c>
      <c r="C466" s="14">
        <v>0</v>
      </c>
      <c r="D466" s="15">
        <v>0</v>
      </c>
      <c r="E466" s="15">
        <v>0</v>
      </c>
      <c r="F466" s="15">
        <v>0</v>
      </c>
      <c r="G466" s="15">
        <v>0</v>
      </c>
      <c r="H466" s="15">
        <v>0</v>
      </c>
      <c r="I466" s="15">
        <v>0</v>
      </c>
      <c r="J466" s="14">
        <v>0</v>
      </c>
      <c r="K466" s="14">
        <v>0</v>
      </c>
      <c r="L466" s="15">
        <v>0</v>
      </c>
      <c r="M466" s="15">
        <v>0</v>
      </c>
      <c r="N466" s="15">
        <v>0</v>
      </c>
      <c r="O466" s="14">
        <v>0</v>
      </c>
      <c r="P466" s="14">
        <v>0</v>
      </c>
      <c r="Q466" s="15">
        <v>0</v>
      </c>
      <c r="R466" s="15">
        <v>0</v>
      </c>
      <c r="S466" s="16">
        <v>0</v>
      </c>
    </row>
    <row r="467" spans="1:19" ht="12.75">
      <c r="A467" s="59"/>
      <c r="B467" s="5" t="s">
        <v>969</v>
      </c>
      <c r="C467" s="14">
        <v>0</v>
      </c>
      <c r="D467" s="15">
        <v>0</v>
      </c>
      <c r="E467" s="15">
        <v>0</v>
      </c>
      <c r="F467" s="15">
        <v>0</v>
      </c>
      <c r="G467" s="15">
        <v>0</v>
      </c>
      <c r="H467" s="15">
        <v>0</v>
      </c>
      <c r="I467" s="15">
        <v>0</v>
      </c>
      <c r="J467" s="14">
        <v>0</v>
      </c>
      <c r="K467" s="14">
        <v>0</v>
      </c>
      <c r="L467" s="15">
        <v>0</v>
      </c>
      <c r="M467" s="15">
        <v>0</v>
      </c>
      <c r="N467" s="15">
        <v>0</v>
      </c>
      <c r="O467" s="14">
        <v>0</v>
      </c>
      <c r="P467" s="14">
        <v>0</v>
      </c>
      <c r="Q467" s="15">
        <v>0</v>
      </c>
      <c r="R467" s="15">
        <v>0</v>
      </c>
      <c r="S467" s="16">
        <v>0</v>
      </c>
    </row>
    <row r="468" spans="1:19" ht="12.75">
      <c r="A468" s="59"/>
      <c r="B468" s="5" t="s">
        <v>947</v>
      </c>
      <c r="C468" s="14">
        <v>0</v>
      </c>
      <c r="D468" s="15">
        <v>0</v>
      </c>
      <c r="E468" s="15">
        <v>0</v>
      </c>
      <c r="F468" s="15">
        <v>0</v>
      </c>
      <c r="G468" s="15">
        <v>0</v>
      </c>
      <c r="H468" s="15">
        <v>0</v>
      </c>
      <c r="I468" s="15">
        <v>0</v>
      </c>
      <c r="J468" s="14">
        <v>0</v>
      </c>
      <c r="K468" s="14">
        <v>0</v>
      </c>
      <c r="L468" s="15">
        <v>0</v>
      </c>
      <c r="M468" s="15">
        <v>0</v>
      </c>
      <c r="N468" s="15">
        <v>0</v>
      </c>
      <c r="O468" s="14">
        <v>0</v>
      </c>
      <c r="P468" s="14">
        <v>0</v>
      </c>
      <c r="Q468" s="15">
        <v>0</v>
      </c>
      <c r="R468" s="15">
        <v>0</v>
      </c>
      <c r="S468" s="16">
        <v>0</v>
      </c>
    </row>
    <row r="469" spans="1:19" ht="12.75">
      <c r="A469" s="59"/>
      <c r="B469" s="5" t="s">
        <v>949</v>
      </c>
      <c r="C469" s="14">
        <v>0</v>
      </c>
      <c r="D469" s="15">
        <v>0</v>
      </c>
      <c r="E469" s="15">
        <v>0</v>
      </c>
      <c r="F469" s="15">
        <v>0</v>
      </c>
      <c r="G469" s="15">
        <v>0</v>
      </c>
      <c r="H469" s="15">
        <v>0</v>
      </c>
      <c r="I469" s="15">
        <v>0</v>
      </c>
      <c r="J469" s="14">
        <v>0</v>
      </c>
      <c r="K469" s="14">
        <v>0</v>
      </c>
      <c r="L469" s="15">
        <v>0</v>
      </c>
      <c r="M469" s="15">
        <v>0</v>
      </c>
      <c r="N469" s="15">
        <v>0</v>
      </c>
      <c r="O469" s="14">
        <v>0</v>
      </c>
      <c r="P469" s="14">
        <v>0</v>
      </c>
      <c r="Q469" s="15">
        <v>0</v>
      </c>
      <c r="R469" s="15">
        <v>0</v>
      </c>
      <c r="S469" s="16">
        <v>0</v>
      </c>
    </row>
    <row r="470" spans="1:19" ht="12.75">
      <c r="A470" s="59"/>
      <c r="B470" s="5" t="s">
        <v>975</v>
      </c>
      <c r="C470" s="14">
        <v>0</v>
      </c>
      <c r="D470" s="15">
        <v>0</v>
      </c>
      <c r="E470" s="15">
        <v>0</v>
      </c>
      <c r="F470" s="15">
        <v>0</v>
      </c>
      <c r="G470" s="15">
        <v>0</v>
      </c>
      <c r="H470" s="15">
        <v>0</v>
      </c>
      <c r="I470" s="15">
        <v>0</v>
      </c>
      <c r="J470" s="14">
        <v>0</v>
      </c>
      <c r="K470" s="14">
        <v>0</v>
      </c>
      <c r="L470" s="15">
        <v>0</v>
      </c>
      <c r="M470" s="15">
        <v>0</v>
      </c>
      <c r="N470" s="15">
        <v>0</v>
      </c>
      <c r="O470" s="14">
        <v>0</v>
      </c>
      <c r="P470" s="14">
        <v>0</v>
      </c>
      <c r="Q470" s="15">
        <v>0</v>
      </c>
      <c r="R470" s="15">
        <v>0</v>
      </c>
      <c r="S470" s="16">
        <v>0</v>
      </c>
    </row>
    <row r="471" spans="1:19" ht="12.75">
      <c r="A471" s="59"/>
      <c r="B471" s="5" t="s">
        <v>951</v>
      </c>
      <c r="C471" s="14">
        <v>0</v>
      </c>
      <c r="D471" s="15">
        <v>0</v>
      </c>
      <c r="E471" s="15">
        <v>0</v>
      </c>
      <c r="F471" s="15">
        <v>0</v>
      </c>
      <c r="G471" s="15">
        <v>0</v>
      </c>
      <c r="H471" s="15">
        <v>0</v>
      </c>
      <c r="I471" s="15">
        <v>0</v>
      </c>
      <c r="J471" s="14">
        <v>0</v>
      </c>
      <c r="K471" s="14">
        <v>0</v>
      </c>
      <c r="L471" s="15">
        <v>0</v>
      </c>
      <c r="M471" s="15">
        <v>0</v>
      </c>
      <c r="N471" s="15">
        <v>0</v>
      </c>
      <c r="O471" s="14">
        <v>0</v>
      </c>
      <c r="P471" s="14">
        <v>0</v>
      </c>
      <c r="Q471" s="15">
        <v>0</v>
      </c>
      <c r="R471" s="15">
        <v>0</v>
      </c>
      <c r="S471" s="16">
        <v>0</v>
      </c>
    </row>
    <row r="472" spans="1:19" ht="12.75">
      <c r="A472" s="59"/>
      <c r="B472" s="5" t="s">
        <v>953</v>
      </c>
      <c r="C472" s="14">
        <v>0</v>
      </c>
      <c r="D472" s="15">
        <v>0</v>
      </c>
      <c r="E472" s="15">
        <v>0</v>
      </c>
      <c r="F472" s="15">
        <v>0</v>
      </c>
      <c r="G472" s="15">
        <v>0</v>
      </c>
      <c r="H472" s="15">
        <v>0</v>
      </c>
      <c r="I472" s="15">
        <v>0</v>
      </c>
      <c r="J472" s="14">
        <v>0</v>
      </c>
      <c r="K472" s="14">
        <v>0</v>
      </c>
      <c r="L472" s="15">
        <v>0</v>
      </c>
      <c r="M472" s="15">
        <v>0</v>
      </c>
      <c r="N472" s="15">
        <v>0</v>
      </c>
      <c r="O472" s="14">
        <v>0</v>
      </c>
      <c r="P472" s="14">
        <v>0</v>
      </c>
      <c r="Q472" s="15">
        <v>0</v>
      </c>
      <c r="R472" s="15">
        <v>0</v>
      </c>
      <c r="S472" s="16">
        <v>0</v>
      </c>
    </row>
    <row r="473" spans="1:19" s="301" customFormat="1" ht="12.75">
      <c r="A473" s="345"/>
      <c r="B473" s="5" t="s">
        <v>977</v>
      </c>
      <c r="C473" s="14">
        <v>0</v>
      </c>
      <c r="D473" s="15">
        <v>0</v>
      </c>
      <c r="E473" s="15">
        <v>0</v>
      </c>
      <c r="F473" s="15">
        <v>0</v>
      </c>
      <c r="G473" s="15">
        <v>0</v>
      </c>
      <c r="H473" s="15">
        <v>0</v>
      </c>
      <c r="I473" s="15">
        <v>0</v>
      </c>
      <c r="J473" s="14">
        <v>0</v>
      </c>
      <c r="K473" s="14">
        <v>0</v>
      </c>
      <c r="L473" s="15">
        <v>0</v>
      </c>
      <c r="M473" s="15">
        <v>0</v>
      </c>
      <c r="N473" s="15">
        <v>0</v>
      </c>
      <c r="O473" s="14">
        <v>0</v>
      </c>
      <c r="P473" s="14">
        <v>0</v>
      </c>
      <c r="Q473" s="15">
        <v>0</v>
      </c>
      <c r="R473" s="15">
        <v>0</v>
      </c>
      <c r="S473" s="16">
        <v>0</v>
      </c>
    </row>
    <row r="474" spans="1:19" s="56" customFormat="1" ht="12.75">
      <c r="A474" s="58" t="s">
        <v>215</v>
      </c>
      <c r="B474" s="3" t="s">
        <v>907</v>
      </c>
      <c r="C474" s="11">
        <v>0.9754009561570326</v>
      </c>
      <c r="D474" s="12">
        <v>0.9729259204054256</v>
      </c>
      <c r="E474" s="12">
        <v>0.9568192822650511</v>
      </c>
      <c r="F474" s="12">
        <v>0.9468365431733499</v>
      </c>
      <c r="G474" s="12">
        <v>0.6430184371820641</v>
      </c>
      <c r="H474" s="12">
        <v>0.9239443507527895</v>
      </c>
      <c r="I474" s="12">
        <v>0</v>
      </c>
      <c r="J474" s="11">
        <v>0.9633932555425715</v>
      </c>
      <c r="K474" s="11">
        <v>0</v>
      </c>
      <c r="L474" s="12">
        <v>0.8378579164517108</v>
      </c>
      <c r="M474" s="12">
        <v>0.7177324625137729</v>
      </c>
      <c r="N474" s="12">
        <v>0.7797522913554327</v>
      </c>
      <c r="O474" s="11">
        <v>0.8017677434381413</v>
      </c>
      <c r="P474" s="11">
        <v>0</v>
      </c>
      <c r="Q474" s="12">
        <v>0</v>
      </c>
      <c r="R474" s="12">
        <v>0</v>
      </c>
      <c r="S474" s="13">
        <v>0</v>
      </c>
    </row>
    <row r="475" spans="1:19" ht="12.75">
      <c r="A475" s="59"/>
      <c r="B475" s="5" t="s">
        <v>909</v>
      </c>
      <c r="C475" s="14">
        <v>0.9699036031974092</v>
      </c>
      <c r="D475" s="15">
        <v>0.9719327613706494</v>
      </c>
      <c r="E475" s="15">
        <v>0.9520336657149744</v>
      </c>
      <c r="F475" s="15">
        <v>0.9193545562793304</v>
      </c>
      <c r="G475" s="15">
        <v>0.5995592016652381</v>
      </c>
      <c r="H475" s="15">
        <v>0.9157334318866451</v>
      </c>
      <c r="I475" s="15">
        <v>0</v>
      </c>
      <c r="J475" s="14">
        <v>0.9576980565481682</v>
      </c>
      <c r="K475" s="14">
        <v>0</v>
      </c>
      <c r="L475" s="15">
        <v>0.8289085181697139</v>
      </c>
      <c r="M475" s="15">
        <v>0.7000536821715126</v>
      </c>
      <c r="N475" s="15">
        <v>0.7665372510956204</v>
      </c>
      <c r="O475" s="14">
        <v>0.7902152823673363</v>
      </c>
      <c r="P475" s="14">
        <v>0</v>
      </c>
      <c r="Q475" s="15">
        <v>0</v>
      </c>
      <c r="R475" s="15">
        <v>0</v>
      </c>
      <c r="S475" s="16">
        <v>0</v>
      </c>
    </row>
    <row r="476" spans="1:19" ht="12.75">
      <c r="A476" s="59"/>
      <c r="B476" s="5" t="s">
        <v>955</v>
      </c>
      <c r="C476" s="14">
        <v>-0.5497352959623392</v>
      </c>
      <c r="D476" s="15">
        <v>-0.09931590347761476</v>
      </c>
      <c r="E476" s="15">
        <v>-0.4785616550076699</v>
      </c>
      <c r="F476" s="15">
        <v>-2.7481986894019483</v>
      </c>
      <c r="G476" s="15">
        <v>-4.345923551682596</v>
      </c>
      <c r="H476" s="15">
        <v>-0.8210918866144334</v>
      </c>
      <c r="I476" s="15">
        <v>0</v>
      </c>
      <c r="J476" s="14">
        <v>-0.5695198994403294</v>
      </c>
      <c r="K476" s="14">
        <v>0</v>
      </c>
      <c r="L476" s="15">
        <v>-0.8949398281996923</v>
      </c>
      <c r="M476" s="15">
        <v>-1.7678780342260225</v>
      </c>
      <c r="N476" s="15">
        <v>-1.3215040259812239</v>
      </c>
      <c r="O476" s="14">
        <v>-1.1552461070804987</v>
      </c>
      <c r="P476" s="14">
        <v>0</v>
      </c>
      <c r="Q476" s="15">
        <v>0</v>
      </c>
      <c r="R476" s="15">
        <v>0</v>
      </c>
      <c r="S476" s="16">
        <v>0</v>
      </c>
    </row>
    <row r="477" spans="1:19" ht="12.75">
      <c r="A477" s="59"/>
      <c r="B477" s="5" t="s">
        <v>911</v>
      </c>
      <c r="C477" s="14">
        <v>0.005401954464839229</v>
      </c>
      <c r="D477" s="15">
        <v>0.006208973021314652</v>
      </c>
      <c r="E477" s="15">
        <v>0.023922999699231624</v>
      </c>
      <c r="F477" s="15">
        <v>0.007919043612526235</v>
      </c>
      <c r="G477" s="15">
        <v>0.1029802228343135</v>
      </c>
      <c r="H477" s="15">
        <v>0.031006943570455126</v>
      </c>
      <c r="I477" s="15">
        <v>0</v>
      </c>
      <c r="J477" s="14">
        <v>0.01498480383463268</v>
      </c>
      <c r="K477" s="14">
        <v>0</v>
      </c>
      <c r="L477" s="15">
        <v>0.08448555430203354</v>
      </c>
      <c r="M477" s="15">
        <v>0.21349855484406688</v>
      </c>
      <c r="N477" s="15">
        <v>0.15211521379254653</v>
      </c>
      <c r="O477" s="14">
        <v>0.12343308882406255</v>
      </c>
      <c r="P477" s="14">
        <v>0</v>
      </c>
      <c r="Q477" s="15">
        <v>0</v>
      </c>
      <c r="R477" s="15">
        <v>0</v>
      </c>
      <c r="S477" s="16">
        <v>0</v>
      </c>
    </row>
    <row r="478" spans="1:19" ht="12.75">
      <c r="A478" s="59"/>
      <c r="B478" s="5" t="s">
        <v>913</v>
      </c>
      <c r="C478" s="14">
        <v>0.006258734007414679</v>
      </c>
      <c r="D478" s="15">
        <v>0.005916184147099673</v>
      </c>
      <c r="E478" s="15">
        <v>0.024793744414500413</v>
      </c>
      <c r="F478" s="15">
        <v>0.019266127337675982</v>
      </c>
      <c r="G478" s="15">
        <v>0.10059997551120363</v>
      </c>
      <c r="H478" s="15">
        <v>0.03504337275465804</v>
      </c>
      <c r="I478" s="15">
        <v>0</v>
      </c>
      <c r="J478" s="14">
        <v>0.01621420159575003</v>
      </c>
      <c r="K478" s="14">
        <v>0</v>
      </c>
      <c r="L478" s="15">
        <v>0.08218192446335205</v>
      </c>
      <c r="M478" s="15">
        <v>0.2122591810277946</v>
      </c>
      <c r="N478" s="15">
        <v>0.1495191035030442</v>
      </c>
      <c r="O478" s="14">
        <v>0.12140012722477468</v>
      </c>
      <c r="P478" s="14">
        <v>0</v>
      </c>
      <c r="Q478" s="15">
        <v>0</v>
      </c>
      <c r="R478" s="15">
        <v>0</v>
      </c>
      <c r="S478" s="16">
        <v>0</v>
      </c>
    </row>
    <row r="479" spans="1:19" ht="12.75">
      <c r="A479" s="59"/>
      <c r="B479" s="5" t="s">
        <v>963</v>
      </c>
      <c r="C479" s="14">
        <v>0.08567795425754501</v>
      </c>
      <c r="D479" s="15">
        <v>-0.02927888742149786</v>
      </c>
      <c r="E479" s="15">
        <v>0.08707447152687883</v>
      </c>
      <c r="F479" s="15">
        <v>1.1347083725149747</v>
      </c>
      <c r="G479" s="15">
        <v>-0.23802473231098742</v>
      </c>
      <c r="H479" s="15">
        <v>0.40364291842029143</v>
      </c>
      <c r="I479" s="15">
        <v>0</v>
      </c>
      <c r="J479" s="14">
        <v>0.12293977611173498</v>
      </c>
      <c r="K479" s="14">
        <v>0</v>
      </c>
      <c r="L479" s="15">
        <v>-0.23036298386814869</v>
      </c>
      <c r="M479" s="15">
        <v>-0.12393738162722878</v>
      </c>
      <c r="N479" s="15">
        <v>-0.25961102895023236</v>
      </c>
      <c r="O479" s="14">
        <v>-0.2032961599287869</v>
      </c>
      <c r="P479" s="14">
        <v>0</v>
      </c>
      <c r="Q479" s="15">
        <v>0</v>
      </c>
      <c r="R479" s="15">
        <v>0</v>
      </c>
      <c r="S479" s="16">
        <v>0</v>
      </c>
    </row>
    <row r="480" spans="1:19" ht="12.75">
      <c r="A480" s="59"/>
      <c r="B480" s="5" t="s">
        <v>917</v>
      </c>
      <c r="C480" s="14">
        <v>0.013812636111874563</v>
      </c>
      <c r="D480" s="15">
        <v>0.01912654643016843</v>
      </c>
      <c r="E480" s="15">
        <v>0.014549726363719331</v>
      </c>
      <c r="F480" s="15">
        <v>0.038994239855025564</v>
      </c>
      <c r="G480" s="15">
        <v>0.22779721581180676</v>
      </c>
      <c r="H480" s="15">
        <v>0.027972053117774606</v>
      </c>
      <c r="I480" s="15">
        <v>0</v>
      </c>
      <c r="J480" s="14">
        <v>0.016418580055407493</v>
      </c>
      <c r="K480" s="14">
        <v>0</v>
      </c>
      <c r="L480" s="15">
        <v>0.05780217440193592</v>
      </c>
      <c r="M480" s="15">
        <v>0.050918033310445046</v>
      </c>
      <c r="N480" s="15">
        <v>0.03370664594016231</v>
      </c>
      <c r="O480" s="14">
        <v>0.05498990232890198</v>
      </c>
      <c r="P480" s="14">
        <v>0</v>
      </c>
      <c r="Q480" s="15">
        <v>0</v>
      </c>
      <c r="R480" s="15">
        <v>0</v>
      </c>
      <c r="S480" s="16">
        <v>0</v>
      </c>
    </row>
    <row r="481" spans="1:19" ht="12.75">
      <c r="A481" s="59"/>
      <c r="B481" s="5" t="s">
        <v>919</v>
      </c>
      <c r="C481" s="14">
        <v>0.017942915784811483</v>
      </c>
      <c r="D481" s="15">
        <v>0.021477797993283466</v>
      </c>
      <c r="E481" s="15">
        <v>0.017669540307401532</v>
      </c>
      <c r="F481" s="15">
        <v>0.05761014218673391</v>
      </c>
      <c r="G481" s="15">
        <v>0.27904983470062444</v>
      </c>
      <c r="H481" s="15">
        <v>0.03324082338502733</v>
      </c>
      <c r="I481" s="15">
        <v>0</v>
      </c>
      <c r="J481" s="14">
        <v>0.02052604646851013</v>
      </c>
      <c r="K481" s="14">
        <v>0</v>
      </c>
      <c r="L481" s="15">
        <v>0.07559159549248205</v>
      </c>
      <c r="M481" s="15">
        <v>0.06902225870552138</v>
      </c>
      <c r="N481" s="15">
        <v>0.05077600321578086</v>
      </c>
      <c r="O481" s="14">
        <v>0.07283795297283954</v>
      </c>
      <c r="P481" s="14">
        <v>0</v>
      </c>
      <c r="Q481" s="15">
        <v>0</v>
      </c>
      <c r="R481" s="15">
        <v>0</v>
      </c>
      <c r="S481" s="16">
        <v>0</v>
      </c>
    </row>
    <row r="482" spans="1:19" ht="12.75">
      <c r="A482" s="59"/>
      <c r="B482" s="5" t="s">
        <v>965</v>
      </c>
      <c r="C482" s="14">
        <v>0.413027967293692</v>
      </c>
      <c r="D482" s="15">
        <v>0.2351251563115036</v>
      </c>
      <c r="E482" s="15">
        <v>0.3119813943682201</v>
      </c>
      <c r="F482" s="15">
        <v>1.8615902331708345</v>
      </c>
      <c r="G482" s="15">
        <v>5.125261888881768</v>
      </c>
      <c r="H482" s="15">
        <v>0.5268770267252726</v>
      </c>
      <c r="I482" s="15">
        <v>0</v>
      </c>
      <c r="J482" s="14">
        <v>0.4107466413102636</v>
      </c>
      <c r="K482" s="14">
        <v>0</v>
      </c>
      <c r="L482" s="15">
        <v>1.7789421090546134</v>
      </c>
      <c r="M482" s="15">
        <v>1.8104225395076334</v>
      </c>
      <c r="N482" s="15">
        <v>1.7069357275618549</v>
      </c>
      <c r="O482" s="14">
        <v>1.784805064393756</v>
      </c>
      <c r="P482" s="14">
        <v>0</v>
      </c>
      <c r="Q482" s="15">
        <v>0</v>
      </c>
      <c r="R482" s="15">
        <v>0</v>
      </c>
      <c r="S482" s="16">
        <v>0</v>
      </c>
    </row>
    <row r="483" spans="1:19" ht="12.75">
      <c r="A483" s="59"/>
      <c r="B483" s="5" t="s">
        <v>921</v>
      </c>
      <c r="C483" s="14">
        <v>0.0008215703505046384</v>
      </c>
      <c r="D483" s="15">
        <v>0.0006904158592934864</v>
      </c>
      <c r="E483" s="15">
        <v>0.0031344650436563723</v>
      </c>
      <c r="F483" s="15">
        <v>0.0041421267231894375</v>
      </c>
      <c r="G483" s="15">
        <v>0.02471525348023524</v>
      </c>
      <c r="H483" s="15">
        <v>0.016159712907993198</v>
      </c>
      <c r="I483" s="15">
        <v>0</v>
      </c>
      <c r="J483" s="14">
        <v>0.0024539397870674278</v>
      </c>
      <c r="K483" s="14">
        <v>0</v>
      </c>
      <c r="L483" s="15">
        <v>0.0007961443090882588</v>
      </c>
      <c r="M483" s="15">
        <v>0.010012934544815803</v>
      </c>
      <c r="N483" s="15">
        <v>0.027334759962853797</v>
      </c>
      <c r="O483" s="14">
        <v>0.004356338567099965</v>
      </c>
      <c r="P483" s="14">
        <v>0</v>
      </c>
      <c r="Q483" s="15">
        <v>0</v>
      </c>
      <c r="R483" s="15">
        <v>0</v>
      </c>
      <c r="S483" s="16">
        <v>0</v>
      </c>
    </row>
    <row r="484" spans="1:19" ht="12.75">
      <c r="A484" s="59"/>
      <c r="B484" s="5" t="s">
        <v>923</v>
      </c>
      <c r="C484" s="14">
        <v>0.00036025252033609293</v>
      </c>
      <c r="D484" s="15">
        <v>0.00010648444468362097</v>
      </c>
      <c r="E484" s="15">
        <v>0.00382533299802207</v>
      </c>
      <c r="F484" s="15">
        <v>0.0037691741962597182</v>
      </c>
      <c r="G484" s="15">
        <v>0.020790988122933757</v>
      </c>
      <c r="H484" s="15">
        <v>0.014748131206069397</v>
      </c>
      <c r="I484" s="15">
        <v>0</v>
      </c>
      <c r="J484" s="14">
        <v>0.0024957180770583823</v>
      </c>
      <c r="K484" s="14">
        <v>0</v>
      </c>
      <c r="L484" s="15">
        <v>0.0006748286948332413</v>
      </c>
      <c r="M484" s="15">
        <v>0.009662478039111654</v>
      </c>
      <c r="N484" s="15">
        <v>0.028934674549251447</v>
      </c>
      <c r="O484" s="14">
        <v>0.004236726554323121</v>
      </c>
      <c r="P484" s="14">
        <v>0</v>
      </c>
      <c r="Q484" s="15">
        <v>0</v>
      </c>
      <c r="R484" s="15">
        <v>0</v>
      </c>
      <c r="S484" s="16">
        <v>0</v>
      </c>
    </row>
    <row r="485" spans="1:19" ht="12.75">
      <c r="A485" s="59"/>
      <c r="B485" s="5" t="s">
        <v>971</v>
      </c>
      <c r="C485" s="14">
        <v>-0.04613178301685455</v>
      </c>
      <c r="D485" s="15">
        <v>-0.05839314146098654</v>
      </c>
      <c r="E485" s="15">
        <v>0.06908679543656976</v>
      </c>
      <c r="F485" s="15">
        <v>-0.037295252692971924</v>
      </c>
      <c r="G485" s="15">
        <v>-0.3924265357301483</v>
      </c>
      <c r="H485" s="15">
        <v>-0.14115817019238006</v>
      </c>
      <c r="I485" s="15">
        <v>0</v>
      </c>
      <c r="J485" s="14">
        <v>0.004177828999095455</v>
      </c>
      <c r="K485" s="14">
        <v>0</v>
      </c>
      <c r="L485" s="15">
        <v>-0.01213156142550175</v>
      </c>
      <c r="M485" s="15">
        <v>-0.03504565057041494</v>
      </c>
      <c r="N485" s="15">
        <v>0.159991458639765</v>
      </c>
      <c r="O485" s="14">
        <v>-0.011961201277684366</v>
      </c>
      <c r="P485" s="14">
        <v>0</v>
      </c>
      <c r="Q485" s="15">
        <v>0</v>
      </c>
      <c r="R485" s="15">
        <v>0</v>
      </c>
      <c r="S485" s="16">
        <v>0</v>
      </c>
    </row>
    <row r="486" spans="1:19" ht="12.75">
      <c r="A486" s="59"/>
      <c r="B486" s="5" t="s">
        <v>925</v>
      </c>
      <c r="C486" s="14">
        <v>0.0045628829157489835</v>
      </c>
      <c r="D486" s="15">
        <v>0.0010481442837978834</v>
      </c>
      <c r="E486" s="15">
        <v>0.0015735266283415524</v>
      </c>
      <c r="F486" s="15">
        <v>0.0021080466359089103</v>
      </c>
      <c r="G486" s="15">
        <v>0.0014888706915804361</v>
      </c>
      <c r="H486" s="15">
        <v>0.0009169396509875979</v>
      </c>
      <c r="I486" s="15">
        <v>0</v>
      </c>
      <c r="J486" s="14">
        <v>0.0027494207803208646</v>
      </c>
      <c r="K486" s="14">
        <v>0</v>
      </c>
      <c r="L486" s="15">
        <v>0.019058210535231476</v>
      </c>
      <c r="M486" s="15">
        <v>0.007838014786899382</v>
      </c>
      <c r="N486" s="15">
        <v>0.007091088949004724</v>
      </c>
      <c r="O486" s="14">
        <v>0.015452926841794232</v>
      </c>
      <c r="P486" s="14">
        <v>0</v>
      </c>
      <c r="Q486" s="15">
        <v>0</v>
      </c>
      <c r="R486" s="15">
        <v>0</v>
      </c>
      <c r="S486" s="16">
        <v>0</v>
      </c>
    </row>
    <row r="487" spans="1:19" ht="12.75">
      <c r="A487" s="59"/>
      <c r="B487" s="5" t="s">
        <v>927</v>
      </c>
      <c r="C487" s="14">
        <v>0.005534494490028573</v>
      </c>
      <c r="D487" s="15">
        <v>0.0005667720442837891</v>
      </c>
      <c r="E487" s="15">
        <v>0.001677716565101581</v>
      </c>
      <c r="F487" s="15">
        <v>0</v>
      </c>
      <c r="G487" s="15">
        <v>0</v>
      </c>
      <c r="H487" s="15">
        <v>0.0012342407676001338</v>
      </c>
      <c r="I487" s="15">
        <v>0</v>
      </c>
      <c r="J487" s="14">
        <v>0.0030659773105132723</v>
      </c>
      <c r="K487" s="14">
        <v>0</v>
      </c>
      <c r="L487" s="15">
        <v>0.012643133179618744</v>
      </c>
      <c r="M487" s="15">
        <v>0.009002400056059704</v>
      </c>
      <c r="N487" s="15">
        <v>0.004232967636303028</v>
      </c>
      <c r="O487" s="14">
        <v>0.011309910880726332</v>
      </c>
      <c r="P487" s="14">
        <v>0</v>
      </c>
      <c r="Q487" s="15">
        <v>0</v>
      </c>
      <c r="R487" s="15">
        <v>0</v>
      </c>
      <c r="S487" s="16">
        <v>0</v>
      </c>
    </row>
    <row r="488" spans="1:19" ht="12.75">
      <c r="A488" s="59"/>
      <c r="B488" s="5" t="s">
        <v>973</v>
      </c>
      <c r="C488" s="14">
        <v>0.09716115742795899</v>
      </c>
      <c r="D488" s="15">
        <v>-0.04813722395140943</v>
      </c>
      <c r="E488" s="15">
        <v>0.010418993676002868</v>
      </c>
      <c r="F488" s="15">
        <v>-0.21080466359089103</v>
      </c>
      <c r="G488" s="15">
        <v>-0.14888706915804362</v>
      </c>
      <c r="H488" s="15">
        <v>0.03173011166125359</v>
      </c>
      <c r="I488" s="15">
        <v>0</v>
      </c>
      <c r="J488" s="14">
        <v>0.031655653019240775</v>
      </c>
      <c r="K488" s="14">
        <v>0</v>
      </c>
      <c r="L488" s="15">
        <v>-0.6415077355612732</v>
      </c>
      <c r="M488" s="15">
        <v>0.11643852691603229</v>
      </c>
      <c r="N488" s="15">
        <v>-0.2858121312701696</v>
      </c>
      <c r="O488" s="14">
        <v>-0.41430159610679007</v>
      </c>
      <c r="P488" s="14">
        <v>0</v>
      </c>
      <c r="Q488" s="15">
        <v>0</v>
      </c>
      <c r="R488" s="15">
        <v>0</v>
      </c>
      <c r="S488" s="16">
        <v>0</v>
      </c>
    </row>
    <row r="489" spans="1:19" ht="12.75">
      <c r="A489" s="59"/>
      <c r="B489" s="5" t="s">
        <v>929</v>
      </c>
      <c r="C489" s="14">
        <v>0</v>
      </c>
      <c r="D489" s="15">
        <v>0</v>
      </c>
      <c r="E489" s="15">
        <v>0</v>
      </c>
      <c r="F489" s="15">
        <v>0</v>
      </c>
      <c r="G489" s="15">
        <v>0</v>
      </c>
      <c r="H489" s="15">
        <v>0</v>
      </c>
      <c r="I489" s="15">
        <v>0</v>
      </c>
      <c r="J489" s="14">
        <v>0</v>
      </c>
      <c r="K489" s="14">
        <v>0</v>
      </c>
      <c r="L489" s="15">
        <v>0</v>
      </c>
      <c r="M489" s="15">
        <v>0</v>
      </c>
      <c r="N489" s="15">
        <v>0</v>
      </c>
      <c r="O489" s="14">
        <v>0</v>
      </c>
      <c r="P489" s="14">
        <v>0</v>
      </c>
      <c r="Q489" s="15">
        <v>0</v>
      </c>
      <c r="R489" s="15">
        <v>0</v>
      </c>
      <c r="S489" s="16">
        <v>0</v>
      </c>
    </row>
    <row r="490" spans="1:19" ht="12.75">
      <c r="A490" s="59"/>
      <c r="B490" s="5" t="s">
        <v>931</v>
      </c>
      <c r="C490" s="14">
        <v>0</v>
      </c>
      <c r="D490" s="15">
        <v>0</v>
      </c>
      <c r="E490" s="15">
        <v>0</v>
      </c>
      <c r="F490" s="15">
        <v>0</v>
      </c>
      <c r="G490" s="15">
        <v>0</v>
      </c>
      <c r="H490" s="15">
        <v>0</v>
      </c>
      <c r="I490" s="15">
        <v>0</v>
      </c>
      <c r="J490" s="14">
        <v>0</v>
      </c>
      <c r="K490" s="14">
        <v>0</v>
      </c>
      <c r="L490" s="15">
        <v>0</v>
      </c>
      <c r="M490" s="15">
        <v>0</v>
      </c>
      <c r="N490" s="15">
        <v>0</v>
      </c>
      <c r="O490" s="14">
        <v>0</v>
      </c>
      <c r="P490" s="14">
        <v>0</v>
      </c>
      <c r="Q490" s="15">
        <v>0</v>
      </c>
      <c r="R490" s="15">
        <v>0</v>
      </c>
      <c r="S490" s="16">
        <v>0</v>
      </c>
    </row>
    <row r="491" spans="1:19" ht="12.75">
      <c r="A491" s="59"/>
      <c r="B491" s="5" t="s">
        <v>959</v>
      </c>
      <c r="C491" s="14">
        <v>0</v>
      </c>
      <c r="D491" s="15">
        <v>0</v>
      </c>
      <c r="E491" s="15">
        <v>0</v>
      </c>
      <c r="F491" s="15">
        <v>0</v>
      </c>
      <c r="G491" s="15">
        <v>0</v>
      </c>
      <c r="H491" s="15">
        <v>0</v>
      </c>
      <c r="I491" s="15">
        <v>0</v>
      </c>
      <c r="J491" s="14">
        <v>0</v>
      </c>
      <c r="K491" s="14">
        <v>0</v>
      </c>
      <c r="L491" s="15">
        <v>0</v>
      </c>
      <c r="M491" s="15">
        <v>0</v>
      </c>
      <c r="N491" s="15">
        <v>0</v>
      </c>
      <c r="O491" s="14">
        <v>0</v>
      </c>
      <c r="P491" s="14">
        <v>0</v>
      </c>
      <c r="Q491" s="15">
        <v>0</v>
      </c>
      <c r="R491" s="15">
        <v>0</v>
      </c>
      <c r="S491" s="16">
        <v>0</v>
      </c>
    </row>
    <row r="492" spans="1:19" ht="12.75">
      <c r="A492" s="59"/>
      <c r="B492" s="5" t="s">
        <v>915</v>
      </c>
      <c r="C492" s="14">
        <v>0.9291588365036862</v>
      </c>
      <c r="D492" s="15">
        <v>0.8581636694921968</v>
      </c>
      <c r="E492" s="15">
        <v>0.7899832094692355</v>
      </c>
      <c r="F492" s="15">
        <v>0.8316202965325772</v>
      </c>
      <c r="G492" s="15">
        <v>0.22587225362288046</v>
      </c>
      <c r="H492" s="15">
        <v>0.873380693689929</v>
      </c>
      <c r="I492" s="15">
        <v>0</v>
      </c>
      <c r="J492" s="14">
        <v>0.8590333532627263</v>
      </c>
      <c r="K492" s="14">
        <v>0</v>
      </c>
      <c r="L492" s="15">
        <v>0</v>
      </c>
      <c r="M492" s="15">
        <v>0</v>
      </c>
      <c r="N492" s="15">
        <v>0</v>
      </c>
      <c r="O492" s="14">
        <v>0</v>
      </c>
      <c r="P492" s="14">
        <v>0</v>
      </c>
      <c r="Q492" s="15">
        <v>0</v>
      </c>
      <c r="R492" s="15">
        <v>0</v>
      </c>
      <c r="S492" s="16">
        <v>0</v>
      </c>
    </row>
    <row r="493" spans="1:19" ht="12.75">
      <c r="A493" s="59"/>
      <c r="B493" s="5" t="s">
        <v>933</v>
      </c>
      <c r="C493" s="14">
        <v>0.9281864806653259</v>
      </c>
      <c r="D493" s="15">
        <v>0.8377794414136622</v>
      </c>
      <c r="E493" s="15">
        <v>0.7817575186110763</v>
      </c>
      <c r="F493" s="15">
        <v>0.8525626144600067</v>
      </c>
      <c r="G493" s="15">
        <v>0.24484364604125083</v>
      </c>
      <c r="H493" s="15">
        <v>0.9182412790697675</v>
      </c>
      <c r="I493" s="15">
        <v>0</v>
      </c>
      <c r="J493" s="14">
        <v>0.8525122874797245</v>
      </c>
      <c r="K493" s="14">
        <v>0</v>
      </c>
      <c r="L493" s="15">
        <v>0</v>
      </c>
      <c r="M493" s="15">
        <v>0</v>
      </c>
      <c r="N493" s="15">
        <v>0</v>
      </c>
      <c r="O493" s="14">
        <v>0</v>
      </c>
      <c r="P493" s="14">
        <v>0</v>
      </c>
      <c r="Q493" s="15">
        <v>0</v>
      </c>
      <c r="R493" s="15">
        <v>0</v>
      </c>
      <c r="S493" s="16">
        <v>0</v>
      </c>
    </row>
    <row r="494" spans="1:19" ht="12.75">
      <c r="A494" s="59"/>
      <c r="B494" s="5" t="s">
        <v>957</v>
      </c>
      <c r="C494" s="14">
        <v>-0.09723558383603059</v>
      </c>
      <c r="D494" s="15">
        <v>-2.038422807853457</v>
      </c>
      <c r="E494" s="15">
        <v>-0.8225690858159163</v>
      </c>
      <c r="F494" s="15">
        <v>2.094231792742951</v>
      </c>
      <c r="G494" s="15">
        <v>1.897139241837037</v>
      </c>
      <c r="H494" s="15">
        <v>4.48605853798385</v>
      </c>
      <c r="I494" s="15">
        <v>0</v>
      </c>
      <c r="J494" s="14">
        <v>-0.6521065783001823</v>
      </c>
      <c r="K494" s="14">
        <v>0</v>
      </c>
      <c r="L494" s="15">
        <v>0</v>
      </c>
      <c r="M494" s="15">
        <v>0</v>
      </c>
      <c r="N494" s="15">
        <v>0</v>
      </c>
      <c r="O494" s="14">
        <v>0</v>
      </c>
      <c r="P494" s="14">
        <v>0</v>
      </c>
      <c r="Q494" s="15">
        <v>0</v>
      </c>
      <c r="R494" s="15">
        <v>0</v>
      </c>
      <c r="S494" s="16">
        <v>0</v>
      </c>
    </row>
    <row r="495" spans="1:19" ht="12.75">
      <c r="A495" s="59"/>
      <c r="B495" s="5" t="s">
        <v>935</v>
      </c>
      <c r="C495" s="14">
        <v>0.018545089813067805</v>
      </c>
      <c r="D495" s="15">
        <v>0.02729541313475402</v>
      </c>
      <c r="E495" s="15">
        <v>0.1404374548397102</v>
      </c>
      <c r="F495" s="15">
        <v>0.03455608718766613</v>
      </c>
      <c r="G495" s="15">
        <v>0.2486082189452212</v>
      </c>
      <c r="H495" s="15">
        <v>0.12160468031759299</v>
      </c>
      <c r="I495" s="15">
        <v>0</v>
      </c>
      <c r="J495" s="14">
        <v>0.06525867877614547</v>
      </c>
      <c r="K495" s="14">
        <v>0</v>
      </c>
      <c r="L495" s="15">
        <v>0</v>
      </c>
      <c r="M495" s="15">
        <v>0</v>
      </c>
      <c r="N495" s="15">
        <v>0</v>
      </c>
      <c r="O495" s="14">
        <v>0</v>
      </c>
      <c r="P495" s="14">
        <v>0</v>
      </c>
      <c r="Q495" s="15">
        <v>0</v>
      </c>
      <c r="R495" s="15">
        <v>0</v>
      </c>
      <c r="S495" s="16">
        <v>0</v>
      </c>
    </row>
    <row r="496" spans="1:19" ht="12.75">
      <c r="A496" s="59"/>
      <c r="B496" s="5" t="s">
        <v>937</v>
      </c>
      <c r="C496" s="14">
        <v>0.018787605115830178</v>
      </c>
      <c r="D496" s="15">
        <v>0.022132945920303605</v>
      </c>
      <c r="E496" s="15">
        <v>0.1387703831672788</v>
      </c>
      <c r="F496" s="15">
        <v>0.020738218679873095</v>
      </c>
      <c r="G496" s="15">
        <v>0.22661343978709247</v>
      </c>
      <c r="H496" s="15">
        <v>0.07957848837209303</v>
      </c>
      <c r="I496" s="15">
        <v>0</v>
      </c>
      <c r="J496" s="14">
        <v>0.0639986980001593</v>
      </c>
      <c r="K496" s="14">
        <v>0</v>
      </c>
      <c r="L496" s="15">
        <v>0</v>
      </c>
      <c r="M496" s="15">
        <v>0</v>
      </c>
      <c r="N496" s="15">
        <v>0</v>
      </c>
      <c r="O496" s="14">
        <v>0</v>
      </c>
      <c r="P496" s="14">
        <v>0</v>
      </c>
      <c r="Q496" s="15">
        <v>0</v>
      </c>
      <c r="R496" s="15">
        <v>0</v>
      </c>
      <c r="S496" s="16">
        <v>0</v>
      </c>
    </row>
    <row r="497" spans="1:19" ht="12.75">
      <c r="A497" s="59"/>
      <c r="B497" s="5" t="s">
        <v>961</v>
      </c>
      <c r="C497" s="14">
        <v>0.02425153027623729</v>
      </c>
      <c r="D497" s="15">
        <v>-0.5162467214450416</v>
      </c>
      <c r="E497" s="15">
        <v>-0.16670716724314083</v>
      </c>
      <c r="F497" s="15">
        <v>-1.3817868507793036</v>
      </c>
      <c r="G497" s="15">
        <v>-2.1994779158128726</v>
      </c>
      <c r="H497" s="15">
        <v>-4.202619194549996</v>
      </c>
      <c r="I497" s="15">
        <v>0</v>
      </c>
      <c r="J497" s="14">
        <v>-0.1259980775986172</v>
      </c>
      <c r="K497" s="14">
        <v>0</v>
      </c>
      <c r="L497" s="15">
        <v>0</v>
      </c>
      <c r="M497" s="15">
        <v>0</v>
      </c>
      <c r="N497" s="15">
        <v>0</v>
      </c>
      <c r="O497" s="14">
        <v>0</v>
      </c>
      <c r="P497" s="14">
        <v>0</v>
      </c>
      <c r="Q497" s="15">
        <v>0</v>
      </c>
      <c r="R497" s="15">
        <v>0</v>
      </c>
      <c r="S497" s="16">
        <v>0</v>
      </c>
    </row>
    <row r="498" spans="1:19" ht="12.75">
      <c r="A498" s="59"/>
      <c r="B498" s="5" t="s">
        <v>939</v>
      </c>
      <c r="C498" s="14">
        <v>0.0445820293522839</v>
      </c>
      <c r="D498" s="15">
        <v>0.10071298423512635</v>
      </c>
      <c r="E498" s="15">
        <v>0.054603013978246816</v>
      </c>
      <c r="F498" s="15">
        <v>0.130722428968043</v>
      </c>
      <c r="G498" s="15">
        <v>0.4699332795036335</v>
      </c>
      <c r="H498" s="15">
        <v>0</v>
      </c>
      <c r="I498" s="15">
        <v>0</v>
      </c>
      <c r="J498" s="14">
        <v>0.06402080249022511</v>
      </c>
      <c r="K498" s="14">
        <v>0</v>
      </c>
      <c r="L498" s="15">
        <v>0</v>
      </c>
      <c r="M498" s="15">
        <v>0</v>
      </c>
      <c r="N498" s="15">
        <v>0</v>
      </c>
      <c r="O498" s="14">
        <v>0</v>
      </c>
      <c r="P498" s="14">
        <v>0</v>
      </c>
      <c r="Q498" s="15">
        <v>0</v>
      </c>
      <c r="R498" s="15">
        <v>0</v>
      </c>
      <c r="S498" s="16">
        <v>0</v>
      </c>
    </row>
    <row r="499" spans="1:19" ht="12.75">
      <c r="A499" s="59"/>
      <c r="B499" s="5" t="s">
        <v>941</v>
      </c>
      <c r="C499" s="14">
        <v>0.046129150850101865</v>
      </c>
      <c r="D499" s="15">
        <v>0.12576346062618596</v>
      </c>
      <c r="E499" s="15">
        <v>0.0662811475896266</v>
      </c>
      <c r="F499" s="15">
        <v>0.12577058990430498</v>
      </c>
      <c r="G499" s="15">
        <v>0.4967398536260812</v>
      </c>
      <c r="H499" s="15">
        <v>0</v>
      </c>
      <c r="I499" s="15">
        <v>0</v>
      </c>
      <c r="J499" s="14">
        <v>0.07306151402913455</v>
      </c>
      <c r="K499" s="14">
        <v>0</v>
      </c>
      <c r="L499" s="15">
        <v>0</v>
      </c>
      <c r="M499" s="15">
        <v>0</v>
      </c>
      <c r="N499" s="15">
        <v>0</v>
      </c>
      <c r="O499" s="14">
        <v>0</v>
      </c>
      <c r="P499" s="14">
        <v>0</v>
      </c>
      <c r="Q499" s="15">
        <v>0</v>
      </c>
      <c r="R499" s="15">
        <v>0</v>
      </c>
      <c r="S499" s="16">
        <v>0</v>
      </c>
    </row>
    <row r="500" spans="1:19" ht="12.75">
      <c r="A500" s="59"/>
      <c r="B500" s="5" t="s">
        <v>967</v>
      </c>
      <c r="C500" s="14">
        <v>0.1547121497817966</v>
      </c>
      <c r="D500" s="15">
        <v>2.5050476391059604</v>
      </c>
      <c r="E500" s="15">
        <v>1.167813361137978</v>
      </c>
      <c r="F500" s="15">
        <v>-0.49518390637380283</v>
      </c>
      <c r="G500" s="15">
        <v>2.680657412244769</v>
      </c>
      <c r="H500" s="15">
        <v>0</v>
      </c>
      <c r="I500" s="15">
        <v>0</v>
      </c>
      <c r="J500" s="14">
        <v>0.9040711538909438</v>
      </c>
      <c r="K500" s="14">
        <v>0</v>
      </c>
      <c r="L500" s="15">
        <v>0</v>
      </c>
      <c r="M500" s="15">
        <v>0</v>
      </c>
      <c r="N500" s="15">
        <v>0</v>
      </c>
      <c r="O500" s="14">
        <v>0</v>
      </c>
      <c r="P500" s="14">
        <v>0</v>
      </c>
      <c r="Q500" s="15">
        <v>0</v>
      </c>
      <c r="R500" s="15">
        <v>0</v>
      </c>
      <c r="S500" s="16">
        <v>0</v>
      </c>
    </row>
    <row r="501" spans="1:19" ht="12.75">
      <c r="A501" s="59"/>
      <c r="B501" s="5" t="s">
        <v>943</v>
      </c>
      <c r="C501" s="14">
        <v>0.005121773941468668</v>
      </c>
      <c r="D501" s="15">
        <v>0.007066465974807891</v>
      </c>
      <c r="E501" s="15">
        <v>0.012600695533441574</v>
      </c>
      <c r="F501" s="15">
        <v>0.0031011873117136276</v>
      </c>
      <c r="G501" s="15">
        <v>0.03773745272194127</v>
      </c>
      <c r="H501" s="15">
        <v>0.005014625992478061</v>
      </c>
      <c r="I501" s="15">
        <v>0</v>
      </c>
      <c r="J501" s="14">
        <v>0.00838754602740766</v>
      </c>
      <c r="K501" s="14">
        <v>0</v>
      </c>
      <c r="L501" s="15">
        <v>0</v>
      </c>
      <c r="M501" s="15">
        <v>0</v>
      </c>
      <c r="N501" s="15">
        <v>0</v>
      </c>
      <c r="O501" s="14">
        <v>0</v>
      </c>
      <c r="P501" s="14">
        <v>0</v>
      </c>
      <c r="Q501" s="15">
        <v>0</v>
      </c>
      <c r="R501" s="15">
        <v>0</v>
      </c>
      <c r="S501" s="16">
        <v>0</v>
      </c>
    </row>
    <row r="502" spans="1:19" ht="12.75">
      <c r="A502" s="59"/>
      <c r="B502" s="5" t="s">
        <v>945</v>
      </c>
      <c r="C502" s="14">
        <v>0.004430412647155899</v>
      </c>
      <c r="D502" s="15">
        <v>0.010562440702087287</v>
      </c>
      <c r="E502" s="15">
        <v>0.010861681293972582</v>
      </c>
      <c r="F502" s="15">
        <v>0.0006190513038768088</v>
      </c>
      <c r="G502" s="15">
        <v>0.031803060545575516</v>
      </c>
      <c r="H502" s="15">
        <v>0.002180232558139535</v>
      </c>
      <c r="I502" s="15">
        <v>0</v>
      </c>
      <c r="J502" s="14">
        <v>0.00789193631357493</v>
      </c>
      <c r="K502" s="14">
        <v>0</v>
      </c>
      <c r="L502" s="15">
        <v>0</v>
      </c>
      <c r="M502" s="15">
        <v>0</v>
      </c>
      <c r="N502" s="15">
        <v>0</v>
      </c>
      <c r="O502" s="14">
        <v>0</v>
      </c>
      <c r="P502" s="14">
        <v>0</v>
      </c>
      <c r="Q502" s="15">
        <v>0</v>
      </c>
      <c r="R502" s="15">
        <v>0</v>
      </c>
      <c r="S502" s="16">
        <v>0</v>
      </c>
    </row>
    <row r="503" spans="1:19" ht="12.75">
      <c r="A503" s="59"/>
      <c r="B503" s="5" t="s">
        <v>969</v>
      </c>
      <c r="C503" s="14">
        <v>-0.06913612943127692</v>
      </c>
      <c r="D503" s="15">
        <v>0.3495974727279396</v>
      </c>
      <c r="E503" s="15">
        <v>-0.1739014239468992</v>
      </c>
      <c r="F503" s="15">
        <v>-0.24821360078368188</v>
      </c>
      <c r="G503" s="15">
        <v>-0.5934392176365753</v>
      </c>
      <c r="H503" s="15">
        <v>-0.2834393434338526</v>
      </c>
      <c r="I503" s="15">
        <v>0</v>
      </c>
      <c r="J503" s="14">
        <v>-0.049560971383273006</v>
      </c>
      <c r="K503" s="14">
        <v>0</v>
      </c>
      <c r="L503" s="15">
        <v>0</v>
      </c>
      <c r="M503" s="15">
        <v>0</v>
      </c>
      <c r="N503" s="15">
        <v>0</v>
      </c>
      <c r="O503" s="14">
        <v>0</v>
      </c>
      <c r="P503" s="14">
        <v>0</v>
      </c>
      <c r="Q503" s="15">
        <v>0</v>
      </c>
      <c r="R503" s="15">
        <v>0</v>
      </c>
      <c r="S503" s="16">
        <v>0</v>
      </c>
    </row>
    <row r="504" spans="1:19" ht="12.75">
      <c r="A504" s="59"/>
      <c r="B504" s="5" t="s">
        <v>947</v>
      </c>
      <c r="C504" s="14">
        <v>0.0025922703894933337</v>
      </c>
      <c r="D504" s="15">
        <v>0.006761467163114949</v>
      </c>
      <c r="E504" s="15">
        <v>0.0023756261793658412</v>
      </c>
      <c r="F504" s="15">
        <v>0</v>
      </c>
      <c r="G504" s="15">
        <v>0.017848795206323573</v>
      </c>
      <c r="H504" s="15">
        <v>0</v>
      </c>
      <c r="I504" s="15">
        <v>0</v>
      </c>
      <c r="J504" s="14">
        <v>0.003299619443495426</v>
      </c>
      <c r="K504" s="14">
        <v>0</v>
      </c>
      <c r="L504" s="15">
        <v>0</v>
      </c>
      <c r="M504" s="15">
        <v>0</v>
      </c>
      <c r="N504" s="15">
        <v>0</v>
      </c>
      <c r="O504" s="14">
        <v>0</v>
      </c>
      <c r="P504" s="14">
        <v>0</v>
      </c>
      <c r="Q504" s="15">
        <v>0</v>
      </c>
      <c r="R504" s="15">
        <v>0</v>
      </c>
      <c r="S504" s="16">
        <v>0</v>
      </c>
    </row>
    <row r="505" spans="1:19" ht="12.75">
      <c r="A505" s="59"/>
      <c r="B505" s="5" t="s">
        <v>949</v>
      </c>
      <c r="C505" s="14">
        <v>0.0024663507215860804</v>
      </c>
      <c r="D505" s="15">
        <v>0.003761711337760911</v>
      </c>
      <c r="E505" s="15">
        <v>0.0023292693380457218</v>
      </c>
      <c r="F505" s="297">
        <v>0.0003095256519384044</v>
      </c>
      <c r="G505" s="15">
        <v>0</v>
      </c>
      <c r="H505" s="15">
        <v>0</v>
      </c>
      <c r="I505" s="15">
        <v>0</v>
      </c>
      <c r="J505" s="14">
        <v>0.0025355641774066798</v>
      </c>
      <c r="K505" s="14">
        <v>0</v>
      </c>
      <c r="L505" s="15">
        <v>0</v>
      </c>
      <c r="M505" s="15">
        <v>0</v>
      </c>
      <c r="N505" s="15">
        <v>0</v>
      </c>
      <c r="O505" s="14">
        <v>0</v>
      </c>
      <c r="P505" s="14">
        <v>0</v>
      </c>
      <c r="Q505" s="15">
        <v>0</v>
      </c>
      <c r="R505" s="15">
        <v>0</v>
      </c>
      <c r="S505" s="16">
        <v>0</v>
      </c>
    </row>
    <row r="506" spans="1:19" ht="12.75">
      <c r="A506" s="59"/>
      <c r="B506" s="5" t="s">
        <v>975</v>
      </c>
      <c r="C506" s="14">
        <v>-0.012591966790725332</v>
      </c>
      <c r="D506" s="15">
        <v>-0.2999755825354038</v>
      </c>
      <c r="E506" s="15">
        <v>-0.0046356841320119475</v>
      </c>
      <c r="F506" s="15">
        <v>0</v>
      </c>
      <c r="G506" s="15">
        <v>-1.7848795206323573</v>
      </c>
      <c r="H506" s="15">
        <v>0</v>
      </c>
      <c r="I506" s="15">
        <v>0</v>
      </c>
      <c r="J506" s="14">
        <v>-0.07640552660887462</v>
      </c>
      <c r="K506" s="14">
        <v>0</v>
      </c>
      <c r="L506" s="15">
        <v>0</v>
      </c>
      <c r="M506" s="15">
        <v>0</v>
      </c>
      <c r="N506" s="15">
        <v>0</v>
      </c>
      <c r="O506" s="14">
        <v>0</v>
      </c>
      <c r="P506" s="14">
        <v>0</v>
      </c>
      <c r="Q506" s="15">
        <v>0</v>
      </c>
      <c r="R506" s="15">
        <v>0</v>
      </c>
      <c r="S506" s="16">
        <v>0</v>
      </c>
    </row>
    <row r="507" spans="1:19" ht="12.75">
      <c r="A507" s="59"/>
      <c r="B507" s="5" t="s">
        <v>951</v>
      </c>
      <c r="C507" s="14">
        <v>0</v>
      </c>
      <c r="D507" s="15">
        <v>0</v>
      </c>
      <c r="E507" s="15">
        <v>0</v>
      </c>
      <c r="F507" s="15">
        <v>0</v>
      </c>
      <c r="G507" s="15">
        <v>0</v>
      </c>
      <c r="H507" s="15">
        <v>0</v>
      </c>
      <c r="I507" s="15">
        <v>0</v>
      </c>
      <c r="J507" s="14">
        <v>0</v>
      </c>
      <c r="K507" s="14">
        <v>0</v>
      </c>
      <c r="L507" s="15">
        <v>0</v>
      </c>
      <c r="M507" s="15">
        <v>0</v>
      </c>
      <c r="N507" s="15">
        <v>0</v>
      </c>
      <c r="O507" s="14">
        <v>0</v>
      </c>
      <c r="P507" s="14">
        <v>0</v>
      </c>
      <c r="Q507" s="15">
        <v>0</v>
      </c>
      <c r="R507" s="15">
        <v>0</v>
      </c>
      <c r="S507" s="16">
        <v>0</v>
      </c>
    </row>
    <row r="508" spans="1:19" ht="12.75">
      <c r="A508" s="59"/>
      <c r="B508" s="5" t="s">
        <v>953</v>
      </c>
      <c r="C508" s="14">
        <v>0</v>
      </c>
      <c r="D508" s="15">
        <v>0</v>
      </c>
      <c r="E508" s="15">
        <v>0</v>
      </c>
      <c r="F508" s="15">
        <v>0</v>
      </c>
      <c r="G508" s="15">
        <v>0</v>
      </c>
      <c r="H508" s="15">
        <v>0</v>
      </c>
      <c r="I508" s="15">
        <v>0</v>
      </c>
      <c r="J508" s="14">
        <v>0</v>
      </c>
      <c r="K508" s="14">
        <v>0</v>
      </c>
      <c r="L508" s="15">
        <v>0</v>
      </c>
      <c r="M508" s="15">
        <v>0</v>
      </c>
      <c r="N508" s="15">
        <v>0</v>
      </c>
      <c r="O508" s="14">
        <v>0</v>
      </c>
      <c r="P508" s="14">
        <v>0</v>
      </c>
      <c r="Q508" s="15">
        <v>0</v>
      </c>
      <c r="R508" s="15">
        <v>0</v>
      </c>
      <c r="S508" s="16">
        <v>0</v>
      </c>
    </row>
    <row r="509" spans="1:19" s="301" customFormat="1" ht="12.75">
      <c r="A509" s="345"/>
      <c r="B509" s="5" t="s">
        <v>977</v>
      </c>
      <c r="C509" s="14">
        <v>0</v>
      </c>
      <c r="D509" s="15">
        <v>0</v>
      </c>
      <c r="E509" s="15">
        <v>0</v>
      </c>
      <c r="F509" s="15">
        <v>0</v>
      </c>
      <c r="G509" s="15">
        <v>0</v>
      </c>
      <c r="H509" s="15">
        <v>0</v>
      </c>
      <c r="I509" s="15">
        <v>0</v>
      </c>
      <c r="J509" s="14">
        <v>0</v>
      </c>
      <c r="K509" s="14">
        <v>0</v>
      </c>
      <c r="L509" s="15">
        <v>0</v>
      </c>
      <c r="M509" s="15">
        <v>0</v>
      </c>
      <c r="N509" s="15">
        <v>0</v>
      </c>
      <c r="O509" s="14">
        <v>0</v>
      </c>
      <c r="P509" s="14">
        <v>0</v>
      </c>
      <c r="Q509" s="15">
        <v>0</v>
      </c>
      <c r="R509" s="15">
        <v>0</v>
      </c>
      <c r="S509" s="16">
        <v>0</v>
      </c>
    </row>
    <row r="510" spans="1:19" s="56" customFormat="1" ht="12.75">
      <c r="A510" s="58" t="s">
        <v>540</v>
      </c>
      <c r="B510" s="3" t="s">
        <v>907</v>
      </c>
      <c r="C510" s="11">
        <v>0</v>
      </c>
      <c r="D510" s="12">
        <v>0</v>
      </c>
      <c r="E510" s="12">
        <v>0</v>
      </c>
      <c r="F510" s="12">
        <v>0</v>
      </c>
      <c r="G510" s="12">
        <v>0</v>
      </c>
      <c r="H510" s="12">
        <v>0</v>
      </c>
      <c r="I510" s="12">
        <v>0</v>
      </c>
      <c r="J510" s="11">
        <v>0</v>
      </c>
      <c r="K510" s="11">
        <v>0</v>
      </c>
      <c r="L510" s="12">
        <v>0</v>
      </c>
      <c r="M510" s="12">
        <v>0</v>
      </c>
      <c r="N510" s="12">
        <v>0</v>
      </c>
      <c r="O510" s="11">
        <v>0</v>
      </c>
      <c r="P510" s="11">
        <v>0</v>
      </c>
      <c r="Q510" s="12">
        <v>0</v>
      </c>
      <c r="R510" s="12">
        <v>0</v>
      </c>
      <c r="S510" s="13">
        <v>0</v>
      </c>
    </row>
    <row r="511" spans="1:19" ht="12.75">
      <c r="A511" s="59"/>
      <c r="B511" s="5" t="s">
        <v>909</v>
      </c>
      <c r="C511" s="14">
        <v>0</v>
      </c>
      <c r="D511" s="15">
        <v>0</v>
      </c>
      <c r="E511" s="15">
        <v>0</v>
      </c>
      <c r="F511" s="15">
        <v>0</v>
      </c>
      <c r="G511" s="15">
        <v>0</v>
      </c>
      <c r="H511" s="15">
        <v>0</v>
      </c>
      <c r="I511" s="15">
        <v>0</v>
      </c>
      <c r="J511" s="14">
        <v>0</v>
      </c>
      <c r="K511" s="14">
        <v>0</v>
      </c>
      <c r="L511" s="15">
        <v>0</v>
      </c>
      <c r="M511" s="15">
        <v>0</v>
      </c>
      <c r="N511" s="15">
        <v>0</v>
      </c>
      <c r="O511" s="14">
        <v>0</v>
      </c>
      <c r="P511" s="14">
        <v>0</v>
      </c>
      <c r="Q511" s="15">
        <v>0</v>
      </c>
      <c r="R511" s="15">
        <v>0</v>
      </c>
      <c r="S511" s="16">
        <v>0</v>
      </c>
    </row>
    <row r="512" spans="1:19" ht="12.75">
      <c r="A512" s="59"/>
      <c r="B512" s="5" t="s">
        <v>955</v>
      </c>
      <c r="C512" s="14">
        <v>0</v>
      </c>
      <c r="D512" s="15">
        <v>0</v>
      </c>
      <c r="E512" s="15">
        <v>0</v>
      </c>
      <c r="F512" s="15">
        <v>0</v>
      </c>
      <c r="G512" s="15">
        <v>0</v>
      </c>
      <c r="H512" s="15">
        <v>0</v>
      </c>
      <c r="I512" s="15">
        <v>0</v>
      </c>
      <c r="J512" s="14">
        <v>0</v>
      </c>
      <c r="K512" s="14">
        <v>0</v>
      </c>
      <c r="L512" s="15">
        <v>0</v>
      </c>
      <c r="M512" s="15">
        <v>0</v>
      </c>
      <c r="N512" s="15">
        <v>0</v>
      </c>
      <c r="O512" s="14">
        <v>0</v>
      </c>
      <c r="P512" s="14">
        <v>0</v>
      </c>
      <c r="Q512" s="15">
        <v>0</v>
      </c>
      <c r="R512" s="15">
        <v>0</v>
      </c>
      <c r="S512" s="16">
        <v>0</v>
      </c>
    </row>
    <row r="513" spans="1:19" ht="12.75">
      <c r="A513" s="59"/>
      <c r="B513" s="5" t="s">
        <v>911</v>
      </c>
      <c r="C513" s="14">
        <v>0</v>
      </c>
      <c r="D513" s="15">
        <v>0</v>
      </c>
      <c r="E513" s="15">
        <v>0</v>
      </c>
      <c r="F513" s="15">
        <v>0</v>
      </c>
      <c r="G513" s="15">
        <v>0</v>
      </c>
      <c r="H513" s="15">
        <v>0</v>
      </c>
      <c r="I513" s="15">
        <v>0</v>
      </c>
      <c r="J513" s="14">
        <v>0</v>
      </c>
      <c r="K513" s="14">
        <v>0</v>
      </c>
      <c r="L513" s="15">
        <v>0</v>
      </c>
      <c r="M513" s="15">
        <v>0</v>
      </c>
      <c r="N513" s="15">
        <v>0</v>
      </c>
      <c r="O513" s="14">
        <v>0</v>
      </c>
      <c r="P513" s="14">
        <v>0</v>
      </c>
      <c r="Q513" s="15">
        <v>0</v>
      </c>
      <c r="R513" s="15">
        <v>0</v>
      </c>
      <c r="S513" s="16">
        <v>0</v>
      </c>
    </row>
    <row r="514" spans="1:19" ht="12.75">
      <c r="A514" s="59"/>
      <c r="B514" s="5" t="s">
        <v>913</v>
      </c>
      <c r="C514" s="14">
        <v>0</v>
      </c>
      <c r="D514" s="15">
        <v>0</v>
      </c>
      <c r="E514" s="15">
        <v>0</v>
      </c>
      <c r="F514" s="15">
        <v>0</v>
      </c>
      <c r="G514" s="15">
        <v>0</v>
      </c>
      <c r="H514" s="15">
        <v>0</v>
      </c>
      <c r="I514" s="15">
        <v>0</v>
      </c>
      <c r="J514" s="14">
        <v>0</v>
      </c>
      <c r="K514" s="14">
        <v>0</v>
      </c>
      <c r="L514" s="15">
        <v>0</v>
      </c>
      <c r="M514" s="15">
        <v>0</v>
      </c>
      <c r="N514" s="15">
        <v>0</v>
      </c>
      <c r="O514" s="14">
        <v>0</v>
      </c>
      <c r="P514" s="14">
        <v>0</v>
      </c>
      <c r="Q514" s="15">
        <v>0</v>
      </c>
      <c r="R514" s="15">
        <v>0</v>
      </c>
      <c r="S514" s="16">
        <v>0</v>
      </c>
    </row>
    <row r="515" spans="1:19" ht="12.75">
      <c r="A515" s="59"/>
      <c r="B515" s="5" t="s">
        <v>963</v>
      </c>
      <c r="C515" s="14">
        <v>0</v>
      </c>
      <c r="D515" s="15">
        <v>0</v>
      </c>
      <c r="E515" s="15">
        <v>0</v>
      </c>
      <c r="F515" s="15">
        <v>0</v>
      </c>
      <c r="G515" s="15">
        <v>0</v>
      </c>
      <c r="H515" s="15">
        <v>0</v>
      </c>
      <c r="I515" s="15">
        <v>0</v>
      </c>
      <c r="J515" s="14">
        <v>0</v>
      </c>
      <c r="K515" s="14">
        <v>0</v>
      </c>
      <c r="L515" s="15">
        <v>0</v>
      </c>
      <c r="M515" s="15">
        <v>0</v>
      </c>
      <c r="N515" s="15">
        <v>0</v>
      </c>
      <c r="O515" s="14">
        <v>0</v>
      </c>
      <c r="P515" s="14">
        <v>0</v>
      </c>
      <c r="Q515" s="15">
        <v>0</v>
      </c>
      <c r="R515" s="15">
        <v>0</v>
      </c>
      <c r="S515" s="16">
        <v>0</v>
      </c>
    </row>
    <row r="516" spans="1:19" ht="12.75">
      <c r="A516" s="59"/>
      <c r="B516" s="5" t="s">
        <v>917</v>
      </c>
      <c r="C516" s="14">
        <v>0</v>
      </c>
      <c r="D516" s="15">
        <v>0</v>
      </c>
      <c r="E516" s="15">
        <v>0</v>
      </c>
      <c r="F516" s="15">
        <v>0</v>
      </c>
      <c r="G516" s="15">
        <v>0</v>
      </c>
      <c r="H516" s="15">
        <v>0</v>
      </c>
      <c r="I516" s="15">
        <v>0</v>
      </c>
      <c r="J516" s="14">
        <v>0</v>
      </c>
      <c r="K516" s="14">
        <v>0</v>
      </c>
      <c r="L516" s="15">
        <v>0</v>
      </c>
      <c r="M516" s="15">
        <v>0</v>
      </c>
      <c r="N516" s="15">
        <v>0</v>
      </c>
      <c r="O516" s="14">
        <v>0</v>
      </c>
      <c r="P516" s="14">
        <v>0</v>
      </c>
      <c r="Q516" s="15">
        <v>0</v>
      </c>
      <c r="R516" s="15">
        <v>0</v>
      </c>
      <c r="S516" s="16">
        <v>0</v>
      </c>
    </row>
    <row r="517" spans="1:19" ht="12.75">
      <c r="A517" s="59"/>
      <c r="B517" s="5" t="s">
        <v>919</v>
      </c>
      <c r="C517" s="14">
        <v>0</v>
      </c>
      <c r="D517" s="15">
        <v>0</v>
      </c>
      <c r="E517" s="15">
        <v>0</v>
      </c>
      <c r="F517" s="15">
        <v>0</v>
      </c>
      <c r="G517" s="15">
        <v>0</v>
      </c>
      <c r="H517" s="15">
        <v>0</v>
      </c>
      <c r="I517" s="15">
        <v>0</v>
      </c>
      <c r="J517" s="14">
        <v>0</v>
      </c>
      <c r="K517" s="14">
        <v>0</v>
      </c>
      <c r="L517" s="15">
        <v>0</v>
      </c>
      <c r="M517" s="15">
        <v>0</v>
      </c>
      <c r="N517" s="15">
        <v>0</v>
      </c>
      <c r="O517" s="14">
        <v>0</v>
      </c>
      <c r="P517" s="14">
        <v>0</v>
      </c>
      <c r="Q517" s="15">
        <v>0</v>
      </c>
      <c r="R517" s="15">
        <v>0</v>
      </c>
      <c r="S517" s="16">
        <v>0</v>
      </c>
    </row>
    <row r="518" spans="1:19" ht="12.75">
      <c r="A518" s="59"/>
      <c r="B518" s="5" t="s">
        <v>965</v>
      </c>
      <c r="C518" s="14">
        <v>0</v>
      </c>
      <c r="D518" s="15">
        <v>0</v>
      </c>
      <c r="E518" s="15">
        <v>0</v>
      </c>
      <c r="F518" s="15">
        <v>0</v>
      </c>
      <c r="G518" s="15">
        <v>0</v>
      </c>
      <c r="H518" s="15">
        <v>0</v>
      </c>
      <c r="I518" s="15">
        <v>0</v>
      </c>
      <c r="J518" s="14">
        <v>0</v>
      </c>
      <c r="K518" s="14">
        <v>0</v>
      </c>
      <c r="L518" s="15">
        <v>0</v>
      </c>
      <c r="M518" s="15">
        <v>0</v>
      </c>
      <c r="N518" s="15">
        <v>0</v>
      </c>
      <c r="O518" s="14">
        <v>0</v>
      </c>
      <c r="P518" s="14">
        <v>0</v>
      </c>
      <c r="Q518" s="15">
        <v>0</v>
      </c>
      <c r="R518" s="15">
        <v>0</v>
      </c>
      <c r="S518" s="16">
        <v>0</v>
      </c>
    </row>
    <row r="519" spans="1:19" ht="12.75">
      <c r="A519" s="59"/>
      <c r="B519" s="5" t="s">
        <v>921</v>
      </c>
      <c r="C519" s="14">
        <v>0</v>
      </c>
      <c r="D519" s="15">
        <v>0</v>
      </c>
      <c r="E519" s="15">
        <v>0</v>
      </c>
      <c r="F519" s="15">
        <v>0</v>
      </c>
      <c r="G519" s="15">
        <v>0</v>
      </c>
      <c r="H519" s="15">
        <v>0</v>
      </c>
      <c r="I519" s="15">
        <v>0</v>
      </c>
      <c r="J519" s="14">
        <v>0</v>
      </c>
      <c r="K519" s="14">
        <v>0</v>
      </c>
      <c r="L519" s="15">
        <v>0</v>
      </c>
      <c r="M519" s="15">
        <v>0</v>
      </c>
      <c r="N519" s="15">
        <v>0</v>
      </c>
      <c r="O519" s="14">
        <v>0</v>
      </c>
      <c r="P519" s="14">
        <v>0</v>
      </c>
      <c r="Q519" s="15">
        <v>0</v>
      </c>
      <c r="R519" s="15">
        <v>0</v>
      </c>
      <c r="S519" s="16">
        <v>0</v>
      </c>
    </row>
    <row r="520" spans="1:19" ht="12.75">
      <c r="A520" s="59"/>
      <c r="B520" s="5" t="s">
        <v>923</v>
      </c>
      <c r="C520" s="14">
        <v>0</v>
      </c>
      <c r="D520" s="15">
        <v>0</v>
      </c>
      <c r="E520" s="15">
        <v>0</v>
      </c>
      <c r="F520" s="15">
        <v>0</v>
      </c>
      <c r="G520" s="15">
        <v>0</v>
      </c>
      <c r="H520" s="15">
        <v>0</v>
      </c>
      <c r="I520" s="15">
        <v>0</v>
      </c>
      <c r="J520" s="14">
        <v>0</v>
      </c>
      <c r="K520" s="14">
        <v>0</v>
      </c>
      <c r="L520" s="15">
        <v>0</v>
      </c>
      <c r="M520" s="15">
        <v>0</v>
      </c>
      <c r="N520" s="15">
        <v>0</v>
      </c>
      <c r="O520" s="14">
        <v>0</v>
      </c>
      <c r="P520" s="14">
        <v>0</v>
      </c>
      <c r="Q520" s="15">
        <v>0</v>
      </c>
      <c r="R520" s="15">
        <v>0</v>
      </c>
      <c r="S520" s="16">
        <v>0</v>
      </c>
    </row>
    <row r="521" spans="1:19" ht="12.75">
      <c r="A521" s="59"/>
      <c r="B521" s="5" t="s">
        <v>971</v>
      </c>
      <c r="C521" s="14">
        <v>0</v>
      </c>
      <c r="D521" s="15">
        <v>0</v>
      </c>
      <c r="E521" s="15">
        <v>0</v>
      </c>
      <c r="F521" s="15">
        <v>0</v>
      </c>
      <c r="G521" s="15">
        <v>0</v>
      </c>
      <c r="H521" s="15">
        <v>0</v>
      </c>
      <c r="I521" s="15">
        <v>0</v>
      </c>
      <c r="J521" s="14">
        <v>0</v>
      </c>
      <c r="K521" s="14">
        <v>0</v>
      </c>
      <c r="L521" s="15">
        <v>0</v>
      </c>
      <c r="M521" s="15">
        <v>0</v>
      </c>
      <c r="N521" s="15">
        <v>0</v>
      </c>
      <c r="O521" s="14">
        <v>0</v>
      </c>
      <c r="P521" s="14">
        <v>0</v>
      </c>
      <c r="Q521" s="15">
        <v>0</v>
      </c>
      <c r="R521" s="15">
        <v>0</v>
      </c>
      <c r="S521" s="16">
        <v>0</v>
      </c>
    </row>
    <row r="522" spans="1:19" ht="12.75">
      <c r="A522" s="59"/>
      <c r="B522" s="5" t="s">
        <v>925</v>
      </c>
      <c r="C522" s="14">
        <v>0</v>
      </c>
      <c r="D522" s="15">
        <v>0</v>
      </c>
      <c r="E522" s="15">
        <v>0</v>
      </c>
      <c r="F522" s="15">
        <v>0</v>
      </c>
      <c r="G522" s="15">
        <v>0</v>
      </c>
      <c r="H522" s="15">
        <v>0</v>
      </c>
      <c r="I522" s="15">
        <v>0</v>
      </c>
      <c r="J522" s="14">
        <v>0</v>
      </c>
      <c r="K522" s="14">
        <v>0</v>
      </c>
      <c r="L522" s="15">
        <v>0</v>
      </c>
      <c r="M522" s="15">
        <v>0</v>
      </c>
      <c r="N522" s="15">
        <v>0</v>
      </c>
      <c r="O522" s="14">
        <v>0</v>
      </c>
      <c r="P522" s="14">
        <v>0</v>
      </c>
      <c r="Q522" s="15">
        <v>0</v>
      </c>
      <c r="R522" s="15">
        <v>0</v>
      </c>
      <c r="S522" s="16">
        <v>0</v>
      </c>
    </row>
    <row r="523" spans="1:19" ht="12.75">
      <c r="A523" s="59"/>
      <c r="B523" s="5" t="s">
        <v>927</v>
      </c>
      <c r="C523" s="14">
        <v>0</v>
      </c>
      <c r="D523" s="15">
        <v>0</v>
      </c>
      <c r="E523" s="15">
        <v>0</v>
      </c>
      <c r="F523" s="15">
        <v>0</v>
      </c>
      <c r="G523" s="15">
        <v>0</v>
      </c>
      <c r="H523" s="15">
        <v>0</v>
      </c>
      <c r="I523" s="15">
        <v>0</v>
      </c>
      <c r="J523" s="14">
        <v>0</v>
      </c>
      <c r="K523" s="14">
        <v>0</v>
      </c>
      <c r="L523" s="15">
        <v>0</v>
      </c>
      <c r="M523" s="15">
        <v>0</v>
      </c>
      <c r="N523" s="15">
        <v>0</v>
      </c>
      <c r="O523" s="14">
        <v>0</v>
      </c>
      <c r="P523" s="14">
        <v>0</v>
      </c>
      <c r="Q523" s="15">
        <v>0</v>
      </c>
      <c r="R523" s="15">
        <v>0</v>
      </c>
      <c r="S523" s="16">
        <v>0</v>
      </c>
    </row>
    <row r="524" spans="1:19" ht="12.75">
      <c r="A524" s="59"/>
      <c r="B524" s="5" t="s">
        <v>973</v>
      </c>
      <c r="C524" s="14">
        <v>0</v>
      </c>
      <c r="D524" s="15">
        <v>0</v>
      </c>
      <c r="E524" s="15">
        <v>0</v>
      </c>
      <c r="F524" s="15">
        <v>0</v>
      </c>
      <c r="G524" s="15">
        <v>0</v>
      </c>
      <c r="H524" s="15">
        <v>0</v>
      </c>
      <c r="I524" s="15">
        <v>0</v>
      </c>
      <c r="J524" s="14">
        <v>0</v>
      </c>
      <c r="K524" s="14">
        <v>0</v>
      </c>
      <c r="L524" s="15">
        <v>0</v>
      </c>
      <c r="M524" s="15">
        <v>0</v>
      </c>
      <c r="N524" s="15">
        <v>0</v>
      </c>
      <c r="O524" s="14">
        <v>0</v>
      </c>
      <c r="P524" s="14">
        <v>0</v>
      </c>
      <c r="Q524" s="15">
        <v>0</v>
      </c>
      <c r="R524" s="15">
        <v>0</v>
      </c>
      <c r="S524" s="16">
        <v>0</v>
      </c>
    </row>
    <row r="525" spans="1:19" ht="12.75">
      <c r="A525" s="59"/>
      <c r="B525" s="5" t="s">
        <v>929</v>
      </c>
      <c r="C525" s="14">
        <v>0</v>
      </c>
      <c r="D525" s="15">
        <v>0</v>
      </c>
      <c r="E525" s="15">
        <v>0</v>
      </c>
      <c r="F525" s="15">
        <v>0</v>
      </c>
      <c r="G525" s="15">
        <v>0</v>
      </c>
      <c r="H525" s="15">
        <v>0</v>
      </c>
      <c r="I525" s="15">
        <v>0</v>
      </c>
      <c r="J525" s="14">
        <v>0</v>
      </c>
      <c r="K525" s="14">
        <v>0</v>
      </c>
      <c r="L525" s="15">
        <v>0</v>
      </c>
      <c r="M525" s="15">
        <v>0</v>
      </c>
      <c r="N525" s="15">
        <v>0</v>
      </c>
      <c r="O525" s="14">
        <v>0</v>
      </c>
      <c r="P525" s="14">
        <v>0</v>
      </c>
      <c r="Q525" s="15">
        <v>0</v>
      </c>
      <c r="R525" s="15">
        <v>0</v>
      </c>
      <c r="S525" s="16">
        <v>0</v>
      </c>
    </row>
    <row r="526" spans="1:19" ht="12.75">
      <c r="A526" s="59"/>
      <c r="B526" s="5" t="s">
        <v>931</v>
      </c>
      <c r="C526" s="14">
        <v>0</v>
      </c>
      <c r="D526" s="15">
        <v>0</v>
      </c>
      <c r="E526" s="15">
        <v>0</v>
      </c>
      <c r="F526" s="15">
        <v>0</v>
      </c>
      <c r="G526" s="15">
        <v>0</v>
      </c>
      <c r="H526" s="15">
        <v>0</v>
      </c>
      <c r="I526" s="15">
        <v>0</v>
      </c>
      <c r="J526" s="14">
        <v>0</v>
      </c>
      <c r="K526" s="14">
        <v>0</v>
      </c>
      <c r="L526" s="15">
        <v>0</v>
      </c>
      <c r="M526" s="15">
        <v>0</v>
      </c>
      <c r="N526" s="15">
        <v>0</v>
      </c>
      <c r="O526" s="14">
        <v>0</v>
      </c>
      <c r="P526" s="14">
        <v>0</v>
      </c>
      <c r="Q526" s="15">
        <v>0</v>
      </c>
      <c r="R526" s="15">
        <v>0</v>
      </c>
      <c r="S526" s="16">
        <v>0</v>
      </c>
    </row>
    <row r="527" spans="1:19" ht="12.75">
      <c r="A527" s="59"/>
      <c r="B527" s="5" t="s">
        <v>959</v>
      </c>
      <c r="C527" s="14">
        <v>0</v>
      </c>
      <c r="D527" s="15">
        <v>0</v>
      </c>
      <c r="E527" s="15">
        <v>0</v>
      </c>
      <c r="F527" s="15">
        <v>0</v>
      </c>
      <c r="G527" s="15">
        <v>0</v>
      </c>
      <c r="H527" s="15">
        <v>0</v>
      </c>
      <c r="I527" s="15">
        <v>0</v>
      </c>
      <c r="J527" s="14">
        <v>0</v>
      </c>
      <c r="K527" s="14">
        <v>0</v>
      </c>
      <c r="L527" s="15">
        <v>0</v>
      </c>
      <c r="M527" s="15">
        <v>0</v>
      </c>
      <c r="N527" s="15">
        <v>0</v>
      </c>
      <c r="O527" s="14">
        <v>0</v>
      </c>
      <c r="P527" s="14">
        <v>0</v>
      </c>
      <c r="Q527" s="15">
        <v>0</v>
      </c>
      <c r="R527" s="15">
        <v>0</v>
      </c>
      <c r="S527" s="16">
        <v>0</v>
      </c>
    </row>
    <row r="528" spans="1:19" ht="12.75">
      <c r="A528" s="59"/>
      <c r="B528" s="5" t="s">
        <v>915</v>
      </c>
      <c r="C528" s="14">
        <v>0</v>
      </c>
      <c r="D528" s="15">
        <v>0</v>
      </c>
      <c r="E528" s="15">
        <v>0</v>
      </c>
      <c r="F528" s="15">
        <v>0</v>
      </c>
      <c r="G528" s="15">
        <v>0</v>
      </c>
      <c r="H528" s="15">
        <v>0</v>
      </c>
      <c r="I528" s="15">
        <v>0</v>
      </c>
      <c r="J528" s="14">
        <v>0</v>
      </c>
      <c r="K528" s="14">
        <v>0</v>
      </c>
      <c r="L528" s="15">
        <v>0</v>
      </c>
      <c r="M528" s="15">
        <v>0</v>
      </c>
      <c r="N528" s="15">
        <v>0</v>
      </c>
      <c r="O528" s="14">
        <v>0</v>
      </c>
      <c r="P528" s="14">
        <v>0</v>
      </c>
      <c r="Q528" s="15">
        <v>0</v>
      </c>
      <c r="R528" s="15">
        <v>0</v>
      </c>
      <c r="S528" s="16">
        <v>0</v>
      </c>
    </row>
    <row r="529" spans="1:19" ht="12.75">
      <c r="A529" s="59"/>
      <c r="B529" s="5" t="s">
        <v>933</v>
      </c>
      <c r="C529" s="14">
        <v>0</v>
      </c>
      <c r="D529" s="15">
        <v>0</v>
      </c>
      <c r="E529" s="15">
        <v>0</v>
      </c>
      <c r="F529" s="15">
        <v>0</v>
      </c>
      <c r="G529" s="15">
        <v>0</v>
      </c>
      <c r="H529" s="15">
        <v>0</v>
      </c>
      <c r="I529" s="15">
        <v>0</v>
      </c>
      <c r="J529" s="14">
        <v>0</v>
      </c>
      <c r="K529" s="14">
        <v>0</v>
      </c>
      <c r="L529" s="15">
        <v>0</v>
      </c>
      <c r="M529" s="15">
        <v>0</v>
      </c>
      <c r="N529" s="15">
        <v>0</v>
      </c>
      <c r="O529" s="14">
        <v>0</v>
      </c>
      <c r="P529" s="14">
        <v>0</v>
      </c>
      <c r="Q529" s="15">
        <v>0</v>
      </c>
      <c r="R529" s="15">
        <v>0</v>
      </c>
      <c r="S529" s="16">
        <v>0</v>
      </c>
    </row>
    <row r="530" spans="1:19" ht="12.75">
      <c r="A530" s="59"/>
      <c r="B530" s="5" t="s">
        <v>957</v>
      </c>
      <c r="C530" s="14">
        <v>0</v>
      </c>
      <c r="D530" s="15">
        <v>0</v>
      </c>
      <c r="E530" s="15">
        <v>0</v>
      </c>
      <c r="F530" s="15">
        <v>0</v>
      </c>
      <c r="G530" s="15">
        <v>0</v>
      </c>
      <c r="H530" s="15">
        <v>0</v>
      </c>
      <c r="I530" s="15">
        <v>0</v>
      </c>
      <c r="J530" s="14">
        <v>0</v>
      </c>
      <c r="K530" s="14">
        <v>0</v>
      </c>
      <c r="L530" s="15">
        <v>0</v>
      </c>
      <c r="M530" s="15">
        <v>0</v>
      </c>
      <c r="N530" s="15">
        <v>0</v>
      </c>
      <c r="O530" s="14">
        <v>0</v>
      </c>
      <c r="P530" s="14">
        <v>0</v>
      </c>
      <c r="Q530" s="15">
        <v>0</v>
      </c>
      <c r="R530" s="15">
        <v>0</v>
      </c>
      <c r="S530" s="16">
        <v>0</v>
      </c>
    </row>
    <row r="531" spans="1:19" ht="12.75">
      <c r="A531" s="59"/>
      <c r="B531" s="5" t="s">
        <v>935</v>
      </c>
      <c r="C531" s="14">
        <v>0</v>
      </c>
      <c r="D531" s="15">
        <v>0</v>
      </c>
      <c r="E531" s="15">
        <v>0</v>
      </c>
      <c r="F531" s="15">
        <v>0</v>
      </c>
      <c r="G531" s="15">
        <v>0</v>
      </c>
      <c r="H531" s="15">
        <v>0</v>
      </c>
      <c r="I531" s="15">
        <v>0</v>
      </c>
      <c r="J531" s="14">
        <v>0</v>
      </c>
      <c r="K531" s="14">
        <v>0</v>
      </c>
      <c r="L531" s="15">
        <v>0</v>
      </c>
      <c r="M531" s="15">
        <v>0</v>
      </c>
      <c r="N531" s="15">
        <v>0</v>
      </c>
      <c r="O531" s="14">
        <v>0</v>
      </c>
      <c r="P531" s="14">
        <v>0</v>
      </c>
      <c r="Q531" s="15">
        <v>0</v>
      </c>
      <c r="R531" s="15">
        <v>0</v>
      </c>
      <c r="S531" s="16">
        <v>0</v>
      </c>
    </row>
    <row r="532" spans="1:19" ht="12.75">
      <c r="A532" s="59"/>
      <c r="B532" s="5" t="s">
        <v>937</v>
      </c>
      <c r="C532" s="14">
        <v>0</v>
      </c>
      <c r="D532" s="15">
        <v>0</v>
      </c>
      <c r="E532" s="15">
        <v>0</v>
      </c>
      <c r="F532" s="15">
        <v>0</v>
      </c>
      <c r="G532" s="15">
        <v>0</v>
      </c>
      <c r="H532" s="15">
        <v>0</v>
      </c>
      <c r="I532" s="15">
        <v>0</v>
      </c>
      <c r="J532" s="14">
        <v>0</v>
      </c>
      <c r="K532" s="14">
        <v>0</v>
      </c>
      <c r="L532" s="15">
        <v>0</v>
      </c>
      <c r="M532" s="15">
        <v>0</v>
      </c>
      <c r="N532" s="15">
        <v>0</v>
      </c>
      <c r="O532" s="14">
        <v>0</v>
      </c>
      <c r="P532" s="14">
        <v>0</v>
      </c>
      <c r="Q532" s="15">
        <v>0</v>
      </c>
      <c r="R532" s="15">
        <v>0</v>
      </c>
      <c r="S532" s="16">
        <v>0</v>
      </c>
    </row>
    <row r="533" spans="1:19" ht="12.75">
      <c r="A533" s="59"/>
      <c r="B533" s="5" t="s">
        <v>961</v>
      </c>
      <c r="C533" s="14">
        <v>0</v>
      </c>
      <c r="D533" s="15">
        <v>0</v>
      </c>
      <c r="E533" s="15">
        <v>0</v>
      </c>
      <c r="F533" s="15">
        <v>0</v>
      </c>
      <c r="G533" s="15">
        <v>0</v>
      </c>
      <c r="H533" s="15">
        <v>0</v>
      </c>
      <c r="I533" s="15">
        <v>0</v>
      </c>
      <c r="J533" s="14">
        <v>0</v>
      </c>
      <c r="K533" s="14">
        <v>0</v>
      </c>
      <c r="L533" s="15">
        <v>0</v>
      </c>
      <c r="M533" s="15">
        <v>0</v>
      </c>
      <c r="N533" s="15">
        <v>0</v>
      </c>
      <c r="O533" s="14">
        <v>0</v>
      </c>
      <c r="P533" s="14">
        <v>0</v>
      </c>
      <c r="Q533" s="15">
        <v>0</v>
      </c>
      <c r="R533" s="15">
        <v>0</v>
      </c>
      <c r="S533" s="16">
        <v>0</v>
      </c>
    </row>
    <row r="534" spans="1:19" ht="12.75">
      <c r="A534" s="59"/>
      <c r="B534" s="5" t="s">
        <v>939</v>
      </c>
      <c r="C534" s="14">
        <v>0</v>
      </c>
      <c r="D534" s="15">
        <v>0</v>
      </c>
      <c r="E534" s="15">
        <v>0</v>
      </c>
      <c r="F534" s="15">
        <v>0</v>
      </c>
      <c r="G534" s="15">
        <v>0</v>
      </c>
      <c r="H534" s="15">
        <v>0</v>
      </c>
      <c r="I534" s="15">
        <v>0</v>
      </c>
      <c r="J534" s="14">
        <v>0</v>
      </c>
      <c r="K534" s="14">
        <v>0</v>
      </c>
      <c r="L534" s="15">
        <v>0</v>
      </c>
      <c r="M534" s="15">
        <v>0</v>
      </c>
      <c r="N534" s="15">
        <v>0</v>
      </c>
      <c r="O534" s="14">
        <v>0</v>
      </c>
      <c r="P534" s="14">
        <v>0</v>
      </c>
      <c r="Q534" s="15">
        <v>0</v>
      </c>
      <c r="R534" s="15">
        <v>0</v>
      </c>
      <c r="S534" s="16">
        <v>0</v>
      </c>
    </row>
    <row r="535" spans="1:19" ht="12.75">
      <c r="A535" s="59"/>
      <c r="B535" s="5" t="s">
        <v>941</v>
      </c>
      <c r="C535" s="14">
        <v>0</v>
      </c>
      <c r="D535" s="15">
        <v>0</v>
      </c>
      <c r="E535" s="15">
        <v>0</v>
      </c>
      <c r="F535" s="15">
        <v>0</v>
      </c>
      <c r="G535" s="15">
        <v>0</v>
      </c>
      <c r="H535" s="15">
        <v>0</v>
      </c>
      <c r="I535" s="15">
        <v>0</v>
      </c>
      <c r="J535" s="14">
        <v>0</v>
      </c>
      <c r="K535" s="14">
        <v>0</v>
      </c>
      <c r="L535" s="15">
        <v>0</v>
      </c>
      <c r="M535" s="15">
        <v>0</v>
      </c>
      <c r="N535" s="15">
        <v>0</v>
      </c>
      <c r="O535" s="14">
        <v>0</v>
      </c>
      <c r="P535" s="14">
        <v>0</v>
      </c>
      <c r="Q535" s="15">
        <v>0</v>
      </c>
      <c r="R535" s="15">
        <v>0</v>
      </c>
      <c r="S535" s="16">
        <v>0</v>
      </c>
    </row>
    <row r="536" spans="1:19" ht="12.75">
      <c r="A536" s="59"/>
      <c r="B536" s="5" t="s">
        <v>967</v>
      </c>
      <c r="C536" s="14">
        <v>0</v>
      </c>
      <c r="D536" s="15">
        <v>0</v>
      </c>
      <c r="E536" s="15">
        <v>0</v>
      </c>
      <c r="F536" s="15">
        <v>0</v>
      </c>
      <c r="G536" s="15">
        <v>0</v>
      </c>
      <c r="H536" s="15">
        <v>0</v>
      </c>
      <c r="I536" s="15">
        <v>0</v>
      </c>
      <c r="J536" s="14">
        <v>0</v>
      </c>
      <c r="K536" s="14">
        <v>0</v>
      </c>
      <c r="L536" s="15">
        <v>0</v>
      </c>
      <c r="M536" s="15">
        <v>0</v>
      </c>
      <c r="N536" s="15">
        <v>0</v>
      </c>
      <c r="O536" s="14">
        <v>0</v>
      </c>
      <c r="P536" s="14">
        <v>0</v>
      </c>
      <c r="Q536" s="15">
        <v>0</v>
      </c>
      <c r="R536" s="15">
        <v>0</v>
      </c>
      <c r="S536" s="16">
        <v>0</v>
      </c>
    </row>
    <row r="537" spans="1:19" ht="12.75">
      <c r="A537" s="59"/>
      <c r="B537" s="5" t="s">
        <v>943</v>
      </c>
      <c r="C537" s="14">
        <v>0</v>
      </c>
      <c r="D537" s="15">
        <v>0</v>
      </c>
      <c r="E537" s="15">
        <v>0</v>
      </c>
      <c r="F537" s="15">
        <v>0</v>
      </c>
      <c r="G537" s="15">
        <v>0</v>
      </c>
      <c r="H537" s="15">
        <v>0</v>
      </c>
      <c r="I537" s="15">
        <v>0</v>
      </c>
      <c r="J537" s="14">
        <v>0</v>
      </c>
      <c r="K537" s="14">
        <v>0</v>
      </c>
      <c r="L537" s="15">
        <v>0</v>
      </c>
      <c r="M537" s="15">
        <v>0</v>
      </c>
      <c r="N537" s="15">
        <v>0</v>
      </c>
      <c r="O537" s="14">
        <v>0</v>
      </c>
      <c r="P537" s="14">
        <v>0</v>
      </c>
      <c r="Q537" s="15">
        <v>0</v>
      </c>
      <c r="R537" s="15">
        <v>0</v>
      </c>
      <c r="S537" s="16">
        <v>0</v>
      </c>
    </row>
    <row r="538" spans="1:19" ht="12.75">
      <c r="A538" s="59"/>
      <c r="B538" s="5" t="s">
        <v>945</v>
      </c>
      <c r="C538" s="14">
        <v>0</v>
      </c>
      <c r="D538" s="15">
        <v>0</v>
      </c>
      <c r="E538" s="15">
        <v>0</v>
      </c>
      <c r="F538" s="15">
        <v>0</v>
      </c>
      <c r="G538" s="15">
        <v>0</v>
      </c>
      <c r="H538" s="15">
        <v>0</v>
      </c>
      <c r="I538" s="15">
        <v>0</v>
      </c>
      <c r="J538" s="14">
        <v>0</v>
      </c>
      <c r="K538" s="14">
        <v>0</v>
      </c>
      <c r="L538" s="15">
        <v>0</v>
      </c>
      <c r="M538" s="15">
        <v>0</v>
      </c>
      <c r="N538" s="15">
        <v>0</v>
      </c>
      <c r="O538" s="14">
        <v>0</v>
      </c>
      <c r="P538" s="14">
        <v>0</v>
      </c>
      <c r="Q538" s="15">
        <v>0</v>
      </c>
      <c r="R538" s="15">
        <v>0</v>
      </c>
      <c r="S538" s="16">
        <v>0</v>
      </c>
    </row>
    <row r="539" spans="1:19" ht="12.75">
      <c r="A539" s="59"/>
      <c r="B539" s="5" t="s">
        <v>969</v>
      </c>
      <c r="C539" s="14">
        <v>0</v>
      </c>
      <c r="D539" s="15">
        <v>0</v>
      </c>
      <c r="E539" s="15">
        <v>0</v>
      </c>
      <c r="F539" s="15">
        <v>0</v>
      </c>
      <c r="G539" s="15">
        <v>0</v>
      </c>
      <c r="H539" s="15">
        <v>0</v>
      </c>
      <c r="I539" s="15">
        <v>0</v>
      </c>
      <c r="J539" s="14">
        <v>0</v>
      </c>
      <c r="K539" s="14">
        <v>0</v>
      </c>
      <c r="L539" s="15">
        <v>0</v>
      </c>
      <c r="M539" s="15">
        <v>0</v>
      </c>
      <c r="N539" s="15">
        <v>0</v>
      </c>
      <c r="O539" s="14">
        <v>0</v>
      </c>
      <c r="P539" s="14">
        <v>0</v>
      </c>
      <c r="Q539" s="15">
        <v>0</v>
      </c>
      <c r="R539" s="15">
        <v>0</v>
      </c>
      <c r="S539" s="16">
        <v>0</v>
      </c>
    </row>
    <row r="540" spans="1:19" ht="12.75">
      <c r="A540" s="59"/>
      <c r="B540" s="5" t="s">
        <v>947</v>
      </c>
      <c r="C540" s="14">
        <v>0</v>
      </c>
      <c r="D540" s="15">
        <v>0</v>
      </c>
      <c r="E540" s="15">
        <v>0</v>
      </c>
      <c r="F540" s="15">
        <v>0</v>
      </c>
      <c r="G540" s="15">
        <v>0</v>
      </c>
      <c r="H540" s="15">
        <v>0</v>
      </c>
      <c r="I540" s="15">
        <v>0</v>
      </c>
      <c r="J540" s="14">
        <v>0</v>
      </c>
      <c r="K540" s="14">
        <v>0</v>
      </c>
      <c r="L540" s="15">
        <v>0</v>
      </c>
      <c r="M540" s="15">
        <v>0</v>
      </c>
      <c r="N540" s="15">
        <v>0</v>
      </c>
      <c r="O540" s="14">
        <v>0</v>
      </c>
      <c r="P540" s="14">
        <v>0</v>
      </c>
      <c r="Q540" s="15">
        <v>0</v>
      </c>
      <c r="R540" s="15">
        <v>0</v>
      </c>
      <c r="S540" s="16">
        <v>0</v>
      </c>
    </row>
    <row r="541" spans="1:19" ht="12.75">
      <c r="A541" s="59"/>
      <c r="B541" s="5" t="s">
        <v>949</v>
      </c>
      <c r="C541" s="14">
        <v>0</v>
      </c>
      <c r="D541" s="15">
        <v>0</v>
      </c>
      <c r="E541" s="15">
        <v>0</v>
      </c>
      <c r="F541" s="15">
        <v>0</v>
      </c>
      <c r="G541" s="15">
        <v>0</v>
      </c>
      <c r="H541" s="15">
        <v>0</v>
      </c>
      <c r="I541" s="15">
        <v>0</v>
      </c>
      <c r="J541" s="14">
        <v>0</v>
      </c>
      <c r="K541" s="14">
        <v>0</v>
      </c>
      <c r="L541" s="15">
        <v>0</v>
      </c>
      <c r="M541" s="15">
        <v>0</v>
      </c>
      <c r="N541" s="15">
        <v>0</v>
      </c>
      <c r="O541" s="14">
        <v>0</v>
      </c>
      <c r="P541" s="14">
        <v>0</v>
      </c>
      <c r="Q541" s="15">
        <v>0</v>
      </c>
      <c r="R541" s="15">
        <v>0</v>
      </c>
      <c r="S541" s="16">
        <v>0</v>
      </c>
    </row>
    <row r="542" spans="1:19" ht="12.75">
      <c r="A542" s="59"/>
      <c r="B542" s="5" t="s">
        <v>975</v>
      </c>
      <c r="C542" s="14">
        <v>0</v>
      </c>
      <c r="D542" s="15">
        <v>0</v>
      </c>
      <c r="E542" s="15">
        <v>0</v>
      </c>
      <c r="F542" s="15">
        <v>0</v>
      </c>
      <c r="G542" s="15">
        <v>0</v>
      </c>
      <c r="H542" s="15">
        <v>0</v>
      </c>
      <c r="I542" s="15">
        <v>0</v>
      </c>
      <c r="J542" s="14">
        <v>0</v>
      </c>
      <c r="K542" s="14">
        <v>0</v>
      </c>
      <c r="L542" s="15">
        <v>0</v>
      </c>
      <c r="M542" s="15">
        <v>0</v>
      </c>
      <c r="N542" s="15">
        <v>0</v>
      </c>
      <c r="O542" s="14">
        <v>0</v>
      </c>
      <c r="P542" s="14">
        <v>0</v>
      </c>
      <c r="Q542" s="15">
        <v>0</v>
      </c>
      <c r="R542" s="15">
        <v>0</v>
      </c>
      <c r="S542" s="16">
        <v>0</v>
      </c>
    </row>
    <row r="543" spans="1:19" ht="12.75">
      <c r="A543" s="59"/>
      <c r="B543" s="5" t="s">
        <v>951</v>
      </c>
      <c r="C543" s="14">
        <v>0</v>
      </c>
      <c r="D543" s="15">
        <v>0</v>
      </c>
      <c r="E543" s="15">
        <v>0</v>
      </c>
      <c r="F543" s="15">
        <v>0</v>
      </c>
      <c r="G543" s="15">
        <v>0</v>
      </c>
      <c r="H543" s="15">
        <v>0</v>
      </c>
      <c r="I543" s="15">
        <v>0</v>
      </c>
      <c r="J543" s="14">
        <v>0</v>
      </c>
      <c r="K543" s="14">
        <v>0</v>
      </c>
      <c r="L543" s="15">
        <v>0</v>
      </c>
      <c r="M543" s="15">
        <v>0</v>
      </c>
      <c r="N543" s="15">
        <v>0</v>
      </c>
      <c r="O543" s="14">
        <v>0</v>
      </c>
      <c r="P543" s="14">
        <v>0</v>
      </c>
      <c r="Q543" s="15">
        <v>0</v>
      </c>
      <c r="R543" s="15">
        <v>0</v>
      </c>
      <c r="S543" s="16">
        <v>0</v>
      </c>
    </row>
    <row r="544" spans="1:19" ht="12.75">
      <c r="A544" s="59"/>
      <c r="B544" s="5" t="s">
        <v>953</v>
      </c>
      <c r="C544" s="14">
        <v>0</v>
      </c>
      <c r="D544" s="15">
        <v>0</v>
      </c>
      <c r="E544" s="15">
        <v>0</v>
      </c>
      <c r="F544" s="15">
        <v>0</v>
      </c>
      <c r="G544" s="15">
        <v>0</v>
      </c>
      <c r="H544" s="15">
        <v>0</v>
      </c>
      <c r="I544" s="15">
        <v>0</v>
      </c>
      <c r="J544" s="14">
        <v>0</v>
      </c>
      <c r="K544" s="14">
        <v>0</v>
      </c>
      <c r="L544" s="15">
        <v>0</v>
      </c>
      <c r="M544" s="15">
        <v>0</v>
      </c>
      <c r="N544" s="15">
        <v>0</v>
      </c>
      <c r="O544" s="14">
        <v>0</v>
      </c>
      <c r="P544" s="14">
        <v>0</v>
      </c>
      <c r="Q544" s="15">
        <v>0</v>
      </c>
      <c r="R544" s="15">
        <v>0</v>
      </c>
      <c r="S544" s="16">
        <v>0</v>
      </c>
    </row>
    <row r="545" spans="1:19" s="301" customFormat="1" ht="13.5" thickBot="1">
      <c r="A545" s="345"/>
      <c r="B545" s="5" t="s">
        <v>977</v>
      </c>
      <c r="C545" s="14">
        <v>0</v>
      </c>
      <c r="D545" s="15">
        <v>0</v>
      </c>
      <c r="E545" s="15">
        <v>0</v>
      </c>
      <c r="F545" s="15">
        <v>0</v>
      </c>
      <c r="G545" s="15">
        <v>0</v>
      </c>
      <c r="H545" s="15">
        <v>0</v>
      </c>
      <c r="I545" s="15">
        <v>0</v>
      </c>
      <c r="J545" s="14">
        <v>0</v>
      </c>
      <c r="K545" s="14">
        <v>0</v>
      </c>
      <c r="L545" s="15">
        <v>0</v>
      </c>
      <c r="M545" s="15">
        <v>0</v>
      </c>
      <c r="N545" s="15">
        <v>0</v>
      </c>
      <c r="O545" s="14">
        <v>0</v>
      </c>
      <c r="P545" s="14">
        <v>0</v>
      </c>
      <c r="Q545" s="15">
        <v>0</v>
      </c>
      <c r="R545" s="15">
        <v>0</v>
      </c>
      <c r="S545" s="16">
        <v>0</v>
      </c>
    </row>
    <row r="546" spans="1:19" s="56" customFormat="1" ht="12.75">
      <c r="A546" s="58" t="s">
        <v>77</v>
      </c>
      <c r="B546" s="3" t="s">
        <v>907</v>
      </c>
      <c r="C546" s="11">
        <v>0.9898163743009992</v>
      </c>
      <c r="D546" s="12">
        <v>0</v>
      </c>
      <c r="E546" s="12">
        <v>0.9272339547868618</v>
      </c>
      <c r="F546" s="12">
        <v>0</v>
      </c>
      <c r="G546" s="12">
        <v>0</v>
      </c>
      <c r="H546" s="12">
        <v>0.8513489239853824</v>
      </c>
      <c r="I546" s="12">
        <v>0</v>
      </c>
      <c r="J546" s="11">
        <v>0.9146158512166561</v>
      </c>
      <c r="K546" s="11">
        <v>0.6866170380213911</v>
      </c>
      <c r="L546" s="12">
        <v>0</v>
      </c>
      <c r="M546" s="291">
        <v>0.7321914906493978</v>
      </c>
      <c r="N546" s="366">
        <v>0.8577652674091298</v>
      </c>
      <c r="O546" s="11">
        <v>0.7957749312973589</v>
      </c>
      <c r="P546" s="11">
        <v>0</v>
      </c>
      <c r="Q546" s="12">
        <v>0</v>
      </c>
      <c r="R546" s="12">
        <v>0</v>
      </c>
      <c r="S546" s="13">
        <v>0</v>
      </c>
    </row>
    <row r="547" spans="1:19" ht="12.75">
      <c r="A547" s="59"/>
      <c r="B547" s="5" t="s">
        <v>909</v>
      </c>
      <c r="C547" s="14">
        <v>0.9803793064090338</v>
      </c>
      <c r="D547" s="15">
        <v>0</v>
      </c>
      <c r="E547" s="15">
        <v>0.9165617104429534</v>
      </c>
      <c r="F547" s="15">
        <v>0</v>
      </c>
      <c r="G547" s="15">
        <v>0</v>
      </c>
      <c r="H547" s="15">
        <v>0.904376867013455</v>
      </c>
      <c r="I547" s="15">
        <v>0</v>
      </c>
      <c r="J547" s="14">
        <v>0.9369146606073996</v>
      </c>
      <c r="K547" s="14">
        <v>0.6986059092800666</v>
      </c>
      <c r="L547" s="15">
        <v>0</v>
      </c>
      <c r="M547" s="292">
        <v>0.632080681256721</v>
      </c>
      <c r="N547" s="367">
        <v>0.75457444134263</v>
      </c>
      <c r="O547" s="14">
        <v>0.7261551372415979</v>
      </c>
      <c r="P547" s="14">
        <v>0</v>
      </c>
      <c r="Q547" s="15">
        <v>0</v>
      </c>
      <c r="R547" s="15">
        <v>0</v>
      </c>
      <c r="S547" s="16">
        <v>0</v>
      </c>
    </row>
    <row r="548" spans="1:19" ht="13.5" thickBot="1">
      <c r="A548" s="59"/>
      <c r="B548" s="5" t="s">
        <v>955</v>
      </c>
      <c r="C548" s="14">
        <v>-0.9437067891965412</v>
      </c>
      <c r="D548" s="15">
        <v>0</v>
      </c>
      <c r="E548" s="15">
        <v>-1.0672244343908344</v>
      </c>
      <c r="F548" s="15">
        <v>0</v>
      </c>
      <c r="G548" s="15">
        <v>0</v>
      </c>
      <c r="H548" s="15">
        <v>5.302794302807257</v>
      </c>
      <c r="I548" s="15">
        <v>0</v>
      </c>
      <c r="J548" s="14">
        <v>2.229880939074347</v>
      </c>
      <c r="K548" s="14">
        <v>1.1988871258675537</v>
      </c>
      <c r="L548" s="15">
        <v>0</v>
      </c>
      <c r="M548" s="292">
        <v>-10.01108093926768</v>
      </c>
      <c r="N548" s="367">
        <v>-10.319082606649987</v>
      </c>
      <c r="O548" s="14">
        <v>-6.961979405576102</v>
      </c>
      <c r="P548" s="14">
        <v>0</v>
      </c>
      <c r="Q548" s="15">
        <v>0</v>
      </c>
      <c r="R548" s="15">
        <v>0</v>
      </c>
      <c r="S548" s="16">
        <v>0</v>
      </c>
    </row>
    <row r="549" spans="1:19" ht="12.75">
      <c r="A549" s="59"/>
      <c r="B549" s="5" t="s">
        <v>911</v>
      </c>
      <c r="C549" s="14">
        <v>0.00151816522795925</v>
      </c>
      <c r="D549" s="15">
        <v>0</v>
      </c>
      <c r="E549" s="15">
        <v>0.030937631208703787</v>
      </c>
      <c r="F549" s="15">
        <v>0</v>
      </c>
      <c r="G549" s="15">
        <v>0</v>
      </c>
      <c r="H549" s="291">
        <v>0.12868854067451482</v>
      </c>
      <c r="I549" s="15">
        <v>0</v>
      </c>
      <c r="J549" s="14">
        <v>0.06531438843497092</v>
      </c>
      <c r="K549" s="14">
        <v>0.22749616173605647</v>
      </c>
      <c r="L549" s="15">
        <v>0</v>
      </c>
      <c r="M549" s="292">
        <v>0.25611269139986687</v>
      </c>
      <c r="N549" s="367">
        <v>0.08470444254069269</v>
      </c>
      <c r="O549" s="14">
        <v>0.14908473134105255</v>
      </c>
      <c r="P549" s="14">
        <v>0</v>
      </c>
      <c r="Q549" s="15">
        <v>0</v>
      </c>
      <c r="R549" s="15">
        <v>0</v>
      </c>
      <c r="S549" s="16">
        <v>0</v>
      </c>
    </row>
    <row r="550" spans="1:19" ht="12.75">
      <c r="A550" s="59"/>
      <c r="B550" s="5" t="s">
        <v>913</v>
      </c>
      <c r="C550" s="14">
        <v>0.0006369637814293762</v>
      </c>
      <c r="D550" s="15">
        <v>0</v>
      </c>
      <c r="E550" s="15">
        <v>0.04215041944323586</v>
      </c>
      <c r="F550" s="15">
        <v>0</v>
      </c>
      <c r="G550" s="15">
        <v>0</v>
      </c>
      <c r="H550" s="292">
        <v>0.07512915549573991</v>
      </c>
      <c r="I550" s="15">
        <v>0</v>
      </c>
      <c r="J550" s="14">
        <v>0.039205760010300364</v>
      </c>
      <c r="K550" s="14">
        <v>0.19460049937578028</v>
      </c>
      <c r="L550" s="15">
        <v>0</v>
      </c>
      <c r="M550" s="292">
        <v>0.3337692911326184</v>
      </c>
      <c r="N550" s="367">
        <v>0.177850839474485</v>
      </c>
      <c r="O550" s="14">
        <v>0.20467277621294433</v>
      </c>
      <c r="P550" s="14">
        <v>0</v>
      </c>
      <c r="Q550" s="15">
        <v>0</v>
      </c>
      <c r="R550" s="15">
        <v>0</v>
      </c>
      <c r="S550" s="16">
        <v>0</v>
      </c>
    </row>
    <row r="551" spans="1:19" ht="13.5" thickBot="1">
      <c r="A551" s="59"/>
      <c r="B551" s="5" t="s">
        <v>963</v>
      </c>
      <c r="C551" s="14">
        <v>-0.08812014465298737</v>
      </c>
      <c r="D551" s="15">
        <v>0</v>
      </c>
      <c r="E551" s="15">
        <v>1.1212788234532072</v>
      </c>
      <c r="F551" s="15">
        <v>0</v>
      </c>
      <c r="G551" s="15">
        <v>0</v>
      </c>
      <c r="H551" s="295">
        <v>-5.355938517877491</v>
      </c>
      <c r="I551" s="15">
        <v>0</v>
      </c>
      <c r="J551" s="14">
        <v>-2.6108628424670557</v>
      </c>
      <c r="K551" s="14">
        <v>-3.289566236027619</v>
      </c>
      <c r="L551" s="15">
        <v>0</v>
      </c>
      <c r="M551" s="292">
        <v>7.765659973275152</v>
      </c>
      <c r="N551" s="367">
        <v>9.31463969337923</v>
      </c>
      <c r="O551" s="14">
        <v>5.558804487189178</v>
      </c>
      <c r="P551" s="14">
        <v>0</v>
      </c>
      <c r="Q551" s="15">
        <v>0</v>
      </c>
      <c r="R551" s="15">
        <v>0</v>
      </c>
      <c r="S551" s="16">
        <v>0</v>
      </c>
    </row>
    <row r="552" spans="1:19" ht="12.75">
      <c r="A552" s="59"/>
      <c r="B552" s="5" t="s">
        <v>917</v>
      </c>
      <c r="C552" s="14">
        <v>0.0075478407665464375</v>
      </c>
      <c r="D552" s="15">
        <v>0</v>
      </c>
      <c r="E552" s="15">
        <v>0.038075384694711875</v>
      </c>
      <c r="F552" s="15">
        <v>0</v>
      </c>
      <c r="G552" s="15">
        <v>0</v>
      </c>
      <c r="H552" s="15">
        <v>0.010152590752176257</v>
      </c>
      <c r="I552" s="15">
        <v>0</v>
      </c>
      <c r="J552" s="14">
        <v>0.014474269387269532</v>
      </c>
      <c r="K552" s="14">
        <v>0.07861022590924925</v>
      </c>
      <c r="L552" s="15">
        <v>0</v>
      </c>
      <c r="M552" s="292">
        <v>0.008291472492888701</v>
      </c>
      <c r="N552" s="367">
        <v>0.03026312568841023</v>
      </c>
      <c r="O552" s="14">
        <v>0.036860835470110036</v>
      </c>
      <c r="P552" s="14">
        <v>0</v>
      </c>
      <c r="Q552" s="15">
        <v>0</v>
      </c>
      <c r="R552" s="15">
        <v>0</v>
      </c>
      <c r="S552" s="16">
        <v>0</v>
      </c>
    </row>
    <row r="553" spans="1:19" ht="12.75">
      <c r="A553" s="59"/>
      <c r="B553" s="5" t="s">
        <v>919</v>
      </c>
      <c r="C553" s="14">
        <v>0.018085353146711537</v>
      </c>
      <c r="D553" s="15">
        <v>0</v>
      </c>
      <c r="E553" s="15">
        <v>0.04046348668391765</v>
      </c>
      <c r="F553" s="15">
        <v>0</v>
      </c>
      <c r="G553" s="15">
        <v>0</v>
      </c>
      <c r="H553" s="15">
        <v>0.01675193955772031</v>
      </c>
      <c r="I553" s="15">
        <v>0</v>
      </c>
      <c r="J553" s="14">
        <v>0.021826822206062878</v>
      </c>
      <c r="K553" s="14">
        <v>0.10679359134415314</v>
      </c>
      <c r="L553" s="15">
        <v>0</v>
      </c>
      <c r="M553" s="292">
        <v>0.03415002761066062</v>
      </c>
      <c r="N553" s="367">
        <v>0.031058571371869334</v>
      </c>
      <c r="O553" s="14">
        <v>0.04453153945389048</v>
      </c>
      <c r="P553" s="14">
        <v>0</v>
      </c>
      <c r="Q553" s="15">
        <v>0</v>
      </c>
      <c r="R553" s="15">
        <v>0</v>
      </c>
      <c r="S553" s="16">
        <v>0</v>
      </c>
    </row>
    <row r="554" spans="1:19" ht="13.5" thickBot="1">
      <c r="A554" s="59"/>
      <c r="B554" s="5" t="s">
        <v>965</v>
      </c>
      <c r="C554" s="14">
        <v>1.05375123801651</v>
      </c>
      <c r="D554" s="15">
        <v>0</v>
      </c>
      <c r="E554" s="15">
        <v>0.23881019892057764</v>
      </c>
      <c r="F554" s="15">
        <v>0</v>
      </c>
      <c r="G554" s="15">
        <v>0</v>
      </c>
      <c r="H554" s="15">
        <v>0.6599348805544055</v>
      </c>
      <c r="I554" s="15">
        <v>0</v>
      </c>
      <c r="J554" s="14">
        <v>0.7352552818793345</v>
      </c>
      <c r="K554" s="14">
        <v>2.818336543490389</v>
      </c>
      <c r="L554" s="15">
        <v>0</v>
      </c>
      <c r="M554" s="295">
        <v>2.5858555117771918</v>
      </c>
      <c r="N554" s="369">
        <v>0.07954456834591041</v>
      </c>
      <c r="O554" s="14">
        <v>0.7670703983780447</v>
      </c>
      <c r="P554" s="14">
        <v>0</v>
      </c>
      <c r="Q554" s="15">
        <v>0</v>
      </c>
      <c r="R554" s="15">
        <v>0</v>
      </c>
      <c r="S554" s="16">
        <v>0</v>
      </c>
    </row>
    <row r="555" spans="1:19" ht="12.75">
      <c r="A555" s="59"/>
      <c r="B555" s="5" t="s">
        <v>921</v>
      </c>
      <c r="C555" s="14">
        <v>0</v>
      </c>
      <c r="D555" s="15">
        <v>0</v>
      </c>
      <c r="E555" s="15">
        <v>0.002629698652739822</v>
      </c>
      <c r="F555" s="15">
        <v>0</v>
      </c>
      <c r="G555" s="15">
        <v>0</v>
      </c>
      <c r="H555" s="15">
        <v>0.006807639650953749</v>
      </c>
      <c r="I555" s="15">
        <v>0</v>
      </c>
      <c r="J555" s="14">
        <v>0.0036132070186408005</v>
      </c>
      <c r="K555" s="14">
        <v>0</v>
      </c>
      <c r="L555" s="15">
        <v>0</v>
      </c>
      <c r="M555" s="15">
        <v>0</v>
      </c>
      <c r="N555" s="15">
        <v>0.026190184799902094</v>
      </c>
      <c r="O555" s="14">
        <v>0.0153790431073141</v>
      </c>
      <c r="P555" s="14">
        <v>0</v>
      </c>
      <c r="Q555" s="15">
        <v>0</v>
      </c>
      <c r="R555" s="15">
        <v>0</v>
      </c>
      <c r="S555" s="16">
        <v>0</v>
      </c>
    </row>
    <row r="556" spans="1:19" ht="12.75">
      <c r="A556" s="59"/>
      <c r="B556" s="5" t="s">
        <v>923</v>
      </c>
      <c r="C556" s="14">
        <v>0</v>
      </c>
      <c r="D556" s="15">
        <v>0</v>
      </c>
      <c r="E556" s="15">
        <v>0.0008243834298930591</v>
      </c>
      <c r="F556" s="15">
        <v>0</v>
      </c>
      <c r="G556" s="15">
        <v>0</v>
      </c>
      <c r="H556" s="15">
        <v>0.0028448033382823656</v>
      </c>
      <c r="I556" s="15">
        <v>0</v>
      </c>
      <c r="J556" s="14">
        <v>0.001327049721202509</v>
      </c>
      <c r="K556" s="14">
        <v>0</v>
      </c>
      <c r="L556" s="15">
        <v>0</v>
      </c>
      <c r="M556" s="15">
        <v>0</v>
      </c>
      <c r="N556" s="15">
        <v>0.0344125001653811</v>
      </c>
      <c r="O556" s="14">
        <v>0.02322103731346615</v>
      </c>
      <c r="P556" s="14">
        <v>0</v>
      </c>
      <c r="Q556" s="15">
        <v>0</v>
      </c>
      <c r="R556" s="15">
        <v>0</v>
      </c>
      <c r="S556" s="16">
        <v>0</v>
      </c>
    </row>
    <row r="557" spans="1:19" ht="12.75">
      <c r="A557" s="59"/>
      <c r="B557" s="5" t="s">
        <v>971</v>
      </c>
      <c r="C557" s="14">
        <v>0</v>
      </c>
      <c r="D557" s="15">
        <v>0</v>
      </c>
      <c r="E557" s="15">
        <v>-0.18053152228467628</v>
      </c>
      <c r="F557" s="15">
        <v>0</v>
      </c>
      <c r="G557" s="15">
        <v>0</v>
      </c>
      <c r="H557" s="15">
        <v>-0.39628363126713834</v>
      </c>
      <c r="I557" s="15">
        <v>0</v>
      </c>
      <c r="J557" s="14">
        <v>-0.22861572974382915</v>
      </c>
      <c r="K557" s="14">
        <v>0</v>
      </c>
      <c r="L557" s="15">
        <v>0</v>
      </c>
      <c r="M557" s="15">
        <v>0</v>
      </c>
      <c r="N557" s="15">
        <v>0.8222315365479009</v>
      </c>
      <c r="O557" s="14">
        <v>0.7841994206152049</v>
      </c>
      <c r="P557" s="14">
        <v>0</v>
      </c>
      <c r="Q557" s="15">
        <v>0</v>
      </c>
      <c r="R557" s="15">
        <v>0</v>
      </c>
      <c r="S557" s="16">
        <v>0</v>
      </c>
    </row>
    <row r="558" spans="1:19" ht="12.75">
      <c r="A558" s="59"/>
      <c r="B558" s="5" t="s">
        <v>925</v>
      </c>
      <c r="C558" s="14">
        <v>0.0011176197044950977</v>
      </c>
      <c r="D558" s="15">
        <v>0</v>
      </c>
      <c r="E558" s="15">
        <v>0.001123330656982697</v>
      </c>
      <c r="F558" s="15">
        <v>0</v>
      </c>
      <c r="G558" s="15">
        <v>0</v>
      </c>
      <c r="H558" s="15">
        <v>0.0030023049369727285</v>
      </c>
      <c r="I558" s="15">
        <v>0</v>
      </c>
      <c r="J558" s="14">
        <v>0.0019822839424625833</v>
      </c>
      <c r="K558" s="14">
        <v>0.00727657433330323</v>
      </c>
      <c r="L558" s="15">
        <v>0</v>
      </c>
      <c r="M558" s="15">
        <v>0.0034043454578466382</v>
      </c>
      <c r="N558" s="15">
        <v>0.0010769795618651328</v>
      </c>
      <c r="O558" s="14">
        <v>0.0029004587841644724</v>
      </c>
      <c r="P558" s="14">
        <v>0</v>
      </c>
      <c r="Q558" s="15">
        <v>0</v>
      </c>
      <c r="R558" s="15">
        <v>0</v>
      </c>
      <c r="S558" s="16">
        <v>0</v>
      </c>
    </row>
    <row r="559" spans="1:19" ht="12.75">
      <c r="A559" s="59"/>
      <c r="B559" s="5" t="s">
        <v>927</v>
      </c>
      <c r="C559" s="14">
        <v>0.0008983766628252474</v>
      </c>
      <c r="D559" s="15">
        <v>0</v>
      </c>
      <c r="E559" s="15">
        <v>0</v>
      </c>
      <c r="F559" s="15">
        <v>0</v>
      </c>
      <c r="G559" s="15">
        <v>0</v>
      </c>
      <c r="H559" s="15">
        <v>0.0008972345948024482</v>
      </c>
      <c r="I559" s="15">
        <v>0</v>
      </c>
      <c r="J559" s="14">
        <v>0.0007257074550346686</v>
      </c>
      <c r="K559" s="14">
        <v>0</v>
      </c>
      <c r="L559" s="15">
        <v>0</v>
      </c>
      <c r="M559" s="15">
        <v>0</v>
      </c>
      <c r="N559" s="15">
        <v>0.0021036476456346</v>
      </c>
      <c r="O559" s="14">
        <v>0.0014195097781011601</v>
      </c>
      <c r="P559" s="14">
        <v>0</v>
      </c>
      <c r="Q559" s="15">
        <v>0</v>
      </c>
      <c r="R559" s="15">
        <v>0</v>
      </c>
      <c r="S559" s="16">
        <v>0</v>
      </c>
    </row>
    <row r="560" spans="1:19" ht="12.75">
      <c r="A560" s="59"/>
      <c r="B560" s="5" t="s">
        <v>973</v>
      </c>
      <c r="C560" s="14">
        <v>-0.021924304166985036</v>
      </c>
      <c r="D560" s="15">
        <v>0</v>
      </c>
      <c r="E560" s="15">
        <v>-0.1123330656982697</v>
      </c>
      <c r="F560" s="15">
        <v>0</v>
      </c>
      <c r="G560" s="15">
        <v>0</v>
      </c>
      <c r="H560" s="15">
        <v>-0.21050703421702804</v>
      </c>
      <c r="I560" s="15">
        <v>0</v>
      </c>
      <c r="J560" s="14">
        <v>-0.12565764874279145</v>
      </c>
      <c r="K560" s="14">
        <v>-0.727657433330323</v>
      </c>
      <c r="L560" s="15">
        <v>0</v>
      </c>
      <c r="M560" s="15">
        <v>-0.3404345457846638</v>
      </c>
      <c r="N560" s="15">
        <v>0.10266680837694674</v>
      </c>
      <c r="O560" s="14">
        <v>-0.14809490060633124</v>
      </c>
      <c r="P560" s="14">
        <v>0</v>
      </c>
      <c r="Q560" s="15">
        <v>0</v>
      </c>
      <c r="R560" s="15">
        <v>0</v>
      </c>
      <c r="S560" s="16">
        <v>0</v>
      </c>
    </row>
    <row r="561" spans="1:19" ht="12.75">
      <c r="A561" s="59"/>
      <c r="B561" s="5" t="s">
        <v>929</v>
      </c>
      <c r="C561" s="14">
        <v>0</v>
      </c>
      <c r="D561" s="15">
        <v>0</v>
      </c>
      <c r="E561" s="15">
        <v>0</v>
      </c>
      <c r="F561" s="15">
        <v>0</v>
      </c>
      <c r="G561" s="15">
        <v>0</v>
      </c>
      <c r="H561" s="15">
        <v>0</v>
      </c>
      <c r="I561" s="15">
        <v>0</v>
      </c>
      <c r="J561" s="14">
        <v>0</v>
      </c>
      <c r="K561" s="14">
        <v>0</v>
      </c>
      <c r="L561" s="15">
        <v>0</v>
      </c>
      <c r="M561" s="15">
        <v>0</v>
      </c>
      <c r="N561" s="15">
        <v>0</v>
      </c>
      <c r="O561" s="14">
        <v>0</v>
      </c>
      <c r="P561" s="14">
        <v>0</v>
      </c>
      <c r="Q561" s="15">
        <v>0</v>
      </c>
      <c r="R561" s="15">
        <v>0</v>
      </c>
      <c r="S561" s="16">
        <v>0</v>
      </c>
    </row>
    <row r="562" spans="1:19" ht="12.75">
      <c r="A562" s="59"/>
      <c r="B562" s="5" t="s">
        <v>931</v>
      </c>
      <c r="C562" s="14">
        <v>0</v>
      </c>
      <c r="D562" s="15">
        <v>0</v>
      </c>
      <c r="E562" s="15">
        <v>0</v>
      </c>
      <c r="F562" s="15">
        <v>0</v>
      </c>
      <c r="G562" s="15">
        <v>0</v>
      </c>
      <c r="H562" s="15">
        <v>0</v>
      </c>
      <c r="I562" s="15">
        <v>0</v>
      </c>
      <c r="J562" s="14">
        <v>0</v>
      </c>
      <c r="K562" s="14">
        <v>0</v>
      </c>
      <c r="L562" s="15">
        <v>0</v>
      </c>
      <c r="M562" s="15">
        <v>0</v>
      </c>
      <c r="N562" s="15">
        <v>0</v>
      </c>
      <c r="O562" s="14">
        <v>0</v>
      </c>
      <c r="P562" s="14">
        <v>0</v>
      </c>
      <c r="Q562" s="15">
        <v>0</v>
      </c>
      <c r="R562" s="15">
        <v>0</v>
      </c>
      <c r="S562" s="16">
        <v>0</v>
      </c>
    </row>
    <row r="563" spans="1:19" ht="13.5" thickBot="1">
      <c r="A563" s="59"/>
      <c r="B563" s="5" t="s">
        <v>959</v>
      </c>
      <c r="C563" s="14">
        <v>0</v>
      </c>
      <c r="D563" s="15">
        <v>0</v>
      </c>
      <c r="E563" s="15">
        <v>0</v>
      </c>
      <c r="F563" s="15">
        <v>0</v>
      </c>
      <c r="G563" s="15">
        <v>0</v>
      </c>
      <c r="H563" s="15">
        <v>0</v>
      </c>
      <c r="I563" s="15">
        <v>0</v>
      </c>
      <c r="J563" s="14">
        <v>0</v>
      </c>
      <c r="K563" s="14">
        <v>0</v>
      </c>
      <c r="L563" s="15">
        <v>0</v>
      </c>
      <c r="M563" s="15">
        <v>0</v>
      </c>
      <c r="N563" s="15">
        <v>0</v>
      </c>
      <c r="O563" s="14">
        <v>0</v>
      </c>
      <c r="P563" s="14">
        <v>0</v>
      </c>
      <c r="Q563" s="15">
        <v>0</v>
      </c>
      <c r="R563" s="15">
        <v>0</v>
      </c>
      <c r="S563" s="16">
        <v>0</v>
      </c>
    </row>
    <row r="564" spans="1:19" ht="12.75">
      <c r="A564" s="59"/>
      <c r="B564" s="5" t="s">
        <v>915</v>
      </c>
      <c r="C564" s="14">
        <v>0.7281135630684494</v>
      </c>
      <c r="D564" s="15">
        <v>0</v>
      </c>
      <c r="E564" s="15">
        <v>0.2793957614770275</v>
      </c>
      <c r="F564" s="15">
        <v>0</v>
      </c>
      <c r="G564" s="15">
        <v>0</v>
      </c>
      <c r="H564" s="291">
        <v>0.9140811455847255</v>
      </c>
      <c r="I564" s="15">
        <v>0</v>
      </c>
      <c r="J564" s="14">
        <v>0.5836806369940041</v>
      </c>
      <c r="K564" s="14">
        <v>0</v>
      </c>
      <c r="L564" s="15">
        <v>0</v>
      </c>
      <c r="M564" s="291">
        <v>1</v>
      </c>
      <c r="N564" s="15">
        <v>0</v>
      </c>
      <c r="O564" s="14">
        <v>1</v>
      </c>
      <c r="P564" s="14">
        <v>0</v>
      </c>
      <c r="Q564" s="15">
        <v>0</v>
      </c>
      <c r="R564" s="15">
        <v>0</v>
      </c>
      <c r="S564" s="16">
        <v>0</v>
      </c>
    </row>
    <row r="565" spans="1:19" ht="12.75">
      <c r="A565" s="59"/>
      <c r="B565" s="5" t="s">
        <v>933</v>
      </c>
      <c r="C565" s="14">
        <v>0.7932123497525336</v>
      </c>
      <c r="D565" s="15">
        <v>0</v>
      </c>
      <c r="E565" s="15">
        <v>0.3489903181189488</v>
      </c>
      <c r="F565" s="15">
        <v>0</v>
      </c>
      <c r="G565" s="15">
        <v>0</v>
      </c>
      <c r="H565" s="292">
        <v>0.5308139534883721</v>
      </c>
      <c r="I565" s="15">
        <v>0</v>
      </c>
      <c r="J565" s="14">
        <v>0.6569224588188027</v>
      </c>
      <c r="K565" s="14">
        <v>0</v>
      </c>
      <c r="L565" s="15">
        <v>0</v>
      </c>
      <c r="M565" s="292">
        <v>0</v>
      </c>
      <c r="N565" s="15">
        <v>1</v>
      </c>
      <c r="O565" s="14">
        <v>0.3333333333333333</v>
      </c>
      <c r="P565" s="14">
        <v>0</v>
      </c>
      <c r="Q565" s="15">
        <v>0</v>
      </c>
      <c r="R565" s="15">
        <v>0</v>
      </c>
      <c r="S565" s="16">
        <v>0</v>
      </c>
    </row>
    <row r="566" spans="1:19" ht="13.5" thickBot="1">
      <c r="A566" s="59"/>
      <c r="B566" s="5" t="s">
        <v>957</v>
      </c>
      <c r="C566" s="14">
        <v>6.50987866840842</v>
      </c>
      <c r="D566" s="15">
        <v>0</v>
      </c>
      <c r="E566" s="15">
        <v>6.959455664192133</v>
      </c>
      <c r="F566" s="15">
        <v>0</v>
      </c>
      <c r="G566" s="15">
        <v>0</v>
      </c>
      <c r="H566" s="295">
        <v>-38.32671920963534</v>
      </c>
      <c r="I566" s="15">
        <v>0</v>
      </c>
      <c r="J566" s="14">
        <v>7.324182182479866</v>
      </c>
      <c r="K566" s="14">
        <v>0</v>
      </c>
      <c r="L566" s="15">
        <v>0</v>
      </c>
      <c r="M566" s="292">
        <v>-100</v>
      </c>
      <c r="N566" s="15">
        <v>0</v>
      </c>
      <c r="O566" s="14">
        <v>-66.66666666666667</v>
      </c>
      <c r="P566" s="14">
        <v>0</v>
      </c>
      <c r="Q566" s="15">
        <v>0</v>
      </c>
      <c r="R566" s="15">
        <v>0</v>
      </c>
      <c r="S566" s="16">
        <v>0</v>
      </c>
    </row>
    <row r="567" spans="1:19" ht="12.75">
      <c r="A567" s="59"/>
      <c r="B567" s="5" t="s">
        <v>935</v>
      </c>
      <c r="C567" s="14">
        <v>0.20168858933942097</v>
      </c>
      <c r="D567" s="15">
        <v>0</v>
      </c>
      <c r="E567" s="291">
        <v>0.5030525480937713</v>
      </c>
      <c r="F567" s="15">
        <v>0</v>
      </c>
      <c r="G567" s="15">
        <v>0</v>
      </c>
      <c r="H567" s="15">
        <v>0.08591885441527446</v>
      </c>
      <c r="I567" s="15">
        <v>0</v>
      </c>
      <c r="J567" s="14">
        <v>0.29878338475231686</v>
      </c>
      <c r="K567" s="14">
        <v>0</v>
      </c>
      <c r="L567" s="15">
        <v>0</v>
      </c>
      <c r="M567" s="292">
        <v>0</v>
      </c>
      <c r="N567" s="15">
        <v>0</v>
      </c>
      <c r="O567" s="14">
        <v>0</v>
      </c>
      <c r="P567" s="14">
        <v>0</v>
      </c>
      <c r="Q567" s="15">
        <v>0</v>
      </c>
      <c r="R567" s="15">
        <v>0</v>
      </c>
      <c r="S567" s="16">
        <v>0</v>
      </c>
    </row>
    <row r="568" spans="1:19" ht="12.75">
      <c r="A568" s="59"/>
      <c r="B568" s="5" t="s">
        <v>937</v>
      </c>
      <c r="C568" s="14">
        <v>0.10256893707282583</v>
      </c>
      <c r="D568" s="15">
        <v>0</v>
      </c>
      <c r="E568" s="292">
        <v>0.373222683264177</v>
      </c>
      <c r="F568" s="15">
        <v>0</v>
      </c>
      <c r="G568" s="15">
        <v>0</v>
      </c>
      <c r="H568" s="15">
        <v>0</v>
      </c>
      <c r="I568" s="15">
        <v>0</v>
      </c>
      <c r="J568" s="14">
        <v>0.17835275210928084</v>
      </c>
      <c r="K568" s="14">
        <v>0</v>
      </c>
      <c r="L568" s="15">
        <v>0</v>
      </c>
      <c r="M568" s="292">
        <v>0</v>
      </c>
      <c r="N568" s="15">
        <v>0</v>
      </c>
      <c r="O568" s="14">
        <v>0</v>
      </c>
      <c r="P568" s="14">
        <v>0</v>
      </c>
      <c r="Q568" s="15">
        <v>0</v>
      </c>
      <c r="R568" s="15">
        <v>0</v>
      </c>
      <c r="S568" s="16">
        <v>0</v>
      </c>
    </row>
    <row r="569" spans="1:19" ht="13.5" thickBot="1">
      <c r="A569" s="59"/>
      <c r="B569" s="5" t="s">
        <v>961</v>
      </c>
      <c r="C569" s="14">
        <v>-9.911965226659515</v>
      </c>
      <c r="D569" s="15">
        <v>0</v>
      </c>
      <c r="E569" s="295">
        <v>-12.98298648295943</v>
      </c>
      <c r="F569" s="15">
        <v>0</v>
      </c>
      <c r="G569" s="15">
        <v>0</v>
      </c>
      <c r="H569" s="15">
        <v>-8.591885441527445</v>
      </c>
      <c r="I569" s="15">
        <v>0</v>
      </c>
      <c r="J569" s="14">
        <v>-12.043063264303603</v>
      </c>
      <c r="K569" s="14">
        <v>0</v>
      </c>
      <c r="L569" s="15">
        <v>0</v>
      </c>
      <c r="M569" s="292">
        <v>0</v>
      </c>
      <c r="N569" s="15">
        <v>0</v>
      </c>
      <c r="O569" s="14">
        <v>0</v>
      </c>
      <c r="P569" s="14">
        <v>0</v>
      </c>
      <c r="Q569" s="15">
        <v>0</v>
      </c>
      <c r="R569" s="15">
        <v>0</v>
      </c>
      <c r="S569" s="16">
        <v>0</v>
      </c>
    </row>
    <row r="570" spans="1:19" ht="12.75">
      <c r="A570" s="59"/>
      <c r="B570" s="5" t="s">
        <v>939</v>
      </c>
      <c r="C570" s="14">
        <v>0.016913070261260283</v>
      </c>
      <c r="D570" s="15">
        <v>0</v>
      </c>
      <c r="E570" s="15">
        <v>0.18247044285002859</v>
      </c>
      <c r="F570" s="15">
        <v>0</v>
      </c>
      <c r="G570" s="15">
        <v>0</v>
      </c>
      <c r="H570" s="291">
        <v>0</v>
      </c>
      <c r="I570" s="15">
        <v>0</v>
      </c>
      <c r="J570" s="14">
        <v>0.0707236545365977</v>
      </c>
      <c r="K570" s="14">
        <v>0</v>
      </c>
      <c r="L570" s="15">
        <v>0</v>
      </c>
      <c r="M570" s="292">
        <v>0</v>
      </c>
      <c r="N570" s="15">
        <v>0</v>
      </c>
      <c r="O570" s="14">
        <v>0</v>
      </c>
      <c r="P570" s="14">
        <v>0</v>
      </c>
      <c r="Q570" s="15">
        <v>0</v>
      </c>
      <c r="R570" s="15">
        <v>0</v>
      </c>
      <c r="S570" s="16">
        <v>0</v>
      </c>
    </row>
    <row r="571" spans="1:19" ht="13.5" thickBot="1">
      <c r="A571" s="59"/>
      <c r="B571" s="5" t="s">
        <v>941</v>
      </c>
      <c r="C571" s="14">
        <v>0.06193730850813104</v>
      </c>
      <c r="D571" s="15">
        <v>0</v>
      </c>
      <c r="E571" s="15">
        <v>0.2426002766251729</v>
      </c>
      <c r="F571" s="15">
        <v>0</v>
      </c>
      <c r="G571" s="15">
        <v>0</v>
      </c>
      <c r="H571" s="292">
        <v>0.46918604651162793</v>
      </c>
      <c r="I571" s="15">
        <v>0</v>
      </c>
      <c r="J571" s="14">
        <v>0.12567296102852551</v>
      </c>
      <c r="K571" s="14">
        <v>0</v>
      </c>
      <c r="L571" s="15">
        <v>0</v>
      </c>
      <c r="M571" s="295">
        <v>1</v>
      </c>
      <c r="N571" s="15">
        <v>0</v>
      </c>
      <c r="O571" s="14">
        <v>0.6666666666666666</v>
      </c>
      <c r="P571" s="14">
        <v>0</v>
      </c>
      <c r="Q571" s="15">
        <v>0</v>
      </c>
      <c r="R571" s="15">
        <v>0</v>
      </c>
      <c r="S571" s="16">
        <v>0</v>
      </c>
    </row>
    <row r="572" spans="1:19" ht="13.5" thickBot="1">
      <c r="A572" s="59"/>
      <c r="B572" s="5" t="s">
        <v>967</v>
      </c>
      <c r="C572" s="14">
        <v>4.502423824687075</v>
      </c>
      <c r="D572" s="15">
        <v>0</v>
      </c>
      <c r="E572" s="15">
        <v>6.012983377514431</v>
      </c>
      <c r="F572" s="15">
        <v>0</v>
      </c>
      <c r="G572" s="15">
        <v>0</v>
      </c>
      <c r="H572" s="295">
        <v>0</v>
      </c>
      <c r="I572" s="15">
        <v>0</v>
      </c>
      <c r="J572" s="14">
        <v>5.494930649192782</v>
      </c>
      <c r="K572" s="14">
        <v>0</v>
      </c>
      <c r="L572" s="15">
        <v>0</v>
      </c>
      <c r="M572" s="15">
        <v>0</v>
      </c>
      <c r="N572" s="15">
        <v>0</v>
      </c>
      <c r="O572" s="14">
        <v>0</v>
      </c>
      <c r="P572" s="14">
        <v>0</v>
      </c>
      <c r="Q572" s="15">
        <v>0</v>
      </c>
      <c r="R572" s="15">
        <v>0</v>
      </c>
      <c r="S572" s="16">
        <v>0</v>
      </c>
    </row>
    <row r="573" spans="1:19" ht="12.75">
      <c r="A573" s="59"/>
      <c r="B573" s="5" t="s">
        <v>943</v>
      </c>
      <c r="C573" s="14">
        <v>0.03061927021053013</v>
      </c>
      <c r="D573" s="15">
        <v>0</v>
      </c>
      <c r="E573" s="15">
        <v>0.03253592046774997</v>
      </c>
      <c r="F573" s="15">
        <v>0</v>
      </c>
      <c r="G573" s="15">
        <v>0</v>
      </c>
      <c r="H573" s="15">
        <v>0</v>
      </c>
      <c r="I573" s="15">
        <v>0</v>
      </c>
      <c r="J573" s="14">
        <v>0.030935584943559396</v>
      </c>
      <c r="K573" s="14">
        <v>0</v>
      </c>
      <c r="L573" s="15">
        <v>0</v>
      </c>
      <c r="M573" s="15">
        <v>0</v>
      </c>
      <c r="N573" s="15">
        <v>0</v>
      </c>
      <c r="O573" s="14">
        <v>0</v>
      </c>
      <c r="P573" s="14">
        <v>0</v>
      </c>
      <c r="Q573" s="15">
        <v>0</v>
      </c>
      <c r="R573" s="15">
        <v>0</v>
      </c>
      <c r="S573" s="16">
        <v>0</v>
      </c>
    </row>
    <row r="574" spans="1:19" ht="12.75">
      <c r="A574" s="59"/>
      <c r="B574" s="5" t="s">
        <v>945</v>
      </c>
      <c r="C574" s="14">
        <v>0.04192788121612067</v>
      </c>
      <c r="D574" s="15">
        <v>0</v>
      </c>
      <c r="E574" s="15">
        <v>0.035186721991701246</v>
      </c>
      <c r="F574" s="15">
        <v>0</v>
      </c>
      <c r="G574" s="15">
        <v>0</v>
      </c>
      <c r="H574" s="15">
        <v>0</v>
      </c>
      <c r="I574" s="15">
        <v>0</v>
      </c>
      <c r="J574" s="14">
        <v>0.03881076737645641</v>
      </c>
      <c r="K574" s="14">
        <v>0</v>
      </c>
      <c r="L574" s="15">
        <v>0</v>
      </c>
      <c r="M574" s="15">
        <v>0</v>
      </c>
      <c r="N574" s="15">
        <v>0</v>
      </c>
      <c r="O574" s="14">
        <v>0</v>
      </c>
      <c r="P574" s="14">
        <v>0</v>
      </c>
      <c r="Q574" s="15">
        <v>0</v>
      </c>
      <c r="R574" s="15">
        <v>0</v>
      </c>
      <c r="S574" s="16">
        <v>0</v>
      </c>
    </row>
    <row r="575" spans="1:19" ht="12.75">
      <c r="A575" s="59"/>
      <c r="B575" s="5" t="s">
        <v>969</v>
      </c>
      <c r="C575" s="14">
        <v>1.130861100559054</v>
      </c>
      <c r="D575" s="15">
        <v>0</v>
      </c>
      <c r="E575" s="15">
        <v>0.26508015239512794</v>
      </c>
      <c r="F575" s="15">
        <v>0</v>
      </c>
      <c r="G575" s="15">
        <v>0</v>
      </c>
      <c r="H575" s="15">
        <v>0</v>
      </c>
      <c r="I575" s="15">
        <v>0</v>
      </c>
      <c r="J575" s="14">
        <v>0.7875182432897014</v>
      </c>
      <c r="K575" s="14">
        <v>0</v>
      </c>
      <c r="L575" s="15">
        <v>0</v>
      </c>
      <c r="M575" s="15">
        <v>0</v>
      </c>
      <c r="N575" s="15">
        <v>0</v>
      </c>
      <c r="O575" s="14">
        <v>0</v>
      </c>
      <c r="P575" s="14">
        <v>0</v>
      </c>
      <c r="Q575" s="15">
        <v>0</v>
      </c>
      <c r="R575" s="15">
        <v>0</v>
      </c>
      <c r="S575" s="16">
        <v>0</v>
      </c>
    </row>
    <row r="576" spans="1:19" ht="12.75">
      <c r="A576" s="59"/>
      <c r="B576" s="5" t="s">
        <v>947</v>
      </c>
      <c r="C576" s="14">
        <v>0.022665507120339167</v>
      </c>
      <c r="D576" s="15">
        <v>0</v>
      </c>
      <c r="E576" s="15">
        <v>0.0025453271114226164</v>
      </c>
      <c r="F576" s="15">
        <v>0</v>
      </c>
      <c r="G576" s="15">
        <v>0</v>
      </c>
      <c r="H576" s="15">
        <v>0</v>
      </c>
      <c r="I576" s="15">
        <v>0</v>
      </c>
      <c r="J576" s="14">
        <v>0.01587673877352193</v>
      </c>
      <c r="K576" s="14">
        <v>0</v>
      </c>
      <c r="L576" s="15">
        <v>0</v>
      </c>
      <c r="M576" s="15">
        <v>0</v>
      </c>
      <c r="N576" s="15">
        <v>0</v>
      </c>
      <c r="O576" s="14">
        <v>0</v>
      </c>
      <c r="P576" s="14">
        <v>0</v>
      </c>
      <c r="Q576" s="15">
        <v>0</v>
      </c>
      <c r="R576" s="15">
        <v>0</v>
      </c>
      <c r="S576" s="16">
        <v>0</v>
      </c>
    </row>
    <row r="577" spans="1:19" ht="12.75">
      <c r="A577" s="59"/>
      <c r="B577" s="5" t="s">
        <v>949</v>
      </c>
      <c r="C577" s="293">
        <v>0.00025925053028517557</v>
      </c>
      <c r="D577" s="15">
        <v>0</v>
      </c>
      <c r="E577" s="15">
        <v>0</v>
      </c>
      <c r="F577" s="15">
        <v>0</v>
      </c>
      <c r="G577" s="15">
        <v>0</v>
      </c>
      <c r="H577" s="15">
        <v>0</v>
      </c>
      <c r="I577" s="15">
        <v>0</v>
      </c>
      <c r="J577" s="293">
        <v>0.00017677782241864204</v>
      </c>
      <c r="K577" s="14">
        <v>0</v>
      </c>
      <c r="L577" s="15">
        <v>0</v>
      </c>
      <c r="M577" s="15">
        <v>0</v>
      </c>
      <c r="N577" s="15">
        <v>0</v>
      </c>
      <c r="O577" s="14">
        <v>0</v>
      </c>
      <c r="P577" s="14">
        <v>0</v>
      </c>
      <c r="Q577" s="15">
        <v>0</v>
      </c>
      <c r="R577" s="15">
        <v>0</v>
      </c>
      <c r="S577" s="16">
        <v>0</v>
      </c>
    </row>
    <row r="578" spans="1:19" ht="12.75">
      <c r="A578" s="59"/>
      <c r="B578" s="5" t="s">
        <v>975</v>
      </c>
      <c r="C578" s="14">
        <v>-2.2406256590053992</v>
      </c>
      <c r="D578" s="15">
        <v>0</v>
      </c>
      <c r="E578" s="15">
        <v>-0.2545327111422616</v>
      </c>
      <c r="F578" s="15">
        <v>0</v>
      </c>
      <c r="G578" s="15">
        <v>0</v>
      </c>
      <c r="H578" s="15">
        <v>0</v>
      </c>
      <c r="I578" s="15">
        <v>0</v>
      </c>
      <c r="J578" s="14">
        <v>-1.5699960951103284</v>
      </c>
      <c r="K578" s="14">
        <v>0</v>
      </c>
      <c r="L578" s="15">
        <v>0</v>
      </c>
      <c r="M578" s="15">
        <v>0</v>
      </c>
      <c r="N578" s="15">
        <v>0</v>
      </c>
      <c r="O578" s="14">
        <v>0</v>
      </c>
      <c r="P578" s="14">
        <v>0</v>
      </c>
      <c r="Q578" s="15">
        <v>0</v>
      </c>
      <c r="R578" s="15">
        <v>0</v>
      </c>
      <c r="S578" s="16">
        <v>0</v>
      </c>
    </row>
    <row r="579" spans="1:19" ht="12.75">
      <c r="A579" s="59"/>
      <c r="B579" s="5" t="s">
        <v>951</v>
      </c>
      <c r="C579" s="14">
        <v>0</v>
      </c>
      <c r="D579" s="15">
        <v>0</v>
      </c>
      <c r="E579" s="15">
        <v>0</v>
      </c>
      <c r="F579" s="15">
        <v>0</v>
      </c>
      <c r="G579" s="15">
        <v>0</v>
      </c>
      <c r="H579" s="15">
        <v>0</v>
      </c>
      <c r="I579" s="15">
        <v>0</v>
      </c>
      <c r="J579" s="14">
        <v>0</v>
      </c>
      <c r="K579" s="14">
        <v>0</v>
      </c>
      <c r="L579" s="15">
        <v>0</v>
      </c>
      <c r="M579" s="15">
        <v>0</v>
      </c>
      <c r="N579" s="15">
        <v>0</v>
      </c>
      <c r="O579" s="14">
        <v>0</v>
      </c>
      <c r="P579" s="14">
        <v>0</v>
      </c>
      <c r="Q579" s="15">
        <v>0</v>
      </c>
      <c r="R579" s="15">
        <v>0</v>
      </c>
      <c r="S579" s="16">
        <v>0</v>
      </c>
    </row>
    <row r="580" spans="1:19" ht="12.75">
      <c r="A580" s="59"/>
      <c r="B580" s="5" t="s">
        <v>953</v>
      </c>
      <c r="C580" s="14">
        <v>9.427292010370022E-05</v>
      </c>
      <c r="D580" s="15">
        <v>0</v>
      </c>
      <c r="E580" s="15">
        <v>0</v>
      </c>
      <c r="F580" s="15">
        <v>0</v>
      </c>
      <c r="G580" s="15">
        <v>0</v>
      </c>
      <c r="H580" s="15">
        <v>0</v>
      </c>
      <c r="I580" s="15">
        <v>0</v>
      </c>
      <c r="J580" s="14">
        <v>6.428284451586983E-05</v>
      </c>
      <c r="K580" s="14">
        <v>0</v>
      </c>
      <c r="L580" s="15">
        <v>0</v>
      </c>
      <c r="M580" s="15">
        <v>0</v>
      </c>
      <c r="N580" s="15">
        <v>0</v>
      </c>
      <c r="O580" s="14">
        <v>0</v>
      </c>
      <c r="P580" s="14">
        <v>0</v>
      </c>
      <c r="Q580" s="15">
        <v>0</v>
      </c>
      <c r="R580" s="15">
        <v>0</v>
      </c>
      <c r="S580" s="16">
        <v>0</v>
      </c>
    </row>
    <row r="581" spans="1:19" s="301" customFormat="1" ht="12.75">
      <c r="A581" s="379"/>
      <c r="B581" s="380" t="s">
        <v>977</v>
      </c>
      <c r="C581" s="376">
        <v>0</v>
      </c>
      <c r="D581" s="377">
        <v>0</v>
      </c>
      <c r="E581" s="377">
        <v>0</v>
      </c>
      <c r="F581" s="377">
        <v>0</v>
      </c>
      <c r="G581" s="377">
        <v>0</v>
      </c>
      <c r="H581" s="377">
        <v>0</v>
      </c>
      <c r="I581" s="377">
        <v>0</v>
      </c>
      <c r="J581" s="376">
        <v>0</v>
      </c>
      <c r="K581" s="376">
        <v>0</v>
      </c>
      <c r="L581" s="377">
        <v>0</v>
      </c>
      <c r="M581" s="377">
        <v>0</v>
      </c>
      <c r="N581" s="377">
        <v>0</v>
      </c>
      <c r="O581" s="376">
        <v>0</v>
      </c>
      <c r="P581" s="376">
        <v>0</v>
      </c>
      <c r="Q581" s="377">
        <v>0</v>
      </c>
      <c r="R581" s="377">
        <v>0</v>
      </c>
      <c r="S581" s="378">
        <v>0</v>
      </c>
    </row>
    <row r="582" spans="1:19" ht="12.75">
      <c r="A582" s="373" t="s">
        <v>908</v>
      </c>
      <c r="B582" s="374"/>
      <c r="C582" s="11">
        <v>0.9328171051137457</v>
      </c>
      <c r="D582" s="12">
        <v>0.8836791267957707</v>
      </c>
      <c r="E582" s="12">
        <v>0.9497616471760395</v>
      </c>
      <c r="F582" s="12">
        <v>0.9548034834455338</v>
      </c>
      <c r="G582" s="12">
        <v>0.9345179533011393</v>
      </c>
      <c r="H582" s="12">
        <v>0.9053635205463947</v>
      </c>
      <c r="I582" s="12">
        <v>0</v>
      </c>
      <c r="J582" s="11">
        <v>0.923480852759981</v>
      </c>
      <c r="K582" s="11">
        <v>0.8162054971218344</v>
      </c>
      <c r="L582" s="12">
        <v>0.8718681792250043</v>
      </c>
      <c r="M582" s="12">
        <v>0.7938673326597543</v>
      </c>
      <c r="N582" s="12">
        <v>0.8041514048924886</v>
      </c>
      <c r="O582" s="11">
        <v>0.8397737426919694</v>
      </c>
      <c r="P582" s="11">
        <v>0.9259876900615194</v>
      </c>
      <c r="Q582" s="12">
        <v>0.9526664798729803</v>
      </c>
      <c r="R582" s="12">
        <v>0</v>
      </c>
      <c r="S582" s="13">
        <v>0.9269890985228791</v>
      </c>
    </row>
    <row r="583" spans="1:19" ht="12.75">
      <c r="A583" s="373" t="s">
        <v>910</v>
      </c>
      <c r="B583" s="374"/>
      <c r="C583" s="11">
        <v>0.9363549022618549</v>
      </c>
      <c r="D583" s="12">
        <v>0.8636747864947594</v>
      </c>
      <c r="E583" s="12">
        <v>0.9455402697702834</v>
      </c>
      <c r="F583" s="12">
        <v>0.940928915299885</v>
      </c>
      <c r="G583" s="12">
        <v>0.91530554132468</v>
      </c>
      <c r="H583" s="12">
        <v>0.9174681975568062</v>
      </c>
      <c r="I583" s="12">
        <v>0.02962822936357908</v>
      </c>
      <c r="J583" s="11">
        <v>0.9196633784293419</v>
      </c>
      <c r="K583" s="11">
        <v>0.8406456321706394</v>
      </c>
      <c r="L583" s="12">
        <v>0.8398003412747542</v>
      </c>
      <c r="M583" s="12">
        <v>0.7785273761959766</v>
      </c>
      <c r="N583" s="12">
        <v>0.790322300698318</v>
      </c>
      <c r="O583" s="11">
        <v>0.8143976571624065</v>
      </c>
      <c r="P583" s="11">
        <v>0.8896660189897805</v>
      </c>
      <c r="Q583" s="12">
        <v>0.914209563301214</v>
      </c>
      <c r="R583" s="12">
        <v>0.9896768150339919</v>
      </c>
      <c r="S583" s="13">
        <v>0.9012129431290342</v>
      </c>
    </row>
    <row r="584" spans="1:19" ht="12.75">
      <c r="A584" s="373" t="s">
        <v>956</v>
      </c>
      <c r="B584" s="374"/>
      <c r="C584" s="11">
        <v>0.3537797148109201</v>
      </c>
      <c r="D584" s="12">
        <v>-2.000434030101128</v>
      </c>
      <c r="E584" s="12">
        <v>-0.42213774057561215</v>
      </c>
      <c r="F584" s="12">
        <v>-1.3874568145648802</v>
      </c>
      <c r="G584" s="12">
        <v>-1.9212411976459287</v>
      </c>
      <c r="H584" s="12">
        <v>1.2104677010411513</v>
      </c>
      <c r="I584" s="12">
        <v>0</v>
      </c>
      <c r="J584" s="11">
        <v>-0.381747433063917</v>
      </c>
      <c r="K584" s="11">
        <v>2.4440135048804934</v>
      </c>
      <c r="L584" s="12">
        <v>-3.2067837950250033</v>
      </c>
      <c r="M584" s="12">
        <v>-1.5339956463777726</v>
      </c>
      <c r="N584" s="12">
        <v>-1.3829104194170605</v>
      </c>
      <c r="O584" s="11">
        <v>-2.537608552956283</v>
      </c>
      <c r="P584" s="11">
        <v>-3.6321671071738892</v>
      </c>
      <c r="Q584" s="12">
        <v>-3.845691657176631</v>
      </c>
      <c r="R584" s="12">
        <v>0</v>
      </c>
      <c r="S584" s="13">
        <v>-2.5776155393844924</v>
      </c>
    </row>
    <row r="585" spans="1:19" ht="12.75">
      <c r="A585" s="373" t="s">
        <v>912</v>
      </c>
      <c r="B585" s="374"/>
      <c r="C585" s="11">
        <v>0.02252295412007171</v>
      </c>
      <c r="D585" s="12">
        <v>0.07189618629613843</v>
      </c>
      <c r="E585" s="12">
        <v>0.027026736688307722</v>
      </c>
      <c r="F585" s="12">
        <v>0.022438490813542447</v>
      </c>
      <c r="G585" s="12">
        <v>0.02058680630377426</v>
      </c>
      <c r="H585" s="12">
        <v>0.06333161541407072</v>
      </c>
      <c r="I585" s="12">
        <v>0.29951611264309014</v>
      </c>
      <c r="J585" s="11">
        <v>0.035735320840098714</v>
      </c>
      <c r="K585" s="11">
        <v>0.10552726720900998</v>
      </c>
      <c r="L585" s="12">
        <v>0.05345626996114429</v>
      </c>
      <c r="M585" s="12">
        <v>0.13970899588482802</v>
      </c>
      <c r="N585" s="12">
        <v>0.12627284605631184</v>
      </c>
      <c r="O585" s="11">
        <v>0.08860498687672937</v>
      </c>
      <c r="P585" s="11">
        <v>3.0353688769969883E-07</v>
      </c>
      <c r="Q585" s="12">
        <v>5.136826375268516E-05</v>
      </c>
      <c r="R585" s="12">
        <v>0</v>
      </c>
      <c r="S585" s="13">
        <v>2.220289855919256E-06</v>
      </c>
    </row>
    <row r="586" spans="1:19" ht="12.75">
      <c r="A586" s="373" t="s">
        <v>914</v>
      </c>
      <c r="B586" s="374"/>
      <c r="C586" s="11">
        <v>0.021039404041344363</v>
      </c>
      <c r="D586" s="12">
        <v>0.06897663383835934</v>
      </c>
      <c r="E586" s="12">
        <v>0.029381647563216737</v>
      </c>
      <c r="F586" s="12">
        <v>0.024756186370981054</v>
      </c>
      <c r="G586" s="12">
        <v>0.023145479227372236</v>
      </c>
      <c r="H586" s="12">
        <v>0.03980493340569846</v>
      </c>
      <c r="I586" s="12">
        <v>0.25238500315059864</v>
      </c>
      <c r="J586" s="11">
        <v>0.03378477509663364</v>
      </c>
      <c r="K586" s="11">
        <v>0.08283403402806999</v>
      </c>
      <c r="L586" s="12">
        <v>0.06721748555998366</v>
      </c>
      <c r="M586" s="12">
        <v>0.13932861851823133</v>
      </c>
      <c r="N586" s="12">
        <v>0.12479354891274679</v>
      </c>
      <c r="O586" s="11">
        <v>0.09728747505193225</v>
      </c>
      <c r="P586" s="11">
        <v>8.212891232893169E-05</v>
      </c>
      <c r="Q586" s="12">
        <v>0.0002945691642732922</v>
      </c>
      <c r="R586" s="12">
        <v>0.010323184966008132</v>
      </c>
      <c r="S586" s="13">
        <v>0.0011801504950264678</v>
      </c>
    </row>
    <row r="587" spans="1:19" ht="12.75">
      <c r="A587" s="373" t="s">
        <v>964</v>
      </c>
      <c r="B587" s="374"/>
      <c r="C587" s="11">
        <v>-0.14835500787273476</v>
      </c>
      <c r="D587" s="12">
        <v>-0.2919552457779098</v>
      </c>
      <c r="E587" s="12">
        <v>0.2354910874909015</v>
      </c>
      <c r="F587" s="12">
        <v>0.2317695557438607</v>
      </c>
      <c r="G587" s="12">
        <v>0.2558672923597977</v>
      </c>
      <c r="H587" s="12">
        <v>-2.3526682008372255</v>
      </c>
      <c r="I587" s="12">
        <v>-4.71311094924915</v>
      </c>
      <c r="J587" s="11">
        <v>-0.19505457434650722</v>
      </c>
      <c r="K587" s="11">
        <v>-2.269323318093999</v>
      </c>
      <c r="L587" s="12">
        <v>1.3761215598839374</v>
      </c>
      <c r="M587" s="12">
        <v>-0.038037736659668475</v>
      </c>
      <c r="N587" s="12">
        <v>-0.14792971435650532</v>
      </c>
      <c r="O587" s="11">
        <v>0.8682488175202883</v>
      </c>
      <c r="P587" s="11">
        <v>0.008182537544123198</v>
      </c>
      <c r="Q587" s="12">
        <v>0.024320090052060702</v>
      </c>
      <c r="R587" s="12">
        <v>0</v>
      </c>
      <c r="S587" s="13">
        <v>0.11779302051705486</v>
      </c>
    </row>
    <row r="588" spans="1:19" ht="12.75">
      <c r="A588" s="373" t="s">
        <v>918</v>
      </c>
      <c r="B588" s="374"/>
      <c r="C588" s="11">
        <v>0.017881907147690317</v>
      </c>
      <c r="D588" s="12">
        <v>0.035851913511988916</v>
      </c>
      <c r="E588" s="12">
        <v>0.017287731820280657</v>
      </c>
      <c r="F588" s="12">
        <v>0.016063082578499283</v>
      </c>
      <c r="G588" s="12">
        <v>0.028539113776550974</v>
      </c>
      <c r="H588" s="12">
        <v>0.02154635010391806</v>
      </c>
      <c r="I588" s="12">
        <v>0.7004838873569098</v>
      </c>
      <c r="J588" s="11">
        <v>0.02672631580489921</v>
      </c>
      <c r="K588" s="11">
        <v>0.06796243927347596</v>
      </c>
      <c r="L588" s="12">
        <v>0.055801373000329405</v>
      </c>
      <c r="M588" s="12">
        <v>0.0471558833021437</v>
      </c>
      <c r="N588" s="12">
        <v>0.04116617611845938</v>
      </c>
      <c r="O588" s="11">
        <v>0.051799964828436545</v>
      </c>
      <c r="P588" s="11">
        <v>0.07401200640159296</v>
      </c>
      <c r="Q588" s="12">
        <v>0.04728215186326702</v>
      </c>
      <c r="R588" s="12">
        <v>0</v>
      </c>
      <c r="S588" s="13">
        <v>0.07300868118726495</v>
      </c>
    </row>
    <row r="589" spans="1:19" ht="12.75">
      <c r="A589" s="373" t="s">
        <v>920</v>
      </c>
      <c r="B589" s="374"/>
      <c r="C589" s="11">
        <v>0.019073028929805787</v>
      </c>
      <c r="D589" s="12">
        <v>0.059468383184727754</v>
      </c>
      <c r="E589" s="12">
        <v>0.01869500351639999</v>
      </c>
      <c r="F589" s="12">
        <v>0.02741681463790293</v>
      </c>
      <c r="G589" s="12">
        <v>0.04206062302057737</v>
      </c>
      <c r="H589" s="12">
        <v>0.03520181454597169</v>
      </c>
      <c r="I589" s="12">
        <v>0.7179867674858224</v>
      </c>
      <c r="J589" s="11">
        <v>0.03327207166238395</v>
      </c>
      <c r="K589" s="11">
        <v>0.0689126136223994</v>
      </c>
      <c r="L589" s="12">
        <v>0.07469182163816393</v>
      </c>
      <c r="M589" s="12">
        <v>0.06238641010881701</v>
      </c>
      <c r="N589" s="12">
        <v>0.059963101442620494</v>
      </c>
      <c r="O589" s="11">
        <v>0.06897275997981486</v>
      </c>
      <c r="P589" s="11">
        <v>0.11002758864725075</v>
      </c>
      <c r="Q589" s="12">
        <v>0.08549586753451274</v>
      </c>
      <c r="R589" s="12">
        <v>0</v>
      </c>
      <c r="S589" s="13">
        <v>0.09741474174839895</v>
      </c>
    </row>
    <row r="590" spans="1:19" ht="12.75">
      <c r="A590" s="373" t="s">
        <v>966</v>
      </c>
      <c r="B590" s="374"/>
      <c r="C590" s="11">
        <v>0.11911217821154695</v>
      </c>
      <c r="D590" s="12">
        <v>2.3616469672738836</v>
      </c>
      <c r="E590" s="12">
        <v>0.14072716961193338</v>
      </c>
      <c r="F590" s="12">
        <v>1.1353732059403647</v>
      </c>
      <c r="G590" s="12">
        <v>1.3521509244026397</v>
      </c>
      <c r="H590" s="12">
        <v>1.3655464442053629</v>
      </c>
      <c r="I590" s="12">
        <v>1.7502880128912546</v>
      </c>
      <c r="J590" s="11">
        <v>0.6545755857484736</v>
      </c>
      <c r="K590" s="11">
        <v>0.09501743489234299</v>
      </c>
      <c r="L590" s="12">
        <v>1.8890448637834525</v>
      </c>
      <c r="M590" s="12">
        <v>1.5230526806673306</v>
      </c>
      <c r="N590" s="12">
        <v>1.8796925324161113</v>
      </c>
      <c r="O590" s="11">
        <v>1.7172795151378317</v>
      </c>
      <c r="P590" s="11">
        <v>3.601558224565779</v>
      </c>
      <c r="Q590" s="12">
        <v>3.8213715671245723</v>
      </c>
      <c r="R590" s="12">
        <v>0</v>
      </c>
      <c r="S590" s="13">
        <v>2.440606056113401</v>
      </c>
    </row>
    <row r="591" spans="1:19" ht="12.75">
      <c r="A591" s="373" t="s">
        <v>922</v>
      </c>
      <c r="B591" s="374"/>
      <c r="C591" s="11">
        <v>0.0010253435226299755</v>
      </c>
      <c r="D591" s="12">
        <v>0.00291592230021233</v>
      </c>
      <c r="E591" s="12">
        <v>0.0030151937678557146</v>
      </c>
      <c r="F591" s="12">
        <v>0.004142765185245312</v>
      </c>
      <c r="G591" s="12">
        <v>0.013071336591250073</v>
      </c>
      <c r="H591" s="12">
        <v>0.0078697158930812</v>
      </c>
      <c r="I591" s="12">
        <v>0</v>
      </c>
      <c r="J591" s="11">
        <v>0.003150088804740942</v>
      </c>
      <c r="K591" s="11">
        <v>0.008625268386115081</v>
      </c>
      <c r="L591" s="12">
        <v>0.0019584398505560615</v>
      </c>
      <c r="M591" s="12">
        <v>0.007860654483625554</v>
      </c>
      <c r="N591" s="12">
        <v>0.01584835719804964</v>
      </c>
      <c r="O591" s="11">
        <v>0.005292147795378021</v>
      </c>
      <c r="P591" s="11">
        <v>0</v>
      </c>
      <c r="Q591" s="12">
        <v>0</v>
      </c>
      <c r="R591" s="12">
        <v>0</v>
      </c>
      <c r="S591" s="13">
        <v>0</v>
      </c>
    </row>
    <row r="592" spans="1:19" ht="12.75">
      <c r="A592" s="373" t="s">
        <v>924</v>
      </c>
      <c r="B592" s="374"/>
      <c r="C592" s="11">
        <v>0.0008348412954102837</v>
      </c>
      <c r="D592" s="12">
        <v>0.0030608690659676327</v>
      </c>
      <c r="E592" s="12">
        <v>0.0031813494742356343</v>
      </c>
      <c r="F592" s="12">
        <v>0.004490984496673442</v>
      </c>
      <c r="G592" s="12">
        <v>0.014538121805283641</v>
      </c>
      <c r="H592" s="12">
        <v>0.006478759189549237</v>
      </c>
      <c r="I592" s="12">
        <v>0</v>
      </c>
      <c r="J592" s="11">
        <v>0.0032236388987917715</v>
      </c>
      <c r="K592" s="11">
        <v>0.007607720178891276</v>
      </c>
      <c r="L592" s="12">
        <v>0.0012832388321516312</v>
      </c>
      <c r="M592" s="12">
        <v>0.006267029515278164</v>
      </c>
      <c r="N592" s="12">
        <v>0.013339070140926366</v>
      </c>
      <c r="O592" s="11">
        <v>0.004331254445877058</v>
      </c>
      <c r="P592" s="11">
        <v>0.00022426345063988727</v>
      </c>
      <c r="Q592" s="12">
        <v>0</v>
      </c>
      <c r="R592" s="12">
        <v>0</v>
      </c>
      <c r="S592" s="13">
        <v>0.0001921646275402865</v>
      </c>
    </row>
    <row r="593" spans="1:19" ht="12.75">
      <c r="A593" s="373" t="s">
        <v>972</v>
      </c>
      <c r="B593" s="374"/>
      <c r="C593" s="11">
        <v>-0.019050222721969177</v>
      </c>
      <c r="D593" s="12">
        <v>0.014494676575530288</v>
      </c>
      <c r="E593" s="12">
        <v>0.016615570637991968</v>
      </c>
      <c r="F593" s="12">
        <v>0.03482193114281301</v>
      </c>
      <c r="G593" s="12">
        <v>0.14667852140335685</v>
      </c>
      <c r="H593" s="12">
        <v>-0.1390956703531963</v>
      </c>
      <c r="I593" s="12">
        <v>0</v>
      </c>
      <c r="J593" s="11">
        <v>0.007355009405082954</v>
      </c>
      <c r="K593" s="11">
        <v>-0.1017548207223805</v>
      </c>
      <c r="L593" s="12">
        <v>-0.06752010184044303</v>
      </c>
      <c r="M593" s="12">
        <v>-0.15936249683473902</v>
      </c>
      <c r="N593" s="12">
        <v>-0.2509287057123274</v>
      </c>
      <c r="O593" s="11">
        <v>-0.09608933495009629</v>
      </c>
      <c r="P593" s="11">
        <v>0</v>
      </c>
      <c r="Q593" s="12">
        <v>0</v>
      </c>
      <c r="R593" s="12">
        <v>0</v>
      </c>
      <c r="S593" s="13">
        <v>0</v>
      </c>
    </row>
    <row r="594" spans="1:19" ht="12.75">
      <c r="A594" s="373" t="s">
        <v>926</v>
      </c>
      <c r="B594" s="374"/>
      <c r="C594" s="11">
        <v>0.024764484036767138</v>
      </c>
      <c r="D594" s="12">
        <v>0.004646010753990143</v>
      </c>
      <c r="E594" s="12">
        <v>0.0029086905475164578</v>
      </c>
      <c r="F594" s="12">
        <v>0.0023145689221565208</v>
      </c>
      <c r="G594" s="12">
        <v>0.0023546719369507032</v>
      </c>
      <c r="H594" s="12">
        <v>0.0014755341002959798</v>
      </c>
      <c r="I594" s="12">
        <v>0</v>
      </c>
      <c r="J594" s="11">
        <v>0.010333130616240423</v>
      </c>
      <c r="K594" s="11">
        <v>0.0016795280095644916</v>
      </c>
      <c r="L594" s="12">
        <v>0.015518443840157771</v>
      </c>
      <c r="M594" s="12">
        <v>0.010333219591534807</v>
      </c>
      <c r="N594" s="12">
        <v>0.011904381324848425</v>
      </c>
      <c r="O594" s="11">
        <v>0.013327305073084158</v>
      </c>
      <c r="P594" s="11">
        <v>0</v>
      </c>
      <c r="Q594" s="12">
        <v>0</v>
      </c>
      <c r="R594" s="12">
        <v>0</v>
      </c>
      <c r="S594" s="13">
        <v>0</v>
      </c>
    </row>
    <row r="595" spans="1:19" ht="12.75">
      <c r="A595" s="373" t="s">
        <v>928</v>
      </c>
      <c r="B595" s="374"/>
      <c r="C595" s="11">
        <v>0.019095267374657665</v>
      </c>
      <c r="D595" s="12">
        <v>0.00445771883048574</v>
      </c>
      <c r="E595" s="12">
        <v>0.003201729675864306</v>
      </c>
      <c r="F595" s="12">
        <v>0.002206368859590082</v>
      </c>
      <c r="G595" s="12">
        <v>0.002625514685354068</v>
      </c>
      <c r="H595" s="12">
        <v>0.0005202453061828651</v>
      </c>
      <c r="I595" s="12">
        <v>0</v>
      </c>
      <c r="J595" s="11">
        <v>0.008594600125718064</v>
      </c>
      <c r="K595" s="11">
        <v>0</v>
      </c>
      <c r="L595" s="12">
        <v>0.01539850997463944</v>
      </c>
      <c r="M595" s="12">
        <v>0.012473918981312228</v>
      </c>
      <c r="N595" s="12">
        <v>0.010998317766536671</v>
      </c>
      <c r="O595" s="11">
        <v>0.013732037137793043</v>
      </c>
      <c r="P595" s="11">
        <v>0</v>
      </c>
      <c r="Q595" s="12">
        <v>0</v>
      </c>
      <c r="R595" s="12">
        <v>0</v>
      </c>
      <c r="S595" s="13">
        <v>0</v>
      </c>
    </row>
    <row r="596" spans="1:19" ht="12.75">
      <c r="A596" s="373" t="s">
        <v>974</v>
      </c>
      <c r="B596" s="374"/>
      <c r="C596" s="11">
        <v>-0.5669216662109473</v>
      </c>
      <c r="D596" s="12">
        <v>-0.018829192350440244</v>
      </c>
      <c r="E596" s="12">
        <v>0.029303912834784812</v>
      </c>
      <c r="F596" s="12">
        <v>-0.010820006256643871</v>
      </c>
      <c r="G596" s="12">
        <v>0.027084274840336476</v>
      </c>
      <c r="H596" s="12">
        <v>-0.09552887941131147</v>
      </c>
      <c r="I596" s="12">
        <v>0</v>
      </c>
      <c r="J596" s="11">
        <v>-0.17385304905223592</v>
      </c>
      <c r="K596" s="11">
        <v>-0.16795280095644916</v>
      </c>
      <c r="L596" s="12">
        <v>-0.01199338655183315</v>
      </c>
      <c r="M596" s="12">
        <v>0.21406993897774215</v>
      </c>
      <c r="N596" s="12">
        <v>-0.09060635583117531</v>
      </c>
      <c r="O596" s="11">
        <v>0.04047320647088855</v>
      </c>
      <c r="P596" s="11">
        <v>0</v>
      </c>
      <c r="Q596" s="12">
        <v>0</v>
      </c>
      <c r="R596" s="12">
        <v>0</v>
      </c>
      <c r="S596" s="13">
        <v>0</v>
      </c>
    </row>
    <row r="597" spans="1:19" ht="12.75">
      <c r="A597" s="373" t="s">
        <v>930</v>
      </c>
      <c r="B597" s="374"/>
      <c r="C597" s="11">
        <v>0.0009882060590951417</v>
      </c>
      <c r="D597" s="12">
        <v>0.001010840341899523</v>
      </c>
      <c r="E597" s="12">
        <v>0</v>
      </c>
      <c r="F597" s="12">
        <v>0.00023760905502264457</v>
      </c>
      <c r="G597" s="12">
        <v>0.0009301180903346865</v>
      </c>
      <c r="H597" s="12">
        <v>0.00041326394223938</v>
      </c>
      <c r="I597" s="12">
        <v>0</v>
      </c>
      <c r="J597" s="11">
        <v>0.0005742911740397071</v>
      </c>
      <c r="K597" s="11">
        <v>0</v>
      </c>
      <c r="L597" s="12">
        <v>0.0013972941228079854</v>
      </c>
      <c r="M597" s="12">
        <v>0.0010739140781137098</v>
      </c>
      <c r="N597" s="12">
        <v>0.0006568344098419734</v>
      </c>
      <c r="O597" s="11">
        <v>0.0012018527344025299</v>
      </c>
      <c r="P597" s="11">
        <v>0</v>
      </c>
      <c r="Q597" s="12">
        <v>0</v>
      </c>
      <c r="R597" s="12">
        <v>0</v>
      </c>
      <c r="S597" s="13">
        <v>0</v>
      </c>
    </row>
    <row r="598" spans="1:19" ht="12.75">
      <c r="A598" s="373" t="s">
        <v>932</v>
      </c>
      <c r="B598" s="374"/>
      <c r="C598" s="11">
        <v>0.0036025560969269455</v>
      </c>
      <c r="D598" s="12">
        <v>0.0003616085857002154</v>
      </c>
      <c r="E598" s="12">
        <v>0</v>
      </c>
      <c r="F598" s="12">
        <v>0.0002007303349675573</v>
      </c>
      <c r="G598" s="12">
        <v>0.0023247199367326925</v>
      </c>
      <c r="H598" s="12">
        <v>0.0005260499957916</v>
      </c>
      <c r="I598" s="12">
        <v>0</v>
      </c>
      <c r="J598" s="11">
        <v>0.0014615357871307511</v>
      </c>
      <c r="K598" s="11">
        <v>0</v>
      </c>
      <c r="L598" s="12">
        <v>0.0016086027203070603</v>
      </c>
      <c r="M598" s="12">
        <v>0.001016646680384574</v>
      </c>
      <c r="N598" s="12">
        <v>0.0005836610388516869</v>
      </c>
      <c r="O598" s="11">
        <v>0.0012788162221761988</v>
      </c>
      <c r="P598" s="11">
        <v>0</v>
      </c>
      <c r="Q598" s="12">
        <v>0</v>
      </c>
      <c r="R598" s="12">
        <v>0</v>
      </c>
      <c r="S598" s="13">
        <v>0</v>
      </c>
    </row>
    <row r="599" spans="1:19" ht="12.75">
      <c r="A599" s="373" t="s">
        <v>960</v>
      </c>
      <c r="B599" s="374"/>
      <c r="C599" s="11">
        <v>0.26143500378318035</v>
      </c>
      <c r="D599" s="12">
        <v>-0.06492317561993077</v>
      </c>
      <c r="E599" s="12">
        <v>0</v>
      </c>
      <c r="F599" s="12">
        <v>-0.003687872005508726</v>
      </c>
      <c r="G599" s="12">
        <v>0.1394601846398006</v>
      </c>
      <c r="H599" s="12">
        <v>0.011278605355222003</v>
      </c>
      <c r="I599" s="12">
        <v>0</v>
      </c>
      <c r="J599" s="11">
        <v>0.0887244613091044</v>
      </c>
      <c r="K599" s="11">
        <v>0</v>
      </c>
      <c r="L599" s="12">
        <v>0.021130859749907485</v>
      </c>
      <c r="M599" s="12">
        <v>-0.005726739772913582</v>
      </c>
      <c r="N599" s="12">
        <v>-0.00731733709902865</v>
      </c>
      <c r="O599" s="11">
        <v>0.007696348777366888</v>
      </c>
      <c r="P599" s="11">
        <v>0</v>
      </c>
      <c r="Q599" s="12">
        <v>0</v>
      </c>
      <c r="R599" s="12">
        <v>0</v>
      </c>
      <c r="S599" s="13">
        <v>0</v>
      </c>
    </row>
    <row r="600" spans="1:19" ht="12.75">
      <c r="A600" s="373" t="s">
        <v>916</v>
      </c>
      <c r="B600" s="374"/>
      <c r="C600" s="11">
        <v>0.8778365367370244</v>
      </c>
      <c r="D600" s="12">
        <v>0.8169343400348764</v>
      </c>
      <c r="E600" s="12">
        <v>0.7457159077692319</v>
      </c>
      <c r="F600" s="12">
        <v>0.7849421371211528</v>
      </c>
      <c r="G600" s="12">
        <v>0.7081979225325834</v>
      </c>
      <c r="H600" s="12">
        <v>0.866699737793211</v>
      </c>
      <c r="I600" s="12">
        <v>0</v>
      </c>
      <c r="J600" s="11">
        <v>0.8094638451690301</v>
      </c>
      <c r="K600" s="11">
        <v>0</v>
      </c>
      <c r="L600" s="12">
        <v>0</v>
      </c>
      <c r="M600" s="12">
        <v>1</v>
      </c>
      <c r="N600" s="12">
        <v>0</v>
      </c>
      <c r="O600" s="11">
        <v>1</v>
      </c>
      <c r="P600" s="11">
        <v>0</v>
      </c>
      <c r="Q600" s="12">
        <v>0</v>
      </c>
      <c r="R600" s="12">
        <v>0</v>
      </c>
      <c r="S600" s="13">
        <v>0</v>
      </c>
    </row>
    <row r="601" spans="1:19" ht="12.75">
      <c r="A601" s="373" t="s">
        <v>934</v>
      </c>
      <c r="B601" s="374"/>
      <c r="C601" s="11">
        <v>0.8723011567329046</v>
      </c>
      <c r="D601" s="12">
        <v>0.804824996930349</v>
      </c>
      <c r="E601" s="12">
        <v>0.7490220903804101</v>
      </c>
      <c r="F601" s="12">
        <v>0.7772148131983673</v>
      </c>
      <c r="G601" s="12">
        <v>0.7132868137604705</v>
      </c>
      <c r="H601" s="12">
        <v>0.7907242901520519</v>
      </c>
      <c r="I601" s="12">
        <v>0</v>
      </c>
      <c r="J601" s="11">
        <v>0.8039667772380581</v>
      </c>
      <c r="K601" s="11">
        <v>0</v>
      </c>
      <c r="L601" s="12">
        <v>0</v>
      </c>
      <c r="M601" s="12">
        <v>0</v>
      </c>
      <c r="N601" s="12">
        <v>1</v>
      </c>
      <c r="O601" s="11">
        <v>0.3333333333333333</v>
      </c>
      <c r="P601" s="11">
        <v>0</v>
      </c>
      <c r="Q601" s="12">
        <v>0</v>
      </c>
      <c r="R601" s="12">
        <v>0</v>
      </c>
      <c r="S601" s="13">
        <v>0</v>
      </c>
    </row>
    <row r="602" spans="1:19" ht="12.75">
      <c r="A602" s="373" t="s">
        <v>958</v>
      </c>
      <c r="B602" s="374"/>
      <c r="C602" s="11">
        <v>-0.5535380004119794</v>
      </c>
      <c r="D602" s="12">
        <v>-1.2109343104527381</v>
      </c>
      <c r="E602" s="12">
        <v>0.330618261117821</v>
      </c>
      <c r="F602" s="12">
        <v>-0.7727323922785523</v>
      </c>
      <c r="G602" s="12">
        <v>0.5088891227887138</v>
      </c>
      <c r="H602" s="12">
        <v>-7.597544764115904</v>
      </c>
      <c r="I602" s="12">
        <v>0</v>
      </c>
      <c r="J602" s="11">
        <v>-0.5497067930972044</v>
      </c>
      <c r="K602" s="11">
        <v>0</v>
      </c>
      <c r="L602" s="12">
        <v>0</v>
      </c>
      <c r="M602" s="12">
        <v>-100</v>
      </c>
      <c r="N602" s="12">
        <v>0</v>
      </c>
      <c r="O602" s="11">
        <v>-66.66666666666667</v>
      </c>
      <c r="P602" s="11">
        <v>0</v>
      </c>
      <c r="Q602" s="12">
        <v>0</v>
      </c>
      <c r="R602" s="12">
        <v>0</v>
      </c>
      <c r="S602" s="13">
        <v>0</v>
      </c>
    </row>
    <row r="603" spans="1:19" ht="12.75">
      <c r="A603" s="373" t="s">
        <v>936</v>
      </c>
      <c r="B603" s="374"/>
      <c r="C603" s="11">
        <v>0.06278503007648628</v>
      </c>
      <c r="D603" s="12">
        <v>0.08736973829501915</v>
      </c>
      <c r="E603" s="12">
        <v>0.1561987915526142</v>
      </c>
      <c r="F603" s="12">
        <v>0.12234638063602933</v>
      </c>
      <c r="G603" s="12">
        <v>0.1317990922105149</v>
      </c>
      <c r="H603" s="12">
        <v>0.037205017362341435</v>
      </c>
      <c r="I603" s="12">
        <v>0.2001102603369066</v>
      </c>
      <c r="J603" s="11">
        <v>0.09821031478765142</v>
      </c>
      <c r="K603" s="11">
        <v>0</v>
      </c>
      <c r="L603" s="12">
        <v>0</v>
      </c>
      <c r="M603" s="12">
        <v>0</v>
      </c>
      <c r="N603" s="12">
        <v>0</v>
      </c>
      <c r="O603" s="11">
        <v>0</v>
      </c>
      <c r="P603" s="11">
        <v>0</v>
      </c>
      <c r="Q603" s="12">
        <v>0</v>
      </c>
      <c r="R603" s="12">
        <v>0</v>
      </c>
      <c r="S603" s="13">
        <v>0</v>
      </c>
    </row>
    <row r="604" spans="1:19" ht="12.75">
      <c r="A604" s="373" t="s">
        <v>938</v>
      </c>
      <c r="B604" s="374"/>
      <c r="C604" s="11">
        <v>0.059434059090846224</v>
      </c>
      <c r="D604" s="12">
        <v>0.0804998463114332</v>
      </c>
      <c r="E604" s="12">
        <v>0.15177184205578145</v>
      </c>
      <c r="F604" s="12">
        <v>0.07363153483343335</v>
      </c>
      <c r="G604" s="12">
        <v>0.11078012078486214</v>
      </c>
      <c r="H604" s="12">
        <v>0.0362962559267535</v>
      </c>
      <c r="I604" s="12">
        <v>0.1756410948550451</v>
      </c>
      <c r="J604" s="11">
        <v>0.08989560961468823</v>
      </c>
      <c r="K604" s="11">
        <v>0</v>
      </c>
      <c r="L604" s="12">
        <v>0</v>
      </c>
      <c r="M604" s="12">
        <v>0</v>
      </c>
      <c r="N604" s="12">
        <v>0</v>
      </c>
      <c r="O604" s="11">
        <v>0</v>
      </c>
      <c r="P604" s="11">
        <v>0</v>
      </c>
      <c r="Q604" s="12">
        <v>0</v>
      </c>
      <c r="R604" s="12">
        <v>0</v>
      </c>
      <c r="S604" s="13">
        <v>0</v>
      </c>
    </row>
    <row r="605" spans="1:19" ht="12.75">
      <c r="A605" s="373" t="s">
        <v>962</v>
      </c>
      <c r="B605" s="374"/>
      <c r="C605" s="11">
        <v>-0.3350970985640057</v>
      </c>
      <c r="D605" s="12">
        <v>-0.6869891983585952</v>
      </c>
      <c r="E605" s="12">
        <v>-0.4426949496832755</v>
      </c>
      <c r="F605" s="12">
        <v>-4.871484580259598</v>
      </c>
      <c r="G605" s="12">
        <v>-2.101897142565275</v>
      </c>
      <c r="H605" s="12">
        <v>-0.09087614355879348</v>
      </c>
      <c r="I605" s="12">
        <v>-2.446916548186151</v>
      </c>
      <c r="J605" s="11">
        <v>-0.831470517296319</v>
      </c>
      <c r="K605" s="11">
        <v>0</v>
      </c>
      <c r="L605" s="12">
        <v>0</v>
      </c>
      <c r="M605" s="12">
        <v>0</v>
      </c>
      <c r="N605" s="12">
        <v>0</v>
      </c>
      <c r="O605" s="11">
        <v>0</v>
      </c>
      <c r="P605" s="11">
        <v>0</v>
      </c>
      <c r="Q605" s="12">
        <v>0</v>
      </c>
      <c r="R605" s="12">
        <v>0</v>
      </c>
      <c r="S605" s="13">
        <v>0</v>
      </c>
    </row>
    <row r="606" spans="1:19" ht="12.75">
      <c r="A606" s="373" t="s">
        <v>940</v>
      </c>
      <c r="B606" s="374"/>
      <c r="C606" s="11">
        <v>0.03718895173998166</v>
      </c>
      <c r="D606" s="12">
        <v>0.07262297888879507</v>
      </c>
      <c r="E606" s="12">
        <v>0.07947604006047995</v>
      </c>
      <c r="F606" s="12">
        <v>0.07890064086605827</v>
      </c>
      <c r="G606" s="12">
        <v>0.12647312251087245</v>
      </c>
      <c r="H606" s="12">
        <v>0.09014244206647297</v>
      </c>
      <c r="I606" s="12">
        <v>0.7998897396630934</v>
      </c>
      <c r="J606" s="11">
        <v>0.07145122333486499</v>
      </c>
      <c r="K606" s="11">
        <v>0</v>
      </c>
      <c r="L606" s="12">
        <v>0</v>
      </c>
      <c r="M606" s="12">
        <v>0</v>
      </c>
      <c r="N606" s="12">
        <v>0</v>
      </c>
      <c r="O606" s="11">
        <v>0</v>
      </c>
      <c r="P606" s="11">
        <v>0</v>
      </c>
      <c r="Q606" s="12">
        <v>0</v>
      </c>
      <c r="R606" s="12">
        <v>0</v>
      </c>
      <c r="S606" s="13">
        <v>0</v>
      </c>
    </row>
    <row r="607" spans="1:19" ht="12.75">
      <c r="A607" s="373" t="s">
        <v>942</v>
      </c>
      <c r="B607" s="374"/>
      <c r="C607" s="11">
        <v>0.041037776708548586</v>
      </c>
      <c r="D607" s="12">
        <v>0.09526424956715861</v>
      </c>
      <c r="E607" s="12">
        <v>0.08293857594024467</v>
      </c>
      <c r="F607" s="12">
        <v>0.12483397890205375</v>
      </c>
      <c r="G607" s="12">
        <v>0.14646960503062725</v>
      </c>
      <c r="H607" s="12">
        <v>0.1726524606245572</v>
      </c>
      <c r="I607" s="12">
        <v>0.8243589051449549</v>
      </c>
      <c r="J607" s="11">
        <v>0.08366068109914862</v>
      </c>
      <c r="K607" s="11">
        <v>0</v>
      </c>
      <c r="L607" s="12">
        <v>0</v>
      </c>
      <c r="M607" s="12">
        <v>1</v>
      </c>
      <c r="N607" s="12">
        <v>0</v>
      </c>
      <c r="O607" s="11">
        <v>0.6666666666666666</v>
      </c>
      <c r="P607" s="11">
        <v>0</v>
      </c>
      <c r="Q607" s="12">
        <v>0</v>
      </c>
      <c r="R607" s="12">
        <v>0</v>
      </c>
      <c r="S607" s="13">
        <v>0</v>
      </c>
    </row>
    <row r="608" spans="1:19" ht="12.75">
      <c r="A608" s="373" t="s">
        <v>968</v>
      </c>
      <c r="B608" s="374"/>
      <c r="C608" s="11">
        <v>0.38488249685669285</v>
      </c>
      <c r="D608" s="12">
        <v>2.2641270678363536</v>
      </c>
      <c r="E608" s="12">
        <v>0.3462535879764722</v>
      </c>
      <c r="F608" s="12">
        <v>4.593333803599547</v>
      </c>
      <c r="G608" s="12">
        <v>1.9996482519754806</v>
      </c>
      <c r="H608" s="12">
        <v>8.251001855808422</v>
      </c>
      <c r="I608" s="12">
        <v>2.446916548186151</v>
      </c>
      <c r="J608" s="11">
        <v>1.2209457764283629</v>
      </c>
      <c r="K608" s="11">
        <v>0</v>
      </c>
      <c r="L608" s="12">
        <v>0</v>
      </c>
      <c r="M608" s="12">
        <v>0</v>
      </c>
      <c r="N608" s="12">
        <v>0</v>
      </c>
      <c r="O608" s="11">
        <v>0</v>
      </c>
      <c r="P608" s="11">
        <v>0</v>
      </c>
      <c r="Q608" s="12">
        <v>0</v>
      </c>
      <c r="R608" s="12">
        <v>0</v>
      </c>
      <c r="S608" s="13">
        <v>0</v>
      </c>
    </row>
    <row r="609" spans="1:19" ht="12.75">
      <c r="A609" s="373" t="s">
        <v>944</v>
      </c>
      <c r="B609" s="374"/>
      <c r="C609" s="11">
        <v>0.006677930924600656</v>
      </c>
      <c r="D609" s="12">
        <v>0.008816245208270146</v>
      </c>
      <c r="E609" s="12">
        <v>0.013537405173806914</v>
      </c>
      <c r="F609" s="12">
        <v>0.011699184158303164</v>
      </c>
      <c r="G609" s="12">
        <v>0.0306599453155213</v>
      </c>
      <c r="H609" s="12">
        <v>0.00595280277797463</v>
      </c>
      <c r="I609" s="12">
        <v>0</v>
      </c>
      <c r="J609" s="11">
        <v>0.009655831059736756</v>
      </c>
      <c r="K609" s="11">
        <v>0</v>
      </c>
      <c r="L609" s="12">
        <v>0</v>
      </c>
      <c r="M609" s="12">
        <v>0</v>
      </c>
      <c r="N609" s="12">
        <v>0</v>
      </c>
      <c r="O609" s="11">
        <v>0</v>
      </c>
      <c r="P609" s="11">
        <v>0</v>
      </c>
      <c r="Q609" s="12">
        <v>0</v>
      </c>
      <c r="R609" s="12">
        <v>0</v>
      </c>
      <c r="S609" s="13">
        <v>0</v>
      </c>
    </row>
    <row r="610" spans="1:19" ht="12.75">
      <c r="A610" s="373" t="s">
        <v>946</v>
      </c>
      <c r="B610" s="374"/>
      <c r="C610" s="11">
        <v>0.011451226285374037</v>
      </c>
      <c r="D610" s="12">
        <v>0.007636632432160713</v>
      </c>
      <c r="E610" s="12">
        <v>0.012778669343269234</v>
      </c>
      <c r="F610" s="12">
        <v>0.02145106655226627</v>
      </c>
      <c r="G610" s="12">
        <v>0.026024779574810464</v>
      </c>
      <c r="H610" s="12">
        <v>0.0003269932966374189</v>
      </c>
      <c r="I610" s="12">
        <v>0</v>
      </c>
      <c r="J610" s="11">
        <v>0.012115069722482975</v>
      </c>
      <c r="K610" s="11">
        <v>0</v>
      </c>
      <c r="L610" s="12">
        <v>0</v>
      </c>
      <c r="M610" s="12">
        <v>0</v>
      </c>
      <c r="N610" s="12">
        <v>0</v>
      </c>
      <c r="O610" s="11">
        <v>0</v>
      </c>
      <c r="P610" s="11">
        <v>0</v>
      </c>
      <c r="Q610" s="12">
        <v>0</v>
      </c>
      <c r="R610" s="12">
        <v>0</v>
      </c>
      <c r="S610" s="13">
        <v>0</v>
      </c>
    </row>
    <row r="611" spans="1:19" ht="12.75">
      <c r="A611" s="373" t="s">
        <v>970</v>
      </c>
      <c r="B611" s="374"/>
      <c r="C611" s="11">
        <v>0.47732953607733813</v>
      </c>
      <c r="D611" s="12">
        <v>-0.11796127761094337</v>
      </c>
      <c r="E611" s="12">
        <v>-0.07587358305376803</v>
      </c>
      <c r="F611" s="12">
        <v>0.9751882393963105</v>
      </c>
      <c r="G611" s="12">
        <v>-0.46351657407108365</v>
      </c>
      <c r="H611" s="12">
        <v>-0.5625809481337212</v>
      </c>
      <c r="I611" s="12">
        <v>0</v>
      </c>
      <c r="J611" s="11">
        <v>0.24592386627462198</v>
      </c>
      <c r="K611" s="11">
        <v>0</v>
      </c>
      <c r="L611" s="12">
        <v>0</v>
      </c>
      <c r="M611" s="12">
        <v>0</v>
      </c>
      <c r="N611" s="12">
        <v>0</v>
      </c>
      <c r="O611" s="11">
        <v>0</v>
      </c>
      <c r="P611" s="11">
        <v>0</v>
      </c>
      <c r="Q611" s="12">
        <v>0</v>
      </c>
      <c r="R611" s="12">
        <v>0</v>
      </c>
      <c r="S611" s="13">
        <v>0</v>
      </c>
    </row>
    <row r="612" spans="1:19" ht="12.75">
      <c r="A612" s="373" t="s">
        <v>948</v>
      </c>
      <c r="B612" s="374"/>
      <c r="C612" s="11">
        <v>0.015477766089939997</v>
      </c>
      <c r="D612" s="12">
        <v>0.014256697573039242</v>
      </c>
      <c r="E612" s="12">
        <v>0.0050718554438670006</v>
      </c>
      <c r="F612" s="12">
        <v>0.0016016672475478518</v>
      </c>
      <c r="G612" s="12">
        <v>0.0028699174305079687</v>
      </c>
      <c r="H612" s="12">
        <v>0</v>
      </c>
      <c r="I612" s="12">
        <v>0</v>
      </c>
      <c r="J612" s="11">
        <v>0.011170184107865728</v>
      </c>
      <c r="K612" s="11">
        <v>0</v>
      </c>
      <c r="L612" s="12">
        <v>0</v>
      </c>
      <c r="M612" s="12">
        <v>0</v>
      </c>
      <c r="N612" s="12">
        <v>0</v>
      </c>
      <c r="O612" s="11">
        <v>0</v>
      </c>
      <c r="P612" s="11">
        <v>0</v>
      </c>
      <c r="Q612" s="12">
        <v>0</v>
      </c>
      <c r="R612" s="12">
        <v>0</v>
      </c>
      <c r="S612" s="13">
        <v>0</v>
      </c>
    </row>
    <row r="613" spans="1:19" ht="12.75">
      <c r="A613" s="373" t="s">
        <v>950</v>
      </c>
      <c r="B613" s="374"/>
      <c r="C613" s="11">
        <v>0.01555631420682888</v>
      </c>
      <c r="D613" s="12">
        <v>0.011774274758898485</v>
      </c>
      <c r="E613" s="12">
        <v>0.003459221782737057</v>
      </c>
      <c r="F613" s="12">
        <v>0.0021663335499005607</v>
      </c>
      <c r="G613" s="12">
        <v>0.0034338916001360148</v>
      </c>
      <c r="H613" s="12">
        <v>0</v>
      </c>
      <c r="I613" s="12">
        <v>0</v>
      </c>
      <c r="J613" s="11">
        <v>0.010202088445526116</v>
      </c>
      <c r="K613" s="11">
        <v>0</v>
      </c>
      <c r="L613" s="12">
        <v>0</v>
      </c>
      <c r="M613" s="12">
        <v>0</v>
      </c>
      <c r="N613" s="12">
        <v>0</v>
      </c>
      <c r="O613" s="11">
        <v>0</v>
      </c>
      <c r="P613" s="11">
        <v>0</v>
      </c>
      <c r="Q613" s="12">
        <v>0</v>
      </c>
      <c r="R613" s="12">
        <v>0</v>
      </c>
      <c r="S613" s="13">
        <v>0</v>
      </c>
    </row>
    <row r="614" spans="1:19" ht="12.75">
      <c r="A614" s="373" t="s">
        <v>976</v>
      </c>
      <c r="B614" s="374"/>
      <c r="C614" s="11">
        <v>0.007854811688888345</v>
      </c>
      <c r="D614" s="12">
        <v>-0.24824228141407562</v>
      </c>
      <c r="E614" s="12">
        <v>-0.16126336611299433</v>
      </c>
      <c r="F614" s="12">
        <v>0.0564666302352709</v>
      </c>
      <c r="G614" s="12">
        <v>0.056397416962804606</v>
      </c>
      <c r="H614" s="12">
        <v>0</v>
      </c>
      <c r="I614" s="12">
        <v>0</v>
      </c>
      <c r="J614" s="11">
        <v>-0.09680956623396124</v>
      </c>
      <c r="K614" s="11">
        <v>0</v>
      </c>
      <c r="L614" s="12">
        <v>0</v>
      </c>
      <c r="M614" s="12">
        <v>0</v>
      </c>
      <c r="N614" s="12">
        <v>0</v>
      </c>
      <c r="O614" s="11">
        <v>0</v>
      </c>
      <c r="P614" s="11">
        <v>0</v>
      </c>
      <c r="Q614" s="12">
        <v>0</v>
      </c>
      <c r="R614" s="12">
        <v>0</v>
      </c>
      <c r="S614" s="13">
        <v>0</v>
      </c>
    </row>
    <row r="615" spans="1:19" ht="12.75">
      <c r="A615" s="373" t="s">
        <v>952</v>
      </c>
      <c r="B615" s="374"/>
      <c r="C615" s="11">
        <v>3.3784431966912944E-05</v>
      </c>
      <c r="D615" s="12">
        <v>0</v>
      </c>
      <c r="E615" s="12">
        <v>0</v>
      </c>
      <c r="F615" s="12">
        <v>0.0005099899709085218</v>
      </c>
      <c r="G615" s="12">
        <v>0</v>
      </c>
      <c r="H615" s="12">
        <v>0</v>
      </c>
      <c r="I615" s="12">
        <v>0</v>
      </c>
      <c r="J615" s="11">
        <v>4.8601540850925675E-05</v>
      </c>
      <c r="K615" s="11">
        <v>0</v>
      </c>
      <c r="L615" s="12">
        <v>0</v>
      </c>
      <c r="M615" s="12">
        <v>0</v>
      </c>
      <c r="N615" s="12">
        <v>0</v>
      </c>
      <c r="O615" s="11">
        <v>0</v>
      </c>
      <c r="P615" s="11">
        <v>0</v>
      </c>
      <c r="Q615" s="12">
        <v>0</v>
      </c>
      <c r="R615" s="12">
        <v>0</v>
      </c>
      <c r="S615" s="13">
        <v>0</v>
      </c>
    </row>
    <row r="616" spans="1:19" ht="12.75">
      <c r="A616" s="373" t="s">
        <v>954</v>
      </c>
      <c r="B616" s="374"/>
      <c r="C616" s="11">
        <v>0.00021946697549758587</v>
      </c>
      <c r="D616" s="12">
        <v>0</v>
      </c>
      <c r="E616" s="12">
        <v>2.9600497557454396E-05</v>
      </c>
      <c r="F616" s="12">
        <v>0.0007022729639787533</v>
      </c>
      <c r="G616" s="12">
        <v>4.789249093634609E-06</v>
      </c>
      <c r="H616" s="12">
        <v>0</v>
      </c>
      <c r="I616" s="12">
        <v>0</v>
      </c>
      <c r="J616" s="11">
        <v>0.00015977388009592172</v>
      </c>
      <c r="K616" s="11">
        <v>0</v>
      </c>
      <c r="L616" s="12">
        <v>0</v>
      </c>
      <c r="M616" s="12">
        <v>0</v>
      </c>
      <c r="N616" s="12">
        <v>0</v>
      </c>
      <c r="O616" s="11">
        <v>0</v>
      </c>
      <c r="P616" s="11">
        <v>0</v>
      </c>
      <c r="Q616" s="12">
        <v>0</v>
      </c>
      <c r="R616" s="12">
        <v>0</v>
      </c>
      <c r="S616" s="13">
        <v>0</v>
      </c>
    </row>
    <row r="617" spans="1:19" ht="12.75">
      <c r="A617" s="373" t="s">
        <v>978</v>
      </c>
      <c r="B617" s="374"/>
      <c r="C617" s="370">
        <v>0.018568254353067293</v>
      </c>
      <c r="D617" s="371">
        <v>0</v>
      </c>
      <c r="E617" s="371">
        <v>0</v>
      </c>
      <c r="F617" s="371">
        <v>0.01922829930702314</v>
      </c>
      <c r="G617" s="371">
        <v>0</v>
      </c>
      <c r="H617" s="371">
        <v>0</v>
      </c>
      <c r="I617" s="371">
        <v>0</v>
      </c>
      <c r="J617" s="370">
        <v>0.011117233924499604</v>
      </c>
      <c r="K617" s="370">
        <v>0</v>
      </c>
      <c r="L617" s="371">
        <v>0</v>
      </c>
      <c r="M617" s="371">
        <v>0</v>
      </c>
      <c r="N617" s="371">
        <v>0</v>
      </c>
      <c r="O617" s="370">
        <v>0</v>
      </c>
      <c r="P617" s="370">
        <v>0</v>
      </c>
      <c r="Q617" s="371">
        <v>0</v>
      </c>
      <c r="R617" s="371">
        <v>0</v>
      </c>
      <c r="S617" s="372">
        <v>0</v>
      </c>
    </row>
  </sheetData>
  <printOptions horizontalCentered="1" verticalCentered="1"/>
  <pageMargins left="0.5" right="0.5" top="1" bottom="1" header="0.5" footer="0.5"/>
  <pageSetup horizontalDpi="600" verticalDpi="600" orientation="landscape" pageOrder="overThenDown" scale="77" r:id="rId1"/>
  <headerFooter alignWithMargins="0">
    <oddHeader>&amp;L&amp;"Arial,Bold"SREB-State Data Exchange&amp;C&amp;"Arial,Bold"Preliminary Tables&amp;R&amp;"Arial,Bold"Part 4: E-learning Credit Hours</oddHeader>
    <oddFooter>&amp;L&amp;"Arial,Bold"For Agency Review Only&amp;R&amp;"Arial,Bold"August 2005</oddFooter>
  </headerFooter>
  <rowBreaks count="15" manualBreakCount="15">
    <brk id="41" max="18" man="1"/>
    <brk id="77" max="255" man="1"/>
    <brk id="113" max="18" man="1"/>
    <brk id="149" max="255" man="1"/>
    <brk id="185" max="18" man="1"/>
    <brk id="221" max="18" man="1"/>
    <brk id="257" max="18" man="1"/>
    <brk id="293" max="18" man="1"/>
    <brk id="329" max="18" man="1"/>
    <brk id="365" max="18" man="1"/>
    <brk id="401" max="18" man="1"/>
    <brk id="437" max="18" man="1"/>
    <brk id="473" max="18" man="1"/>
    <brk id="509" max="18" man="1"/>
    <brk id="545" max="18" man="1"/>
  </rowBreaks>
  <colBreaks count="1" manualBreakCount="1">
    <brk id="10" max="580" man="1"/>
  </colBreaks>
</worksheet>
</file>

<file path=xl/worksheets/sheet3.xml><?xml version="1.0" encoding="utf-8"?>
<worksheet xmlns="http://schemas.openxmlformats.org/spreadsheetml/2006/main" xmlns:r="http://schemas.openxmlformats.org/officeDocument/2006/relationships">
  <sheetPr>
    <tabColor indexed="16"/>
  </sheetPr>
  <dimension ref="A1:W117"/>
  <sheetViews>
    <sheetView showGridLines="0" showZeros="0" view="pageBreakPreview" zoomScale="75" zoomScaleNormal="75" zoomScaleSheetLayoutView="75" workbookViewId="0" topLeftCell="A1">
      <selection activeCell="H117" sqref="H117"/>
    </sheetView>
  </sheetViews>
  <sheetFormatPr defaultColWidth="9.140625" defaultRowHeight="12.75"/>
  <cols>
    <col min="1" max="1" width="13.28125" style="0" customWidth="1"/>
    <col min="2" max="8" width="7.7109375" style="0" customWidth="1"/>
    <col min="9" max="9" width="8.421875" style="0" customWidth="1"/>
    <col min="10" max="12" width="7.7109375" style="0" customWidth="1"/>
    <col min="13" max="13" width="7.7109375" style="1" customWidth="1"/>
    <col min="14" max="16" width="7.7109375" style="0" customWidth="1"/>
  </cols>
  <sheetData>
    <row r="1" spans="1:16" ht="18">
      <c r="A1" s="34" t="s">
        <v>887</v>
      </c>
      <c r="B1" s="6"/>
      <c r="C1" s="6"/>
      <c r="D1" s="6"/>
      <c r="E1" s="6"/>
      <c r="F1" s="6"/>
      <c r="G1" s="17"/>
      <c r="H1" s="17"/>
      <c r="I1" s="17"/>
      <c r="J1" s="17"/>
      <c r="K1" s="17"/>
      <c r="L1" s="17"/>
      <c r="M1" s="61"/>
      <c r="N1" s="17"/>
      <c r="O1" s="17"/>
      <c r="P1" s="17"/>
    </row>
    <row r="2" spans="1:16" s="9" customFormat="1" ht="12.75">
      <c r="A2" s="90"/>
      <c r="B2" s="8"/>
      <c r="C2" s="8"/>
      <c r="D2" s="8"/>
      <c r="E2" s="8"/>
      <c r="F2" s="8"/>
      <c r="G2" s="8"/>
      <c r="H2" s="8"/>
      <c r="I2" s="8"/>
      <c r="J2" s="8"/>
      <c r="K2" s="8"/>
      <c r="L2" s="8"/>
      <c r="M2" s="89"/>
      <c r="N2" s="8"/>
      <c r="O2" s="8"/>
      <c r="P2" s="8"/>
    </row>
    <row r="3" spans="1:16" ht="15.75">
      <c r="A3" s="7" t="s">
        <v>52</v>
      </c>
      <c r="B3" s="8"/>
      <c r="C3" s="8"/>
      <c r="D3" s="8"/>
      <c r="E3" s="8"/>
      <c r="F3" s="8"/>
      <c r="G3" s="17"/>
      <c r="H3" s="17"/>
      <c r="I3" s="17"/>
      <c r="J3" s="17"/>
      <c r="K3" s="17"/>
      <c r="L3" s="17"/>
      <c r="M3" s="61"/>
      <c r="N3" s="17"/>
      <c r="O3" s="17"/>
      <c r="P3" s="17"/>
    </row>
    <row r="4" spans="1:12" ht="12.75">
      <c r="A4" s="18"/>
      <c r="B4" s="2"/>
      <c r="C4" s="2"/>
      <c r="D4" s="2"/>
      <c r="E4" s="2"/>
      <c r="F4" s="2"/>
      <c r="G4" s="2"/>
      <c r="H4" s="2"/>
      <c r="I4" s="2"/>
      <c r="J4" s="2"/>
      <c r="K4" s="2"/>
      <c r="L4" s="2"/>
    </row>
    <row r="5" spans="1:16" s="57" customFormat="1" ht="18" customHeight="1">
      <c r="A5" s="19"/>
      <c r="B5" s="414" t="s">
        <v>205</v>
      </c>
      <c r="C5" s="414"/>
      <c r="D5" s="414"/>
      <c r="E5" s="414"/>
      <c r="F5" s="414"/>
      <c r="G5" s="414"/>
      <c r="H5" s="415"/>
      <c r="I5" s="416" t="s">
        <v>210</v>
      </c>
      <c r="J5" s="414"/>
      <c r="K5" s="414"/>
      <c r="L5" s="414"/>
      <c r="M5" s="414"/>
      <c r="N5" s="327" t="s">
        <v>547</v>
      </c>
      <c r="O5" s="325"/>
      <c r="P5" s="325"/>
    </row>
    <row r="6" spans="1:16" s="94" customFormat="1" ht="25.5">
      <c r="A6" s="20"/>
      <c r="B6" s="91">
        <v>1</v>
      </c>
      <c r="C6" s="91">
        <v>2</v>
      </c>
      <c r="D6" s="91">
        <v>3</v>
      </c>
      <c r="E6" s="91">
        <v>4</v>
      </c>
      <c r="F6" s="91">
        <v>5</v>
      </c>
      <c r="G6" s="91">
        <v>6</v>
      </c>
      <c r="H6" s="93" t="s">
        <v>591</v>
      </c>
      <c r="I6" s="330" t="s">
        <v>314</v>
      </c>
      <c r="J6" s="91">
        <v>1</v>
      </c>
      <c r="K6" s="91">
        <v>2</v>
      </c>
      <c r="L6" s="91">
        <v>3</v>
      </c>
      <c r="M6" s="92" t="s">
        <v>591</v>
      </c>
      <c r="N6" s="92">
        <v>1</v>
      </c>
      <c r="O6" s="91">
        <v>2</v>
      </c>
      <c r="P6" s="92" t="s">
        <v>591</v>
      </c>
    </row>
    <row r="7" spans="1:16" ht="15.75" customHeight="1">
      <c r="A7" s="9" t="s">
        <v>548</v>
      </c>
      <c r="B7" s="118">
        <f>'Tables by type'!B40+'Tables by type'!C40</f>
        <v>99.02052832291169</v>
      </c>
      <c r="C7" s="118">
        <f>'Tables by type'!B70+'Tables by type'!C70</f>
        <v>0</v>
      </c>
      <c r="D7" s="118">
        <f>'Tables by type'!B100+'Tables by type'!C100</f>
        <v>96.33883099671559</v>
      </c>
      <c r="E7" s="118">
        <f>'Tables by type'!B131+'Tables by type'!C131</f>
        <v>96.31256027743008</v>
      </c>
      <c r="F7" s="118">
        <f>'Tables by type'!B160+'Tables by type'!C160</f>
        <v>85.8272492998163</v>
      </c>
      <c r="G7" s="118">
        <f>'Tables by type'!B189+'Tables by type'!C189</f>
        <v>83.26780322093609</v>
      </c>
      <c r="H7" s="119">
        <f>+'Tables by type'!B9+'Tables by type'!C9</f>
        <v>96.45402250572202</v>
      </c>
      <c r="I7" s="120">
        <f>'Tables by type'!B251+'Tables by type'!C251</f>
        <v>0</v>
      </c>
      <c r="J7" s="118">
        <f>'Tables by type'!B282+'Tables by type'!C282</f>
        <v>96.48161425791253</v>
      </c>
      <c r="K7" s="118">
        <f>'Tables by type'!B313+'Tables by type'!C313</f>
        <v>93.73368057674962</v>
      </c>
      <c r="L7" s="118">
        <f>'Tables by type'!B344+'Tables by type'!C344</f>
        <v>91.82111163152817</v>
      </c>
      <c r="M7" s="120">
        <f>+'Tables by type'!B219+'Tables by type'!C219</f>
        <v>93.5650974314613</v>
      </c>
      <c r="N7" s="328">
        <f>+'Tables by type'!B404+'Tables by type'!C404</f>
        <v>0</v>
      </c>
      <c r="O7">
        <f>+'Tables by type'!B435+'Tables by type'!C435</f>
        <v>0</v>
      </c>
      <c r="P7" s="120">
        <f>+'Tables by type'!B375+'Tables by type'!C375</f>
        <v>0</v>
      </c>
    </row>
    <row r="8" spans="1:16" ht="15.75" customHeight="1">
      <c r="A8" s="9" t="s">
        <v>549</v>
      </c>
      <c r="B8" s="118">
        <f>'Tables by type'!B41+'Tables by type'!C41</f>
        <v>0</v>
      </c>
      <c r="C8" s="118">
        <f>'Tables by type'!B71+'Tables by type'!C71</f>
        <v>99.34634260589995</v>
      </c>
      <c r="D8" s="121">
        <f>'Tables by type'!B101+'Tables by type'!C101</f>
        <v>93.06528598458091</v>
      </c>
      <c r="E8" s="118">
        <f>'Tables by type'!B132+'Tables by type'!C132</f>
        <v>0</v>
      </c>
      <c r="F8" s="118">
        <f>'Tables by type'!B161+'Tables by type'!C161</f>
        <v>97.46682118086896</v>
      </c>
      <c r="G8" s="118">
        <f>'Tables by type'!B190+'Tables by type'!C190</f>
        <v>96.13232251970011</v>
      </c>
      <c r="H8" s="119">
        <f>+'Tables by type'!B10+'Tables by type'!C10</f>
        <v>95.79139191019115</v>
      </c>
      <c r="I8" s="120">
        <f>'Tables by type'!B252+'Tables by type'!C252</f>
        <v>92.4488048716497</v>
      </c>
      <c r="J8" s="118">
        <f>'Tables by type'!B283+'Tables by type'!C283</f>
        <v>0</v>
      </c>
      <c r="K8" s="118">
        <f>'Tables by type'!B314+'Tables by type'!C314</f>
        <v>98.35913179546048</v>
      </c>
      <c r="L8" s="118">
        <f>'Tables by type'!B345+'Tables by type'!C345</f>
        <v>91.58514725519348</v>
      </c>
      <c r="M8" s="120">
        <f>+'Tables by type'!B220+'Tables by type'!C220</f>
        <v>93.59427939457603</v>
      </c>
      <c r="N8" s="328">
        <f>+'Tables by type'!B405+'Tables by type'!C405</f>
        <v>0</v>
      </c>
      <c r="O8">
        <f>+'Tables by type'!B436+'Tables by type'!C436</f>
        <v>0</v>
      </c>
      <c r="P8" s="120">
        <f>+'Tables by type'!B376+'Tables by type'!C376</f>
        <v>0</v>
      </c>
    </row>
    <row r="9" spans="1:16" ht="15.75" customHeight="1">
      <c r="A9" s="9" t="s">
        <v>550</v>
      </c>
      <c r="B9" s="118">
        <f>'Tables by type'!B42+'Tables by type'!C42</f>
        <v>97.97513764080496</v>
      </c>
      <c r="C9" s="118">
        <f>'Tables by type'!B72+'Tables by type'!C72</f>
        <v>0</v>
      </c>
      <c r="D9" s="118">
        <f>'Tables by type'!B102+'Tables by type'!C102</f>
        <v>0</v>
      </c>
      <c r="E9" s="118">
        <f>'Tables by type'!B133+'Tables by type'!C133</f>
        <v>0</v>
      </c>
      <c r="F9" s="118">
        <f>'Tables by type'!B162+'Tables by type'!C162</f>
        <v>0</v>
      </c>
      <c r="G9" s="118">
        <f>'Tables by type'!B191+'Tables by type'!C191</f>
        <v>0</v>
      </c>
      <c r="H9" s="119">
        <f>+'Tables by type'!B11+'Tables by type'!C11</f>
        <v>97.97513764080496</v>
      </c>
      <c r="I9" s="120">
        <f>'Tables by type'!B253+'Tables by type'!C253</f>
        <v>0</v>
      </c>
      <c r="J9" s="118">
        <f>'Tables by type'!B284+'Tables by type'!C284</f>
        <v>0</v>
      </c>
      <c r="K9" s="118">
        <f>'Tables by type'!B315+'Tables by type'!C315</f>
        <v>91.12451677400256</v>
      </c>
      <c r="L9" s="118">
        <f>'Tables by type'!B346+'Tables by type'!C346</f>
        <v>88.23552334190632</v>
      </c>
      <c r="M9" s="120">
        <f>+'Tables by type'!B221+'Tables by type'!C221</f>
        <v>90.60314424054037</v>
      </c>
      <c r="N9" s="328">
        <f>+'Tables by type'!B406+'Tables by type'!C406</f>
        <v>0</v>
      </c>
      <c r="O9">
        <f>+'Tables by type'!B437+'Tables by type'!C437</f>
        <v>0</v>
      </c>
      <c r="P9" s="120">
        <f>+'Tables by type'!B377+'Tables by type'!C377</f>
        <v>0</v>
      </c>
    </row>
    <row r="10" spans="1:16" ht="15.75" customHeight="1">
      <c r="A10" s="9" t="s">
        <v>551</v>
      </c>
      <c r="B10" s="118">
        <f>'Tables by type'!B43+'Tables by type'!C43</f>
        <v>86.68544529436669</v>
      </c>
      <c r="C10" s="118">
        <f>'Tables by type'!B73+'Tables by type'!C73</f>
        <v>90.12485455916543</v>
      </c>
      <c r="D10" s="118">
        <f>'Tables by type'!B103+'Tables by type'!C103</f>
        <v>98.10590450722563</v>
      </c>
      <c r="E10" s="118">
        <f>'Tables by type'!B134+'Tables by type'!C134</f>
        <v>0</v>
      </c>
      <c r="F10" s="118">
        <f>'Tables by type'!B163+'Tables by type'!C163</f>
        <v>87.08749559530932</v>
      </c>
      <c r="G10" s="121">
        <f>'Tables by type'!B192+'Tables by type'!C192</f>
        <v>100</v>
      </c>
      <c r="H10" s="119">
        <f>+'Tables by type'!B12+'Tables by type'!C12</f>
        <v>89.66680060811609</v>
      </c>
      <c r="I10" s="120">
        <f>'Tables by type'!B254+'Tables by type'!C254</f>
        <v>0</v>
      </c>
      <c r="J10" s="118">
        <f>'Tables by type'!B285+'Tables by type'!C285</f>
        <v>90.87809475559054</v>
      </c>
      <c r="K10" s="118">
        <f>'Tables by type'!B316+'Tables by type'!C316</f>
        <v>88.5876948882042</v>
      </c>
      <c r="L10" s="118">
        <f>'Tables by type'!B347+'Tables by type'!C347</f>
        <v>92.74172574827278</v>
      </c>
      <c r="M10" s="120">
        <f>+'Tables by type'!B222+'Tables by type'!C222</f>
        <v>90.63178308471589</v>
      </c>
      <c r="N10" s="328">
        <f>+'Tables by type'!B407+'Tables by type'!C407</f>
        <v>0</v>
      </c>
      <c r="O10">
        <f>+'Tables by type'!B438+'Tables by type'!C438</f>
        <v>0</v>
      </c>
      <c r="P10" s="120">
        <f>+'Tables by type'!B378+'Tables by type'!C378</f>
        <v>0</v>
      </c>
    </row>
    <row r="11" spans="1:16" ht="15.75" customHeight="1">
      <c r="A11" s="9"/>
      <c r="B11" s="118"/>
      <c r="C11" s="118"/>
      <c r="D11" s="118"/>
      <c r="E11" s="118"/>
      <c r="F11" s="118"/>
      <c r="G11" s="118"/>
      <c r="H11" s="119"/>
      <c r="I11" s="120"/>
      <c r="J11" s="118"/>
      <c r="K11" s="118"/>
      <c r="L11" s="118"/>
      <c r="M11" s="120"/>
      <c r="N11" s="328"/>
      <c r="P11" s="120"/>
    </row>
    <row r="12" spans="1:16" ht="15.75" customHeight="1">
      <c r="A12" s="9" t="s">
        <v>552</v>
      </c>
      <c r="B12" s="118">
        <f>'Tables by type'!B45+'Tables by type'!C45</f>
        <v>99.83513612602503</v>
      </c>
      <c r="C12" s="118">
        <f>'Tables by type'!B75+'Tables by type'!C75</f>
        <v>99.11847201816482</v>
      </c>
      <c r="D12" s="121">
        <f>'Tables by type'!B105+'Tables by type'!C105</f>
        <v>98.02271357421566</v>
      </c>
      <c r="E12" s="118">
        <f>'Tables by type'!B136+'Tables by type'!C136</f>
        <v>97.17340686741268</v>
      </c>
      <c r="F12" s="118">
        <f>'Tables by type'!B165+'Tables by type'!C165</f>
        <v>97.5967091796225</v>
      </c>
      <c r="G12" s="118">
        <f>'Tables by type'!B194+'Tables by type'!C194</f>
        <v>87.27308519763207</v>
      </c>
      <c r="H12" s="119">
        <f>+'Tables by type'!B14+'Tables by type'!C14</f>
        <v>98.00547094958563</v>
      </c>
      <c r="I12" s="120">
        <f>'Tables by type'!B256+'Tables by type'!C256</f>
        <v>96.06544773071286</v>
      </c>
      <c r="J12" s="118">
        <f>'Tables by type'!B287+'Tables by type'!C287</f>
        <v>95.0361961730619</v>
      </c>
      <c r="K12" s="118">
        <f>'Tables by type'!B318+'Tables by type'!C318</f>
        <v>95.75506607175706</v>
      </c>
      <c r="L12" s="118">
        <f>'Tables by type'!B349+'Tables by type'!C349</f>
        <v>96.26528129041299</v>
      </c>
      <c r="M12" s="120">
        <f>+'Tables by type'!B224+'Tables by type'!C224</f>
        <v>95.67724250705828</v>
      </c>
      <c r="N12" s="332">
        <f>+'Tables by type'!B409+'Tables by type'!C409</f>
        <v>88.79118692503421</v>
      </c>
      <c r="O12" s="333">
        <f>+'Tables by type'!B440+'Tables by type'!C440</f>
        <v>88.6011383310698</v>
      </c>
      <c r="P12" s="120">
        <f>+'Tables by type'!B380+'Tables by type'!C380</f>
        <v>88.7856668239148</v>
      </c>
    </row>
    <row r="13" spans="1:16" ht="15.75" customHeight="1">
      <c r="A13" s="9" t="s">
        <v>553</v>
      </c>
      <c r="B13" s="118">
        <f>'Tables by type'!B46+'Tables by type'!C46</f>
        <v>98.41515499334592</v>
      </c>
      <c r="C13" s="121">
        <f>'Tables by type'!B76+'Tables by type'!C76</f>
        <v>64.50765948029736</v>
      </c>
      <c r="D13" s="118">
        <f>'Tables by type'!B106+'Tables by type'!C106</f>
        <v>95.82051894869893</v>
      </c>
      <c r="E13" s="118">
        <f>'Tables by type'!B137+'Tables by type'!C137</f>
        <v>96.90282828479785</v>
      </c>
      <c r="F13" s="118">
        <f>'Tables by type'!B166+'Tables by type'!C166</f>
        <v>90.80117417166666</v>
      </c>
      <c r="G13" s="118">
        <f>'Tables by type'!B195+'Tables by type'!C195</f>
        <v>0</v>
      </c>
      <c r="H13" s="119">
        <f>+'Tables by type'!B15+'Tables by type'!C15</f>
        <v>91.78955972003445</v>
      </c>
      <c r="I13" s="120">
        <f>'Tables by type'!B257+'Tables by type'!C257</f>
        <v>0</v>
      </c>
      <c r="J13" s="118">
        <f>'Tables by type'!B288+'Tables by type'!C288</f>
        <v>71.58847369649756</v>
      </c>
      <c r="K13" s="118">
        <f>'Tables by type'!B319+'Tables by type'!C319</f>
        <v>87.00829537943413</v>
      </c>
      <c r="L13" s="118">
        <f>'Tables by type'!B350+'Tables by type'!C350</f>
        <v>75.86501083118193</v>
      </c>
      <c r="M13" s="120">
        <f>+'Tables by type'!B225+'Tables by type'!C225</f>
        <v>80.35936674643528</v>
      </c>
      <c r="N13" s="332">
        <f>+'Tables by type'!B410+'Tables by type'!C410</f>
        <v>93.11081766688676</v>
      </c>
      <c r="O13" s="333">
        <f>+'Tables by type'!B441+'Tables by type'!C441</f>
        <v>96.05256418698919</v>
      </c>
      <c r="P13" s="120">
        <f>+'Tables by type'!B381+'Tables by type'!C381</f>
        <v>94.41055432171801</v>
      </c>
    </row>
    <row r="14" spans="1:16" ht="15.75" customHeight="1">
      <c r="A14" s="9" t="s">
        <v>554</v>
      </c>
      <c r="B14" s="118">
        <f>'Tables by type'!B47+'Tables by type'!C47</f>
        <v>94.76987055101206</v>
      </c>
      <c r="C14" s="118">
        <f>'Tables by type'!B77+'Tables by type'!C77</f>
        <v>98.6202163319571</v>
      </c>
      <c r="D14" s="118">
        <f>'Tables by type'!B107+'Tables by type'!C107</f>
        <v>98.91562685680333</v>
      </c>
      <c r="E14" s="118">
        <f>'Tables by type'!B138+'Tables by type'!C138</f>
        <v>95.79684325965138</v>
      </c>
      <c r="F14" s="118">
        <f>'Tables by type'!B167+'Tables by type'!C167</f>
        <v>98.6663839475035</v>
      </c>
      <c r="G14" s="118">
        <f>'Tables by type'!B196+'Tables by type'!C196</f>
        <v>0</v>
      </c>
      <c r="H14" s="119">
        <f>+'Tables by type'!B16+'Tables by type'!C16</f>
        <v>97.00309744323732</v>
      </c>
      <c r="I14" s="120">
        <f>'Tables by type'!B258+'Tables by type'!C258</f>
        <v>100</v>
      </c>
      <c r="J14" s="118">
        <f>'Tables by type'!B289+'Tables by type'!C289</f>
        <v>95.66214972909734</v>
      </c>
      <c r="K14" s="118">
        <f>'Tables by type'!B320+'Tables by type'!C320</f>
        <v>95.28198895938041</v>
      </c>
      <c r="L14" s="118">
        <f>'Tables by type'!B351+'Tables by type'!C351</f>
        <v>100</v>
      </c>
      <c r="M14" s="120">
        <f>+'Tables by type'!B226+'Tables by type'!C226</f>
        <v>96.75720435009991</v>
      </c>
      <c r="N14" s="332">
        <f>+'Tables by type'!B411+'Tables by type'!C411</f>
        <v>100</v>
      </c>
      <c r="O14" s="333">
        <f>+'Tables by type'!B442+'Tables by type'!C442</f>
        <v>100</v>
      </c>
      <c r="P14" s="120">
        <f>+'Tables by type'!B382+'Tables by type'!C382</f>
        <v>100</v>
      </c>
    </row>
    <row r="15" spans="1:16" ht="15.75" customHeight="1">
      <c r="A15" s="9" t="s">
        <v>563</v>
      </c>
      <c r="B15" s="118">
        <f>'Tables by type'!B48+'Tables by type'!C48</f>
        <v>0</v>
      </c>
      <c r="C15" s="121">
        <f>'Tables by type'!B78+'Tables by type'!C78</f>
        <v>100</v>
      </c>
      <c r="D15" s="118">
        <f>'Tables by type'!B108+'Tables by type'!C108</f>
        <v>99.77795915056701</v>
      </c>
      <c r="E15" s="118">
        <f>'Tables by type'!B139+'Tables by type'!C139</f>
        <v>97.20763709379617</v>
      </c>
      <c r="F15" s="118">
        <f>'Tables by type'!B168+'Tables by type'!C168</f>
        <v>0</v>
      </c>
      <c r="G15" s="118">
        <f>'Tables by type'!B197+'Tables by type'!C197</f>
        <v>0</v>
      </c>
      <c r="H15" s="119">
        <f>+'Tables by type'!B17+'Tables by type'!C17</f>
        <v>81.9271671206112</v>
      </c>
      <c r="I15" s="120">
        <f>'Tables by type'!B259+'Tables by type'!C259</f>
        <v>0</v>
      </c>
      <c r="J15" s="118">
        <f>'Tables by type'!B290+'Tables by type'!C290</f>
        <v>94.99739234474225</v>
      </c>
      <c r="K15" s="118">
        <f>'Tables by type'!B321+'Tables by type'!C321</f>
        <v>92.15367090272237</v>
      </c>
      <c r="L15" s="118">
        <f>'Tables by type'!B352+'Tables by type'!C352</f>
        <v>94.30757526592916</v>
      </c>
      <c r="M15" s="120">
        <f>+'Tables by type'!B227+'Tables by type'!C227</f>
        <v>93.91477981065036</v>
      </c>
      <c r="N15" s="328">
        <f>+'Tables by type'!B412+'Tables by type'!C412</f>
        <v>0</v>
      </c>
      <c r="O15">
        <f>+'Tables by type'!B443+'Tables by type'!C443</f>
        <v>0</v>
      </c>
      <c r="P15" s="120">
        <f>+'Tables by type'!B383+'Tables by type'!C383</f>
        <v>0</v>
      </c>
    </row>
    <row r="16" spans="1:16" ht="15.75" customHeight="1">
      <c r="A16" s="9"/>
      <c r="B16" s="118"/>
      <c r="C16" s="118"/>
      <c r="D16" s="118"/>
      <c r="E16" s="118"/>
      <c r="F16" s="118"/>
      <c r="G16" s="118"/>
      <c r="H16" s="119"/>
      <c r="I16" s="120"/>
      <c r="J16" s="118"/>
      <c r="K16" s="118"/>
      <c r="L16" s="118"/>
      <c r="M16" s="120"/>
      <c r="N16" s="328"/>
      <c r="P16" s="120"/>
    </row>
    <row r="17" spans="1:16" ht="15.75" customHeight="1">
      <c r="A17" s="9" t="s">
        <v>206</v>
      </c>
      <c r="B17" s="118">
        <f>'Tables by type'!B50+'Tables by type'!C50</f>
        <v>92.4972680363876</v>
      </c>
      <c r="C17" s="118">
        <f>'Tables by type'!B80+'Tables by type'!C80</f>
        <v>95.8072066639575</v>
      </c>
      <c r="D17" s="118">
        <f>'Tables by type'!B110+'Tables by type'!C110</f>
        <v>98.07641187984825</v>
      </c>
      <c r="E17" s="121">
        <f>'Tables by type'!B141+'Tables by type'!C141</f>
        <v>97.76978156658657</v>
      </c>
      <c r="F17" s="118">
        <f>'Tables by type'!B170+'Tables by type'!C170</f>
        <v>97.50299531641434</v>
      </c>
      <c r="G17" s="118">
        <f>'Tables by type'!B199+'Tables by type'!C199</f>
        <v>0</v>
      </c>
      <c r="H17" s="119">
        <f>+'Tables by type'!B19+'Tables by type'!C19</f>
        <v>95.67898107393711</v>
      </c>
      <c r="I17" s="120">
        <f>'Tables by type'!B261+'Tables by type'!C261</f>
        <v>0</v>
      </c>
      <c r="J17" s="118">
        <f>'Tables by type'!B292+'Tables by type'!C292</f>
        <v>91.71678407493576</v>
      </c>
      <c r="K17" s="118">
        <f>'Tables by type'!B323+'Tables by type'!C323</f>
        <v>92.98206456052439</v>
      </c>
      <c r="L17" s="118">
        <f>'Tables by type'!B354+'Tables by type'!C354</f>
        <v>89.97250021262722</v>
      </c>
      <c r="M17" s="120">
        <f>+'Tables by type'!B229+'Tables by type'!C229</f>
        <v>92.43813851569382</v>
      </c>
      <c r="N17" s="328">
        <f>+'Tables by type'!B414+'Tables by type'!C414</f>
        <v>0</v>
      </c>
      <c r="O17">
        <f>+'Tables by type'!B445+'Tables by type'!C445</f>
        <v>0</v>
      </c>
      <c r="P17" s="120">
        <f>+'Tables by type'!B385+'Tables by type'!C385</f>
        <v>0</v>
      </c>
    </row>
    <row r="18" spans="1:16" ht="15.75" customHeight="1">
      <c r="A18" s="9" t="s">
        <v>214</v>
      </c>
      <c r="B18" s="118">
        <f>'Tables by type'!B51+'Tables by type'!C51</f>
        <v>99.39955282391608</v>
      </c>
      <c r="C18" s="118">
        <f>'Tables by type'!B81+'Tables by type'!C81</f>
        <v>97.99331522351439</v>
      </c>
      <c r="D18" s="118">
        <f>'Tables by type'!B111+'Tables by type'!C111</f>
        <v>98.04896153617617</v>
      </c>
      <c r="E18" s="121">
        <f>'Tables by type'!B142+'Tables by type'!C142</f>
        <v>97.76433803561206</v>
      </c>
      <c r="F18" s="121">
        <f>'Tables by type'!B171+'Tables by type'!C171</f>
        <v>93.26664814300268</v>
      </c>
      <c r="G18" s="118">
        <f>'Tables by type'!B200+'Tables by type'!C200</f>
        <v>98.78736692837853</v>
      </c>
      <c r="H18" s="119">
        <f>+'Tables by type'!B20+'Tables by type'!C20</f>
        <v>98.30555006609052</v>
      </c>
      <c r="I18" s="120">
        <f>'Tables by type'!B262+'Tables by type'!C262</f>
        <v>0</v>
      </c>
      <c r="J18" s="121">
        <f>'Tables by type'!B293+'Tables by type'!C293</f>
        <v>90.26166000501814</v>
      </c>
      <c r="K18" s="121">
        <f>'Tables by type'!B324+'Tables by type'!C324</f>
        <v>92.43787078041728</v>
      </c>
      <c r="L18" s="118">
        <f>'Tables by type'!B355+'Tables by type'!C355</f>
        <v>90.36209795289159</v>
      </c>
      <c r="M18" s="120">
        <f>+'Tables by type'!B230+'Tables by type'!C230</f>
        <v>91.37373712186148</v>
      </c>
      <c r="N18" s="328">
        <f>+'Tables by type'!B415+'Tables by type'!C415</f>
        <v>0</v>
      </c>
      <c r="O18">
        <f>+'Tables by type'!B446+'Tables by type'!C446</f>
        <v>0</v>
      </c>
      <c r="P18" s="120">
        <f>+'Tables by type'!B386+'Tables by type'!C386</f>
        <v>0</v>
      </c>
    </row>
    <row r="19" spans="1:16" ht="15.75" customHeight="1">
      <c r="A19" s="9" t="s">
        <v>207</v>
      </c>
      <c r="B19" s="118">
        <f>'Tables by type'!B52+'Tables by type'!C52</f>
        <v>97.2690143655768</v>
      </c>
      <c r="C19" s="118">
        <f>'Tables by type'!B82+'Tables by type'!C82</f>
        <v>0</v>
      </c>
      <c r="D19" s="118">
        <f>'Tables by type'!B112+'Tables by type'!C112</f>
        <v>99.28433400636698</v>
      </c>
      <c r="E19" s="118">
        <f>'Tables by type'!B143+'Tables by type'!C143</f>
        <v>96.89823606662699</v>
      </c>
      <c r="F19" s="121">
        <f>'Tables by type'!B172+'Tables by type'!C172</f>
        <v>92.05362039768929</v>
      </c>
      <c r="G19" s="118">
        <f>'Tables by type'!B201+'Tables by type'!C201</f>
        <v>99.75194953401383</v>
      </c>
      <c r="H19" s="119">
        <f>+'Tables by type'!B21+'Tables by type'!C21</f>
        <v>96.51059986921308</v>
      </c>
      <c r="I19" s="123">
        <f>'Tables by type'!B263+'Tables by type'!C263</f>
        <v>77.67545887321481</v>
      </c>
      <c r="J19" s="118">
        <f>'Tables by type'!B294+'Tables by type'!C294</f>
        <v>85.64032215240287</v>
      </c>
      <c r="K19" s="118">
        <f>'Tables by type'!B325+'Tables by type'!C325</f>
        <v>89.23622008801847</v>
      </c>
      <c r="L19" s="118">
        <f>'Tables by type'!B356+'Tables by type'!C356</f>
        <v>88.13042711810432</v>
      </c>
      <c r="M19" s="120">
        <f>+'Tables by type'!B231+'Tables by type'!C231</f>
        <v>86.89139390507322</v>
      </c>
      <c r="N19" s="328">
        <f>+'Tables by type'!B416+'Tables by type'!C416</f>
        <v>0</v>
      </c>
      <c r="O19">
        <f>+'Tables by type'!B447+'Tables by type'!C447</f>
        <v>0</v>
      </c>
      <c r="P19" s="120">
        <f>+'Tables by type'!B387+'Tables by type'!C387</f>
        <v>0</v>
      </c>
    </row>
    <row r="20" spans="1:16" ht="15.75" customHeight="1">
      <c r="A20" s="9" t="s">
        <v>556</v>
      </c>
      <c r="B20" s="118">
        <f>'Tables by type'!B53+'Tables by type'!C53</f>
        <v>0</v>
      </c>
      <c r="C20" s="118">
        <f>'Tables by type'!B83+'Tables by type'!C83</f>
        <v>0</v>
      </c>
      <c r="D20" s="118">
        <f>'Tables by type'!B113+'Tables by type'!C113</f>
        <v>0</v>
      </c>
      <c r="E20" s="118">
        <f>'Tables by type'!B144+'Tables by type'!C144</f>
        <v>0</v>
      </c>
      <c r="F20" s="118">
        <f>'Tables by type'!B173+'Tables by type'!C173</f>
        <v>0</v>
      </c>
      <c r="G20" s="118">
        <f>'Tables by type'!B202+'Tables by type'!C202</f>
        <v>0</v>
      </c>
      <c r="H20" s="119">
        <f>+'Tables by type'!B22+'Tables by type'!C22</f>
        <v>0</v>
      </c>
      <c r="I20" s="120">
        <f>'Tables by type'!B264+'Tables by type'!C264</f>
        <v>0</v>
      </c>
      <c r="J20" s="118">
        <f>'Tables by type'!B295+'Tables by type'!C295</f>
        <v>0</v>
      </c>
      <c r="K20" s="118">
        <f>'Tables by type'!B326+'Tables by type'!C326</f>
        <v>0</v>
      </c>
      <c r="L20" s="118">
        <f>'Tables by type'!B357+'Tables by type'!C357</f>
        <v>0</v>
      </c>
      <c r="M20" s="120">
        <f>+'Tables by type'!B232+'Tables by type'!C232</f>
        <v>0</v>
      </c>
      <c r="N20" s="328">
        <f>+'Tables by type'!B417+'Tables by type'!C417</f>
        <v>0</v>
      </c>
      <c r="O20">
        <f>+'Tables by type'!B448+'Tables by type'!C448</f>
        <v>0</v>
      </c>
      <c r="P20" s="120">
        <f>+'Tables by type'!B388+'Tables by type'!C388</f>
        <v>0</v>
      </c>
    </row>
    <row r="21" spans="1:16" ht="15.75" customHeight="1">
      <c r="A21" s="9"/>
      <c r="B21" s="118"/>
      <c r="C21" s="118"/>
      <c r="D21" s="118"/>
      <c r="E21" s="118"/>
      <c r="F21" s="118"/>
      <c r="G21" s="118"/>
      <c r="H21" s="119"/>
      <c r="I21" s="120"/>
      <c r="J21" s="118"/>
      <c r="K21" s="118"/>
      <c r="L21" s="118"/>
      <c r="M21" s="120"/>
      <c r="N21" s="328"/>
      <c r="P21" s="120"/>
    </row>
    <row r="22" spans="1:16" ht="15.75" customHeight="1">
      <c r="A22" s="9" t="s">
        <v>557</v>
      </c>
      <c r="B22" s="118">
        <f>'Tables by type'!B55+'Tables by type'!C55</f>
        <v>0</v>
      </c>
      <c r="C22" s="118">
        <f>'Tables by type'!B85+'Tables by type'!C85</f>
        <v>0</v>
      </c>
      <c r="D22" s="118">
        <f>'Tables by type'!B115+'Tables by type'!C115</f>
        <v>0</v>
      </c>
      <c r="E22" s="118">
        <f>'Tables by type'!B146+'Tables by type'!C146</f>
        <v>0</v>
      </c>
      <c r="F22" s="118">
        <f>'Tables by type'!B175+'Tables by type'!C175</f>
        <v>0</v>
      </c>
      <c r="G22" s="118">
        <f>'Tables by type'!B204+'Tables by type'!C204</f>
        <v>0</v>
      </c>
      <c r="H22" s="119">
        <f>+'Tables by type'!B24+'Tables by type'!C24</f>
        <v>0</v>
      </c>
      <c r="I22" s="120">
        <f>'Tables by type'!B266+'Tables by type'!C266</f>
        <v>0</v>
      </c>
      <c r="J22" s="118">
        <f>'Tables by type'!B297+'Tables by type'!C297</f>
        <v>0</v>
      </c>
      <c r="K22" s="118">
        <f>'Tables by type'!B328+'Tables by type'!C328</f>
        <v>0</v>
      </c>
      <c r="L22" s="118">
        <f>'Tables by type'!B359+'Tables by type'!C359</f>
        <v>0</v>
      </c>
      <c r="M22" s="120">
        <f>+'Tables by type'!B234+'Tables by type'!C234</f>
        <v>0</v>
      </c>
      <c r="N22" s="328">
        <f>+'Tables by type'!B419+'Tables by type'!C419</f>
        <v>0</v>
      </c>
      <c r="O22">
        <f>+'Tables by type'!B450+'Tables by type'!C450</f>
        <v>0</v>
      </c>
      <c r="P22" s="120">
        <f>+'Tables by type'!B390+'Tables by type'!C390</f>
        <v>0</v>
      </c>
    </row>
    <row r="23" spans="1:16" ht="15.75" customHeight="1">
      <c r="A23" s="9" t="s">
        <v>313</v>
      </c>
      <c r="B23" s="118">
        <f>'Tables by type'!B56+'Tables by type'!C56</f>
        <v>97.61623372048238</v>
      </c>
      <c r="C23" s="118">
        <f>'Tables by type'!B86+'Tables by type'!C86</f>
        <v>97.78489455177491</v>
      </c>
      <c r="D23" s="118">
        <f>'Tables by type'!B116+'Tables by type'!C116</f>
        <v>97.68274101294749</v>
      </c>
      <c r="E23" s="118">
        <f>'Tables by type'!B147+'Tables by type'!C147</f>
        <v>93.86206836170064</v>
      </c>
      <c r="F23" s="118">
        <f>'Tables by type'!B176+'Tables by type'!C176</f>
        <v>70.01591771764417</v>
      </c>
      <c r="G23" s="118">
        <f>'Tables by type'!B205+'Tables by type'!C205</f>
        <v>95.07768046413031</v>
      </c>
      <c r="H23" s="119">
        <f>+'Tables by type'!B25+'Tables by type'!C25</f>
        <v>97.39122581439183</v>
      </c>
      <c r="I23" s="120">
        <f>'Tables by type'!B267+'Tables by type'!C267</f>
        <v>0</v>
      </c>
      <c r="J23" s="118">
        <f>'Tables by type'!B298+'Tables by type'!C298</f>
        <v>91.1090442633066</v>
      </c>
      <c r="K23" s="118">
        <f>'Tables by type'!B329+'Tables by type'!C329</f>
        <v>91.23128631993073</v>
      </c>
      <c r="L23" s="118">
        <f>'Tables by type'!B360+'Tables by type'!C360</f>
        <v>91.60563545986646</v>
      </c>
      <c r="M23" s="120">
        <f>+'Tables by type'!B235+'Tables by type'!C235</f>
        <v>91.1615409592111</v>
      </c>
      <c r="N23" s="328">
        <f>+'Tables by type'!B420+'Tables by type'!C420</f>
        <v>0</v>
      </c>
      <c r="O23">
        <f>+'Tables by type'!B451+'Tables by type'!C451</f>
        <v>0</v>
      </c>
      <c r="P23" s="120">
        <f>+'Tables by type'!B391+'Tables by type'!C391</f>
        <v>0</v>
      </c>
    </row>
    <row r="24" spans="1:16" ht="15.75" customHeight="1">
      <c r="A24" s="9" t="s">
        <v>558</v>
      </c>
      <c r="B24" s="118">
        <f>'Tables by type'!B57+'Tables by type'!C57</f>
        <v>0</v>
      </c>
      <c r="C24" s="118">
        <f>'Tables by type'!B87+'Tables by type'!C87</f>
        <v>0</v>
      </c>
      <c r="D24" s="118">
        <f>'Tables by type'!B117+'Tables by type'!C117</f>
        <v>0</v>
      </c>
      <c r="E24" s="118">
        <f>'Tables by type'!B148+'Tables by type'!C148</f>
        <v>0</v>
      </c>
      <c r="F24" s="118">
        <f>'Tables by type'!B177+'Tables by type'!C177</f>
        <v>0</v>
      </c>
      <c r="G24" s="118">
        <f>'Tables by type'!B206+'Tables by type'!C206</f>
        <v>0</v>
      </c>
      <c r="H24" s="119">
        <f>+'Tables by type'!B26+'Tables by type'!C26</f>
        <v>0</v>
      </c>
      <c r="I24" s="120">
        <f>'Tables by type'!B268+'Tables by type'!C268</f>
        <v>0</v>
      </c>
      <c r="J24" s="118">
        <f>'Tables by type'!B299+'Tables by type'!C299</f>
        <v>0</v>
      </c>
      <c r="K24" s="118">
        <f>'Tables by type'!B330+'Tables by type'!C330</f>
        <v>0</v>
      </c>
      <c r="L24" s="118">
        <f>'Tables by type'!B361+'Tables by type'!C361</f>
        <v>0</v>
      </c>
      <c r="M24" s="120">
        <f>+'Tables by type'!B236+'Tables by type'!C236</f>
        <v>0</v>
      </c>
      <c r="N24" s="328">
        <f>+'Tables by type'!B421+'Tables by type'!C421</f>
        <v>0</v>
      </c>
      <c r="O24">
        <f>+'Tables by type'!B452+'Tables by type'!C452</f>
        <v>0</v>
      </c>
      <c r="P24" s="120">
        <f>+'Tables by type'!B392+'Tables by type'!C392</f>
        <v>0</v>
      </c>
    </row>
    <row r="25" spans="1:16" ht="15.75" customHeight="1">
      <c r="A25" s="10" t="s">
        <v>208</v>
      </c>
      <c r="B25" s="124">
        <f>'Tables by type'!B58+'Tables by type'!C58</f>
        <v>98.10162701904632</v>
      </c>
      <c r="C25" s="124">
        <f>'Tables by type'!B88+'Tables by type'!C88</f>
        <v>0</v>
      </c>
      <c r="D25" s="124">
        <f>'Tables by type'!B118+'Tables by type'!C118</f>
        <v>95.87121298861894</v>
      </c>
      <c r="E25" s="124">
        <f>'Tables by type'!B149+'Tables by type'!C149</f>
        <v>0</v>
      </c>
      <c r="F25" s="124">
        <f>'Tables by type'!B178+'Tables by type'!C178</f>
        <v>0</v>
      </c>
      <c r="G25" s="124">
        <f>'Tables by type'!B207+'Tables by type'!C207</f>
        <v>97.95060225091949</v>
      </c>
      <c r="H25" s="331">
        <f>+'Tables by type'!B27+'Tables by type'!C27</f>
        <v>97.61204206177</v>
      </c>
      <c r="I25" s="126">
        <f>'Tables by type'!B269+'Tables by type'!C269</f>
        <v>89.32064086558469</v>
      </c>
      <c r="J25" s="124">
        <f>'Tables by type'!B300+'Tables by type'!C300</f>
        <v>0</v>
      </c>
      <c r="K25" s="124">
        <f>'Tables by type'!B331+'Tables by type'!C331</f>
        <v>96.58499723893394</v>
      </c>
      <c r="L25" s="124">
        <f>'Tables by type'!B362+'Tables by type'!C362</f>
        <v>93.2425280817115</v>
      </c>
      <c r="M25" s="126">
        <f>+'Tables by type'!B237+'Tables by type'!C237</f>
        <v>93.08279134545421</v>
      </c>
      <c r="N25" s="329">
        <f>+'Tables by type'!B422+'Tables by type'!C422</f>
        <v>0</v>
      </c>
      <c r="O25" s="2">
        <f>+'Tables by type'!B453+'Tables by type'!C453</f>
        <v>0</v>
      </c>
      <c r="P25" s="126">
        <f>+'Tables by type'!B393+'Tables by type'!C393</f>
        <v>0</v>
      </c>
    </row>
    <row r="26" spans="1:13" s="72" customFormat="1" ht="11.25">
      <c r="A26" s="84"/>
      <c r="B26" s="85"/>
      <c r="C26" s="85"/>
      <c r="D26" s="85"/>
      <c r="E26" s="85"/>
      <c r="F26" s="85"/>
      <c r="G26" s="85"/>
      <c r="H26" s="85"/>
      <c r="I26" s="85"/>
      <c r="J26" s="85"/>
      <c r="K26" s="85"/>
      <c r="L26" s="85"/>
      <c r="M26" s="85"/>
    </row>
    <row r="27" spans="1:13" s="72" customFormat="1" ht="11.25">
      <c r="A27" s="74" t="s">
        <v>59</v>
      </c>
      <c r="J27" s="84"/>
      <c r="M27" s="84"/>
    </row>
    <row r="28" spans="1:13" s="72" customFormat="1" ht="11.25">
      <c r="A28" s="74"/>
      <c r="J28" s="84"/>
      <c r="M28" s="84"/>
    </row>
    <row r="29" spans="1:13" s="72" customFormat="1" ht="11.25">
      <c r="A29" s="74"/>
      <c r="J29" s="84"/>
      <c r="M29" s="84"/>
    </row>
    <row r="30" spans="13:16" s="72" customFormat="1" ht="11.25">
      <c r="M30" s="137"/>
      <c r="P30" s="343" t="s">
        <v>60</v>
      </c>
    </row>
    <row r="31" spans="1:16" ht="18">
      <c r="A31" s="417" t="s">
        <v>569</v>
      </c>
      <c r="B31" s="417"/>
      <c r="C31" s="417"/>
      <c r="D31" s="417"/>
      <c r="E31" s="417"/>
      <c r="F31" s="417"/>
      <c r="G31" s="417"/>
      <c r="H31" s="417"/>
      <c r="I31" s="417"/>
      <c r="J31" s="417"/>
      <c r="K31" s="417"/>
      <c r="L31" s="417"/>
      <c r="M31" s="417"/>
      <c r="N31" s="417"/>
      <c r="O31" s="417"/>
      <c r="P31" s="417"/>
    </row>
    <row r="32" spans="1:13" s="9" customFormat="1" ht="12.75">
      <c r="A32" s="90"/>
      <c r="B32" s="8"/>
      <c r="C32" s="8"/>
      <c r="D32" s="8"/>
      <c r="E32" s="8"/>
      <c r="F32" s="8"/>
      <c r="G32" s="8"/>
      <c r="H32" s="8"/>
      <c r="I32" s="8"/>
      <c r="J32" s="8"/>
      <c r="K32" s="8"/>
      <c r="L32" s="8"/>
      <c r="M32" s="89"/>
    </row>
    <row r="33" spans="1:16" ht="15.75">
      <c r="A33" s="418" t="s">
        <v>53</v>
      </c>
      <c r="B33" s="418"/>
      <c r="C33" s="418"/>
      <c r="D33" s="418"/>
      <c r="E33" s="418"/>
      <c r="F33" s="418"/>
      <c r="G33" s="418"/>
      <c r="H33" s="418"/>
      <c r="I33" s="418"/>
      <c r="J33" s="418"/>
      <c r="K33" s="418"/>
      <c r="L33" s="418"/>
      <c r="M33" s="418"/>
      <c r="N33" s="418"/>
      <c r="O33" s="418"/>
      <c r="P33" s="418"/>
    </row>
    <row r="34" spans="1:13" s="9" customFormat="1" ht="12.75">
      <c r="A34" s="88"/>
      <c r="B34" s="8"/>
      <c r="C34" s="8"/>
      <c r="D34" s="8"/>
      <c r="E34" s="8"/>
      <c r="F34" s="8"/>
      <c r="G34" s="8"/>
      <c r="H34" s="8"/>
      <c r="I34" s="8"/>
      <c r="J34" s="8"/>
      <c r="K34" s="8"/>
      <c r="L34" s="8"/>
      <c r="M34" s="89"/>
    </row>
    <row r="35" spans="1:23" s="57" customFormat="1" ht="18" customHeight="1">
      <c r="A35" s="19"/>
      <c r="B35" s="325" t="s">
        <v>205</v>
      </c>
      <c r="C35" s="325"/>
      <c r="D35" s="325"/>
      <c r="E35" s="325"/>
      <c r="F35" s="325"/>
      <c r="G35" s="325"/>
      <c r="H35" s="326"/>
      <c r="I35" s="327" t="s">
        <v>210</v>
      </c>
      <c r="J35" s="325"/>
      <c r="K35" s="325"/>
      <c r="L35" s="325"/>
      <c r="M35" s="325"/>
      <c r="N35" s="327" t="s">
        <v>547</v>
      </c>
      <c r="O35" s="325"/>
      <c r="P35" s="325"/>
      <c r="R35" s="336" t="s">
        <v>54</v>
      </c>
      <c r="S35" s="336"/>
      <c r="T35" s="336"/>
      <c r="U35" s="337" t="s">
        <v>55</v>
      </c>
      <c r="V35" s="336"/>
      <c r="W35" s="336"/>
    </row>
    <row r="36" spans="1:23" s="94" customFormat="1" ht="26.25" customHeight="1">
      <c r="A36" s="20"/>
      <c r="B36" s="91">
        <v>1</v>
      </c>
      <c r="C36" s="91">
        <v>2</v>
      </c>
      <c r="D36" s="91">
        <v>3</v>
      </c>
      <c r="E36" s="91">
        <v>4</v>
      </c>
      <c r="F36" s="91">
        <v>5</v>
      </c>
      <c r="G36" s="91">
        <v>6</v>
      </c>
      <c r="H36" s="93" t="s">
        <v>591</v>
      </c>
      <c r="I36" s="330" t="s">
        <v>314</v>
      </c>
      <c r="J36" s="91">
        <v>1</v>
      </c>
      <c r="K36" s="91">
        <v>2</v>
      </c>
      <c r="L36" s="91">
        <v>3</v>
      </c>
      <c r="M36" s="92" t="s">
        <v>591</v>
      </c>
      <c r="N36" s="92">
        <v>1</v>
      </c>
      <c r="O36" s="91">
        <v>2</v>
      </c>
      <c r="P36" s="92" t="s">
        <v>591</v>
      </c>
      <c r="R36" s="338" t="s">
        <v>56</v>
      </c>
      <c r="S36" s="338" t="s">
        <v>57</v>
      </c>
      <c r="T36" s="338" t="s">
        <v>58</v>
      </c>
      <c r="U36" s="339" t="s">
        <v>56</v>
      </c>
      <c r="V36" s="338" t="s">
        <v>57</v>
      </c>
      <c r="W36" s="338" t="s">
        <v>58</v>
      </c>
    </row>
    <row r="37" spans="1:23" ht="15.75" customHeight="1">
      <c r="A37" s="9" t="s">
        <v>548</v>
      </c>
      <c r="B37" s="118">
        <f>+'Tables by type'!D40</f>
        <v>0.5707875151054275</v>
      </c>
      <c r="C37" s="118">
        <f>+'Tables by type'!D70</f>
        <v>0</v>
      </c>
      <c r="D37" s="118">
        <f>+'Tables by type'!D100</f>
        <v>3.661169003284414</v>
      </c>
      <c r="E37" s="118">
        <f>+'Tables by type'!D131</f>
        <v>3.687439722569922</v>
      </c>
      <c r="F37" s="118">
        <f>+'Tables by type'!D160</f>
        <v>12.41874212158889</v>
      </c>
      <c r="G37" s="118">
        <f>+'Tables by type'!D189</f>
        <v>16.732196779063916</v>
      </c>
      <c r="H37" s="119">
        <f>+'Tables by type'!D9</f>
        <v>3.152646696248895</v>
      </c>
      <c r="I37" s="120">
        <f>+'Tables by type'!D251</f>
        <v>0</v>
      </c>
      <c r="J37" s="118">
        <f>+'Tables by type'!D282</f>
        <v>3.518385742087473</v>
      </c>
      <c r="K37" s="118">
        <f>+'Tables by type'!D313</f>
        <v>6.266319423250388</v>
      </c>
      <c r="L37" s="118">
        <f>+'Tables by type'!D344</f>
        <v>8.178888368471824</v>
      </c>
      <c r="M37" s="120">
        <f>+'Tables by type'!D219</f>
        <v>6.4349025685387105</v>
      </c>
      <c r="N37" s="328">
        <f>+'Tables by type'!D404</f>
        <v>0</v>
      </c>
      <c r="O37">
        <f>+'Tables by type'!D435</f>
        <v>0</v>
      </c>
      <c r="P37" s="120">
        <f>+'Tables by type'!D375</f>
        <v>0</v>
      </c>
      <c r="R37" s="340">
        <f>(GETPIVOTDATA(" Old %UG EL Web",'FTE Pivot Table'!$A$3,"State","AL","Type2","Four-Year")+GETPIVOTDATA(" Old %UG EL CV",'FTE Pivot Table'!$A$3,"State","AL","Type2","Four-Year")+GETPIVOTDATA(" Old %UG EL O",'FTE Pivot Table'!$A$3,"State","AL","Type2","Four-Year"))*100</f>
        <v>0</v>
      </c>
      <c r="S37" s="340">
        <f>(GETPIVOTDATA(" Old %UG EL Web",'FTE Pivot Table'!$A$3,"State","AL","Type2","Two-Year")+GETPIVOTDATA(" Old %UG EL CV",'FTE Pivot Table'!$A$3,"State","AL","Type2","Two-Year")+GETPIVOTDATA(" Old %UG EL O",'FTE Pivot Table'!$A$3,"State","AL","Type2","Two-Year"))*100</f>
        <v>0</v>
      </c>
      <c r="T37" s="340">
        <f>(GETPIVOTDATA(" Old %UG EL Web",'FTE Pivot Table'!$A$3,"State","AL","Type2","Technical")+GETPIVOTDATA(" Old %UG EL CV",'FTE Pivot Table'!$A$3,"State","AL","Type2","Technical")+GETPIVOTDATA(" Old %UG EL O",'FTE Pivot Table'!$A$3,"State","AL","Type2","Technical"))*100</f>
        <v>0</v>
      </c>
      <c r="U37" s="341" t="str">
        <f>IF(R37&gt;0,H37-R37,"—")</f>
        <v>—</v>
      </c>
      <c r="V37" s="342" t="str">
        <f>IF(S37&gt;0,M37-S37,"—")</f>
        <v>—</v>
      </c>
      <c r="W37" s="342" t="str">
        <f>IF(T37&gt;0,P37-T37,"—")</f>
        <v>—</v>
      </c>
    </row>
    <row r="38" spans="1:23" ht="15.75" customHeight="1">
      <c r="A38" s="9" t="s">
        <v>549</v>
      </c>
      <c r="B38" s="118">
        <f>+'Tables by type'!D41</f>
        <v>0</v>
      </c>
      <c r="C38" s="118">
        <f>+'Tables by type'!D71</f>
        <v>0.6536573941000501</v>
      </c>
      <c r="D38" s="121">
        <f>+'Tables by type'!D101</f>
        <v>6.934714015419094</v>
      </c>
      <c r="E38" s="118">
        <f>+'Tables by type'!D132</f>
        <v>0</v>
      </c>
      <c r="F38" s="118">
        <f>+'Tables by type'!D161</f>
        <v>2.533178819131032</v>
      </c>
      <c r="G38" s="118">
        <f>+'Tables by type'!D190</f>
        <v>3.867677480299896</v>
      </c>
      <c r="H38" s="119">
        <f>+'Tables by type'!D10</f>
        <v>4.20860808980884</v>
      </c>
      <c r="I38" s="120">
        <f>+'Tables by type'!D252</f>
        <v>7.551195128350295</v>
      </c>
      <c r="J38" s="118">
        <f>+'Tables by type'!D283</f>
        <v>0</v>
      </c>
      <c r="K38" s="118">
        <f>+'Tables by type'!D314</f>
        <v>1.6408682045395147</v>
      </c>
      <c r="L38" s="118">
        <f>+'Tables by type'!D345</f>
        <v>8.414852744806536</v>
      </c>
      <c r="M38" s="120">
        <f>+'Tables by type'!D220</f>
        <v>6.4057206054239595</v>
      </c>
      <c r="N38" s="328">
        <f>+'Tables by type'!D405</f>
        <v>0</v>
      </c>
      <c r="O38">
        <f>+'Tables by type'!D436</f>
        <v>0</v>
      </c>
      <c r="P38" s="120">
        <f>+'Tables by type'!D376</f>
        <v>0</v>
      </c>
      <c r="R38" s="340">
        <f>(GETPIVOTDATA(" Old %UG EL Web",'FTE Pivot Table'!$A$3,"State","Ar","Type2","Four-Year")+GETPIVOTDATA(" Old %UG EL CV",'FTE Pivot Table'!$A$3,"State","Ar","Type2","Four-Year")+GETPIVOTDATA(" Old %UG EL O",'FTE Pivot Table'!$A$3,"State","Ar","Type2","Four-Year"))*100</f>
        <v>3.4949224771347245</v>
      </c>
      <c r="S38" s="340">
        <f>(GETPIVOTDATA(" Old %UG EL Web",'FTE Pivot Table'!$A$3,"State","AR","Type2","Two-Year")+GETPIVOTDATA(" Old %UG EL CV",'FTE Pivot Table'!$A$3,"State","AR","Type2","Two-Year")+GETPIVOTDATA(" Old %UG EL O",'FTE Pivot Table'!$A$3,"State","AR","Type2","Two-Year"))*100</f>
        <v>6.491401511453435</v>
      </c>
      <c r="T38" s="340">
        <f>(GETPIVOTDATA(" Old %UG EL Web",'FTE Pivot Table'!$A$3,"State","AR","Type2","Technical")+GETPIVOTDATA(" Old %UG EL CV",'FTE Pivot Table'!$A$3,"State","AR","Type2","Technical")+GETPIVOTDATA(" Old %UG EL O",'FTE Pivot Table'!$A$3,"State","AR","Type2","Technical"))*100</f>
        <v>0</v>
      </c>
      <c r="U38" s="341">
        <f aca="true" t="shared" si="0" ref="U38:U55">IF(R38&gt;0,H38-R38,"—")</f>
        <v>0.7136856126741158</v>
      </c>
      <c r="V38" s="342">
        <f aca="true" t="shared" si="1" ref="V38:V55">IF(S38&gt;0,M38-S38,"—")</f>
        <v>-0.08568090602947542</v>
      </c>
      <c r="W38" s="342" t="str">
        <f aca="true" t="shared" si="2" ref="W38:W55">IF(T38&gt;0,P38-T38,"—")</f>
        <v>—</v>
      </c>
    </row>
    <row r="39" spans="1:23" ht="15.75" customHeight="1">
      <c r="A39" s="9" t="s">
        <v>550</v>
      </c>
      <c r="B39" s="118">
        <f>+'Tables by type'!D42</f>
        <v>2.0248623591950388</v>
      </c>
      <c r="C39" s="118">
        <f>+'Tables by type'!D72</f>
        <v>0</v>
      </c>
      <c r="D39" s="118">
        <f>+'Tables by type'!D102</f>
        <v>0</v>
      </c>
      <c r="E39" s="118">
        <f>+'Tables by type'!D133</f>
        <v>0</v>
      </c>
      <c r="F39" s="118">
        <f>+'Tables by type'!D162</f>
        <v>0</v>
      </c>
      <c r="G39" s="118">
        <f>+'Tables by type'!D191</f>
        <v>0</v>
      </c>
      <c r="H39" s="119">
        <f>+'Tables by type'!D11</f>
        <v>2.0248623591950388</v>
      </c>
      <c r="I39" s="120">
        <f>+'Tables by type'!D253</f>
        <v>0</v>
      </c>
      <c r="J39" s="118">
        <f>+'Tables by type'!D284</f>
        <v>0</v>
      </c>
      <c r="K39" s="118">
        <f>+'Tables by type'!D315</f>
        <v>8.875483225997451</v>
      </c>
      <c r="L39" s="118">
        <f>+'Tables by type'!D346</f>
        <v>11.76447665809368</v>
      </c>
      <c r="M39" s="120">
        <f>+'Tables by type'!D221</f>
        <v>9.396855759459621</v>
      </c>
      <c r="N39" s="328">
        <f>+'Tables by type'!D406</f>
        <v>0</v>
      </c>
      <c r="O39">
        <f>+'Tables by type'!D437</f>
        <v>0</v>
      </c>
      <c r="P39" s="120">
        <f>+'Tables by type'!D377</f>
        <v>0</v>
      </c>
      <c r="R39" s="340">
        <f>(GETPIVOTDATA(" Old %UG EL Web",'FTE Pivot Table'!$A$3,"State","DE","Type2","Four-Year")+GETPIVOTDATA(" Old %UG EL CV",'FTE Pivot Table'!$A$3,"State","DE","Type2","Four-Year")+GETPIVOTDATA(" Old %UG EL O",'FTE Pivot Table'!$A$3,"State","DE","Type2","Four-Year"))*100</f>
        <v>0</v>
      </c>
      <c r="S39" s="340">
        <f>(GETPIVOTDATA(" Old %UG EL Web",'FTE Pivot Table'!$A$3,"State","DE","Type2","Two-Year")+GETPIVOTDATA(" Old %UG EL CV",'FTE Pivot Table'!$A$3,"State","DE","Type2","Two-Year")+GETPIVOTDATA(" Old %UG EL O",'FTE Pivot Table'!$A$3,"State","DE","Type2","Two-Year"))*100</f>
        <v>0</v>
      </c>
      <c r="T39" s="340">
        <f>(GETPIVOTDATA(" Old %UG EL Web",'FTE Pivot Table'!$A$3,"State","DE","Type2","Technical")+GETPIVOTDATA(" Old %UG EL CV",'FTE Pivot Table'!$A$3,"State","DE","Type2","Technical")+GETPIVOTDATA(" Old %UG EL O",'FTE Pivot Table'!$A$3,"State","DE","Type2","Technical"))*100</f>
        <v>0</v>
      </c>
      <c r="U39" s="341" t="str">
        <f t="shared" si="0"/>
        <v>—</v>
      </c>
      <c r="V39" s="342" t="str">
        <f t="shared" si="1"/>
        <v>—</v>
      </c>
      <c r="W39" s="342" t="str">
        <f t="shared" si="2"/>
        <v>—</v>
      </c>
    </row>
    <row r="40" spans="1:23" ht="15.75" customHeight="1">
      <c r="A40" s="9" t="s">
        <v>551</v>
      </c>
      <c r="B40" s="121">
        <f>+'Tables by type'!D43</f>
        <v>13.07992238736876</v>
      </c>
      <c r="C40" s="118">
        <f>+'Tables by type'!D73</f>
        <v>9.875145440834565</v>
      </c>
      <c r="D40" s="118">
        <f>+'Tables by type'!D103</f>
        <v>1.8940954927743565</v>
      </c>
      <c r="E40" s="118">
        <f>+'Tables by type'!D134</f>
        <v>0</v>
      </c>
      <c r="F40" s="118">
        <f>+'Tables by type'!D163</f>
        <v>12.912504404690688</v>
      </c>
      <c r="G40" s="118">
        <f>+'Tables by type'!D192</f>
        <v>0</v>
      </c>
      <c r="H40" s="119">
        <f>+'Tables by type'!D12</f>
        <v>10.225538834688633</v>
      </c>
      <c r="I40" s="120">
        <f>+'Tables by type'!D254</f>
        <v>0</v>
      </c>
      <c r="J40" s="118">
        <f>+'Tables by type'!D285</f>
        <v>8.7352050697011</v>
      </c>
      <c r="K40" s="118">
        <f>+'Tables by type'!D316</f>
        <v>10.05653651137399</v>
      </c>
      <c r="L40" s="118">
        <f>+'Tables by type'!D347</f>
        <v>5.674095683933195</v>
      </c>
      <c r="M40" s="120">
        <f>+'Tables by type'!D222</f>
        <v>8.8540636420639</v>
      </c>
      <c r="N40" s="328">
        <f>+'Tables by type'!D407</f>
        <v>0</v>
      </c>
      <c r="O40">
        <f>+'Tables by type'!D438</f>
        <v>0</v>
      </c>
      <c r="P40" s="120">
        <f>+'Tables by type'!D378</f>
        <v>0</v>
      </c>
      <c r="R40" s="340">
        <f>(GETPIVOTDATA(" Old %UG EL Web",'FTE Pivot Table'!$A$3,"State","FL","Type2","Four-Year")+GETPIVOTDATA(" Old %UG EL CV",'FTE Pivot Table'!$A$3,"State","FL","Type2","Four-Year")+GETPIVOTDATA(" Old %UG EL O",'FTE Pivot Table'!$A$3,"State","FL","Type2","Four-Year"))*100</f>
        <v>9.64849200309553</v>
      </c>
      <c r="S40" s="340">
        <f>(GETPIVOTDATA(" Old %UG EL Web",'FTE Pivot Table'!$A$3,"State","FL","Type2","Two-Year")+GETPIVOTDATA(" Old %UG EL CV",'FTE Pivot Table'!$A$3,"State","FL","Type2","Two-Year")+GETPIVOTDATA(" Old %UG EL O",'FTE Pivot Table'!$A$3,"State","FL","Type2","Two-Year"))*100</f>
        <v>6.872470031286353</v>
      </c>
      <c r="T40" s="340">
        <f>(GETPIVOTDATA(" Old %UG EL Web",'FTE Pivot Table'!$A$3,"State","FL","Type2","Technical")+GETPIVOTDATA(" Old %UG EL CV",'FTE Pivot Table'!$A$3,"State","FL","Type2","Technical")+GETPIVOTDATA(" Old %UG EL O",'FTE Pivot Table'!$A$3,"State","FL","Type2","Technical"))*100</f>
        <v>0</v>
      </c>
      <c r="U40" s="341">
        <f t="shared" si="0"/>
        <v>0.577046831593103</v>
      </c>
      <c r="V40" s="342">
        <f t="shared" si="1"/>
        <v>1.9815936107775478</v>
      </c>
      <c r="W40" s="342" t="str">
        <f t="shared" si="2"/>
        <v>—</v>
      </c>
    </row>
    <row r="41" spans="1:23" ht="15.75" customHeight="1">
      <c r="A41" s="9"/>
      <c r="B41" s="121"/>
      <c r="C41" s="118"/>
      <c r="D41" s="118"/>
      <c r="E41" s="118"/>
      <c r="F41" s="118"/>
      <c r="G41" s="118"/>
      <c r="H41" s="119"/>
      <c r="I41" s="120"/>
      <c r="J41" s="118"/>
      <c r="K41" s="118"/>
      <c r="L41" s="118"/>
      <c r="M41" s="120"/>
      <c r="N41" s="328"/>
      <c r="P41" s="120"/>
      <c r="R41" s="340"/>
      <c r="S41" s="340"/>
      <c r="T41" s="340"/>
      <c r="U41" s="341"/>
      <c r="V41" s="342"/>
      <c r="W41" s="342"/>
    </row>
    <row r="42" spans="1:23" ht="15.75" customHeight="1">
      <c r="A42" s="9" t="s">
        <v>552</v>
      </c>
      <c r="B42" s="118">
        <f>+'Tables by type'!D45</f>
        <v>0.16486387397496902</v>
      </c>
      <c r="C42" s="118">
        <f>+'Tables by type'!D75</f>
        <v>0.881527981835181</v>
      </c>
      <c r="D42" s="121">
        <f>+'Tables by type'!D105</f>
        <v>1.9772864257843479</v>
      </c>
      <c r="E42" s="118">
        <f>+'Tables by type'!D136</f>
        <v>2.755158092345871</v>
      </c>
      <c r="F42" s="118">
        <f>+'Tables by type'!D165</f>
        <v>2.4032908203775043</v>
      </c>
      <c r="G42" s="118">
        <f>+'Tables by type'!D194</f>
        <v>12.217191388838112</v>
      </c>
      <c r="H42" s="119">
        <f>+'Tables by type'!D14</f>
        <v>1.9555502115266563</v>
      </c>
      <c r="I42" s="120">
        <f>+'Tables by type'!D256</f>
        <v>3.9345522692871384</v>
      </c>
      <c r="J42" s="118">
        <f>+'Tables by type'!D287</f>
        <v>4.9638038269381095</v>
      </c>
      <c r="K42" s="118">
        <f>+'Tables by type'!D318</f>
        <v>4.244933928242949</v>
      </c>
      <c r="L42" s="118">
        <f>+'Tables by type'!D349</f>
        <v>3.734718709586999</v>
      </c>
      <c r="M42" s="120">
        <f>+'Tables by type'!D224</f>
        <v>4.322757492941717</v>
      </c>
      <c r="N42" s="332">
        <f>+'Tables by type'!D409</f>
        <v>11.208813074965795</v>
      </c>
      <c r="O42" s="333">
        <f>+'Tables by type'!D440</f>
        <v>11.398861668930197</v>
      </c>
      <c r="P42" s="120">
        <f>+'Tables by type'!D380</f>
        <v>11.214333176085203</v>
      </c>
      <c r="R42" s="340">
        <f>(GETPIVOTDATA(" Old %UG EL Web",'FTE Pivot Table'!$A$3,"State","GA","Type2","Four-Year")+GETPIVOTDATA(" Old %UG EL CV",'FTE Pivot Table'!$A$3,"State","GA","Type2","Four-Year")+GETPIVOTDATA(" Old %UG EL O",'FTE Pivot Table'!$A$3,"State","GA","Type2","Four-Year"))*100</f>
        <v>1.8032750241377873</v>
      </c>
      <c r="S42" s="340">
        <f>(GETPIVOTDATA(" Old %UG EL Web",'FTE Pivot Table'!$A$3,"State","GA","Type2","Two-Year")+GETPIVOTDATA(" Old %UG EL CV",'FTE Pivot Table'!$A$3,"State","GA","Type2","Two-Year")+GETPIVOTDATA(" Old %UG EL O",'FTE Pivot Table'!$A$3,"State","GA","Type2","Two-Year"))*100</f>
        <v>3.6073089112404637</v>
      </c>
      <c r="T42" s="340">
        <f>(GETPIVOTDATA(" Old %UG EL Web",'FTE Pivot Table'!$A$3,"State","GA","Type2","Technical")+GETPIVOTDATA(" Old %UG EL CV",'FTE Pivot Table'!$A$3,"State","GA","Type2","Technical")+GETPIVOTDATA(" Old %UG EL O",'FTE Pivot Table'!$A$3,"State","GA","Type2","Technical"))*100</f>
        <v>7.401154853241347</v>
      </c>
      <c r="U42" s="341">
        <f t="shared" si="0"/>
        <v>0.15227518738886903</v>
      </c>
      <c r="V42" s="342">
        <f t="shared" si="1"/>
        <v>0.7154485817012533</v>
      </c>
      <c r="W42" s="342">
        <f t="shared" si="2"/>
        <v>3.8131783228438563</v>
      </c>
    </row>
    <row r="43" spans="1:23" ht="15.75" customHeight="1">
      <c r="A43" s="9" t="s">
        <v>553</v>
      </c>
      <c r="B43" s="118">
        <f>+'Tables by type'!D46</f>
        <v>1.5848450066540811</v>
      </c>
      <c r="C43" s="121">
        <f>+'Tables by type'!D76</f>
        <v>35.49234051970263</v>
      </c>
      <c r="D43" s="118">
        <f>+'Tables by type'!D106</f>
        <v>4.179481051301067</v>
      </c>
      <c r="E43" s="118">
        <f>+'Tables by type'!D137</f>
        <v>3.097171715202153</v>
      </c>
      <c r="F43" s="118">
        <f>+'Tables by type'!D166</f>
        <v>9.198825828333348</v>
      </c>
      <c r="G43" s="118">
        <f>+'Tables by type'!D195</f>
        <v>0</v>
      </c>
      <c r="H43" s="122">
        <f>+'Tables by type'!D15</f>
        <v>8.210440279965546</v>
      </c>
      <c r="I43" s="120">
        <f>+'Tables by type'!D257</f>
        <v>0</v>
      </c>
      <c r="J43" s="118">
        <f>+'Tables by type'!D288</f>
        <v>28.411526303502438</v>
      </c>
      <c r="K43" s="118">
        <f>+'Tables by type'!D319</f>
        <v>12.991704620565883</v>
      </c>
      <c r="L43" s="118">
        <f>+'Tables by type'!D350</f>
        <v>24.134989168818066</v>
      </c>
      <c r="M43" s="120">
        <f>+'Tables by type'!D225</f>
        <v>19.64063325356471</v>
      </c>
      <c r="N43" s="332">
        <f>+'Tables by type'!D410</f>
        <v>6.88918233311325</v>
      </c>
      <c r="O43" s="333">
        <f>+'Tables by type'!D441</f>
        <v>3.947435813010807</v>
      </c>
      <c r="P43" s="120">
        <f>+'Tables by type'!D381</f>
        <v>5.58944567828198</v>
      </c>
      <c r="R43" s="340">
        <f>(GETPIVOTDATA(" Old %UG EL Web",'FTE Pivot Table'!$A$3,"State","KY","Type2","Four-Year")+GETPIVOTDATA(" Old %UG EL CV",'FTE Pivot Table'!$A$3,"State","KY","Type2","Four-Year")+GETPIVOTDATA(" Old %UG EL O",'FTE Pivot Table'!$A$3,"State","KY","Type2","Four-Year"))*100</f>
        <v>3.969989628683767</v>
      </c>
      <c r="S43" s="340">
        <f>(GETPIVOTDATA(" Old %UG EL Web",'FTE Pivot Table'!$A$3,"State","KY","Type2","Two-Year")+GETPIVOTDATA(" Old %UG EL CV",'FTE Pivot Table'!$A$3,"State","KY","Type2","Two-Year")+GETPIVOTDATA(" Old %UG EL O",'FTE Pivot Table'!$A$3,"State","KY","Type2","Two-Year"))*100</f>
        <v>7.596832196333596</v>
      </c>
      <c r="T43" s="340">
        <f>(GETPIVOTDATA(" Old %UG EL Web",'FTE Pivot Table'!$A$3,"State","KY","Type2","Technical")+GETPIVOTDATA(" Old %UG EL CV",'FTE Pivot Table'!$A$3,"State","KY","Type2","Technical")+GETPIVOTDATA(" Old %UG EL O",'FTE Pivot Table'!$A$3,"State","KY","Type2","Technical"))*100</f>
        <v>2.181822604898534</v>
      </c>
      <c r="U43" s="341">
        <f t="shared" si="0"/>
        <v>4.24045065128178</v>
      </c>
      <c r="V43" s="342">
        <f t="shared" si="1"/>
        <v>12.043801057231116</v>
      </c>
      <c r="W43" s="342">
        <f t="shared" si="2"/>
        <v>3.4076230733834465</v>
      </c>
    </row>
    <row r="44" spans="1:23" ht="15.75" customHeight="1">
      <c r="A44" s="9" t="s">
        <v>554</v>
      </c>
      <c r="B44" s="118">
        <f>+'Tables by type'!D47</f>
        <v>0.8598655592128721</v>
      </c>
      <c r="C44" s="118">
        <f>+'Tables by type'!D77</f>
        <v>1.3797836680428996</v>
      </c>
      <c r="D44" s="118">
        <f>+'Tables by type'!D107</f>
        <v>1.0843731431966726</v>
      </c>
      <c r="E44" s="118">
        <f>+'Tables by type'!D138</f>
        <v>4.2031567403486205</v>
      </c>
      <c r="F44" s="118">
        <f>+'Tables by type'!D167</f>
        <v>1.3336160524964846</v>
      </c>
      <c r="G44" s="118">
        <f>+'Tables by type'!D196</f>
        <v>0</v>
      </c>
      <c r="H44" s="119">
        <f>+'Tables by type'!D16</f>
        <v>2.0383635138309293</v>
      </c>
      <c r="I44" s="120">
        <f>+'Tables by type'!D258</f>
        <v>0</v>
      </c>
      <c r="J44" s="118">
        <f>+'Tables by type'!D289</f>
        <v>4.337850270902669</v>
      </c>
      <c r="K44" s="118">
        <f>+'Tables by type'!D320</f>
        <v>4.718011040619593</v>
      </c>
      <c r="L44" s="118">
        <f>+'Tables by type'!D351</f>
        <v>0</v>
      </c>
      <c r="M44" s="120">
        <f>+'Tables by type'!D226</f>
        <v>3.242795649900098</v>
      </c>
      <c r="N44" s="328">
        <f>+'Tables by type'!D411</f>
        <v>0</v>
      </c>
      <c r="O44">
        <f>+'Tables by type'!D442</f>
        <v>0</v>
      </c>
      <c r="P44" s="120">
        <f>+'Tables by type'!D382</f>
        <v>0</v>
      </c>
      <c r="R44" s="340">
        <f>(GETPIVOTDATA(" Old %UG EL Web",'FTE Pivot Table'!$A$3,"State","LA","Type2","Four-Year")+GETPIVOTDATA(" Old %UG EL CV",'FTE Pivot Table'!$A$3,"State","LA","Type2","Four-Year")+GETPIVOTDATA(" Old %UG EL O",'FTE Pivot Table'!$A$3,"State","LA","Type2","Four-Year"))*100</f>
        <v>0</v>
      </c>
      <c r="S44" s="340">
        <f>(GETPIVOTDATA(" Old %UG EL Web",'FTE Pivot Table'!$A$3,"State","LA","Type2","Two-Year")+GETPIVOTDATA(" Old %UG EL CV",'FTE Pivot Table'!$A$3,"State","LA","Type2","Two-Year")+GETPIVOTDATA(" Old %UG EL O",'FTE Pivot Table'!$A$3,"State","LA","Type2","Two-Year"))*100</f>
        <v>0</v>
      </c>
      <c r="T44" s="340">
        <f>(GETPIVOTDATA(" Old %UG EL Web",'FTE Pivot Table'!$A$3,"State","LA","Type2","Technical")+GETPIVOTDATA(" Old %UG EL CV",'FTE Pivot Table'!$A$3,"State","LA","Type2","Technical")+GETPIVOTDATA(" Old %UG EL O",'FTE Pivot Table'!$A$3,"State","LA","Type2","Technical"))*100</f>
        <v>0</v>
      </c>
      <c r="U44" s="341" t="str">
        <f t="shared" si="0"/>
        <v>—</v>
      </c>
      <c r="V44" s="342" t="str">
        <f t="shared" si="1"/>
        <v>—</v>
      </c>
      <c r="W44" s="342" t="str">
        <f t="shared" si="2"/>
        <v>—</v>
      </c>
    </row>
    <row r="45" spans="1:23" ht="15.75" customHeight="1">
      <c r="A45" s="9" t="s">
        <v>563</v>
      </c>
      <c r="B45" s="118">
        <f>+'Tables by type'!D48</f>
        <v>0</v>
      </c>
      <c r="C45" s="118">
        <f>+'Tables by type'!D78</f>
        <v>0</v>
      </c>
      <c r="D45" s="118">
        <f>+'Tables by type'!D108</f>
        <v>0.2220408494329847</v>
      </c>
      <c r="E45" s="118">
        <f>+'Tables by type'!D139</f>
        <v>2.7923629062038406</v>
      </c>
      <c r="F45" s="118">
        <f>+'Tables by type'!D168</f>
        <v>0</v>
      </c>
      <c r="G45" s="118">
        <f>+'Tables by type'!D197</f>
        <v>0</v>
      </c>
      <c r="H45" s="122">
        <f>+'Tables by type'!D17</f>
        <v>18.07283287938879</v>
      </c>
      <c r="I45" s="120">
        <f>+'Tables by type'!D259</f>
        <v>0</v>
      </c>
      <c r="J45" s="118">
        <f>+'Tables by type'!D290</f>
        <v>5.002607655257749</v>
      </c>
      <c r="K45" s="118">
        <f>+'Tables by type'!D321</f>
        <v>7.846329097277634</v>
      </c>
      <c r="L45" s="118">
        <f>+'Tables by type'!D352</f>
        <v>5.439924959030138</v>
      </c>
      <c r="M45" s="120">
        <f>+'Tables by type'!D227</f>
        <v>6.031123631082504</v>
      </c>
      <c r="N45" s="328">
        <f>+'Tables by type'!D412</f>
        <v>0</v>
      </c>
      <c r="O45">
        <f>+'Tables by type'!D443</f>
        <v>0</v>
      </c>
      <c r="P45" s="120">
        <f>+'Tables by type'!D383</f>
        <v>0</v>
      </c>
      <c r="R45" s="340">
        <f>(GETPIVOTDATA(" Old %UG EL Web",'FTE Pivot Table'!$A$3,"State","MD","Type2","Four-Year")+GETPIVOTDATA(" Old %UG EL CV",'FTE Pivot Table'!$A$3,"State","MD","Type2","Four-Year")+GETPIVOTDATA(" Old %UG EL O",'FTE Pivot Table'!$A$3,"State","MD","Type2","Four-Year"))*100</f>
        <v>13.984399164310513</v>
      </c>
      <c r="S45" s="340">
        <f>(GETPIVOTDATA(" Old %UG EL Web",'FTE Pivot Table'!$A$3,"State","MD","Type2","Two-Year")+GETPIVOTDATA(" Old %UG EL CV",'FTE Pivot Table'!$A$3,"State","MD","Type2","Two-Year")+GETPIVOTDATA(" Old %UG EL O",'FTE Pivot Table'!$A$3,"State","MD","Type2","Two-Year"))*100</f>
        <v>6.713140382252393</v>
      </c>
      <c r="T45" s="340">
        <f>(GETPIVOTDATA(" Old %UG EL Web",'FTE Pivot Table'!$A$3,"State","MD","Type2","Technical")+GETPIVOTDATA(" Old %UG EL CV",'FTE Pivot Table'!$A$3,"State","MD","Type2","Technical")+GETPIVOTDATA(" Old %UG EL O",'FTE Pivot Table'!$A$3,"State","MD","Type2","Technical"))*100</f>
        <v>0</v>
      </c>
      <c r="U45" s="341">
        <f t="shared" si="0"/>
        <v>4.088433715078278</v>
      </c>
      <c r="V45" s="342">
        <f t="shared" si="1"/>
        <v>-0.6820167511698898</v>
      </c>
      <c r="W45" s="342" t="str">
        <f t="shared" si="2"/>
        <v>—</v>
      </c>
    </row>
    <row r="46" spans="1:23" ht="15.75" customHeight="1">
      <c r="A46" s="9"/>
      <c r="B46" s="118"/>
      <c r="C46" s="118"/>
      <c r="D46" s="118"/>
      <c r="E46" s="118"/>
      <c r="F46" s="118"/>
      <c r="G46" s="118"/>
      <c r="H46" s="122"/>
      <c r="I46" s="120"/>
      <c r="J46" s="118"/>
      <c r="K46" s="118"/>
      <c r="L46" s="118"/>
      <c r="M46" s="120"/>
      <c r="N46" s="328"/>
      <c r="P46" s="120"/>
      <c r="R46" s="340"/>
      <c r="S46" s="340"/>
      <c r="T46" s="340"/>
      <c r="U46" s="341"/>
      <c r="V46" s="342"/>
      <c r="W46" s="342"/>
    </row>
    <row r="47" spans="1:23" ht="15.75" customHeight="1">
      <c r="A47" s="9" t="s">
        <v>206</v>
      </c>
      <c r="B47" s="118">
        <f>+'Tables by type'!D50</f>
        <v>7.189804528908155</v>
      </c>
      <c r="C47" s="118">
        <f>+'Tables by type'!D80</f>
        <v>3.8698786266001903</v>
      </c>
      <c r="D47" s="118">
        <f>+'Tables by type'!D110</f>
        <v>1.9235881201517604</v>
      </c>
      <c r="E47" s="118">
        <f>+'Tables by type'!D141</f>
        <v>2.2302184334134294</v>
      </c>
      <c r="F47" s="118">
        <f>+'Tables by type'!D170</f>
        <v>1.6474240278836727</v>
      </c>
      <c r="G47" s="118">
        <f>+'Tables by type'!D199</f>
        <v>0</v>
      </c>
      <c r="H47" s="119">
        <f>+'Tables by type'!D19</f>
        <v>4.019971385252446</v>
      </c>
      <c r="I47" s="120">
        <f>+'Tables by type'!D261</f>
        <v>0</v>
      </c>
      <c r="J47" s="118">
        <f>+'Tables by type'!D292</f>
        <v>8.283215925064248</v>
      </c>
      <c r="K47" s="118">
        <f>+'Tables by type'!D323</f>
        <v>7.017935439475612</v>
      </c>
      <c r="L47" s="118">
        <f>+'Tables by type'!D354</f>
        <v>10.027499787372777</v>
      </c>
      <c r="M47" s="120">
        <f>+'Tables by type'!D229</f>
        <v>7.56186148430618</v>
      </c>
      <c r="N47" s="328">
        <f>+'Tables by type'!D414</f>
        <v>0</v>
      </c>
      <c r="O47">
        <f>+'Tables by type'!D445</f>
        <v>0</v>
      </c>
      <c r="P47" s="120">
        <f>+'Tables by type'!D385</f>
        <v>0</v>
      </c>
      <c r="R47" s="340">
        <f>(GETPIVOTDATA(" Old %UG EL Web",'FTE Pivot Table'!$A$3,"State","MS","Type2","Four-Year")+GETPIVOTDATA(" Old %UG EL CV",'FTE Pivot Table'!$A$3,"State","MS","Type2","Four-Year")+GETPIVOTDATA(" Old %UG EL O",'FTE Pivot Table'!$A$3,"State","MS","Type2","Four-Year"))*100</f>
        <v>2.8364122638720524</v>
      </c>
      <c r="S47" s="340">
        <f>(GETPIVOTDATA(" Old %UG EL Web",'FTE Pivot Table'!$A$3,"State","MS","Type2","Two-Year")+GETPIVOTDATA(" Old %UG EL CV",'FTE Pivot Table'!$A$3,"State","MS","Type2","Two-Year")+GETPIVOTDATA(" Old %UG EL O",'FTE Pivot Table'!$A$3,"State","MS","Type2","Two-Year"))*100</f>
        <v>5.765115280389747</v>
      </c>
      <c r="T47" s="340">
        <f>(GETPIVOTDATA(" Old %UG EL Web",'FTE Pivot Table'!$A$3,"State","MS","Type2","Technical")+GETPIVOTDATA(" Old %UG EL CV",'FTE Pivot Table'!$A$3,"State","MS","Type2","Technical")+GETPIVOTDATA(" Old %UG EL O",'FTE Pivot Table'!$A$3,"State","MS","Type2","Technical"))*100</f>
        <v>0</v>
      </c>
      <c r="U47" s="341">
        <f t="shared" si="0"/>
        <v>1.1835591213803935</v>
      </c>
      <c r="V47" s="342">
        <f t="shared" si="1"/>
        <v>1.7967462039164337</v>
      </c>
      <c r="W47" s="342" t="str">
        <f t="shared" si="2"/>
        <v>—</v>
      </c>
    </row>
    <row r="48" spans="1:23" ht="15.75" customHeight="1">
      <c r="A48" s="9" t="s">
        <v>214</v>
      </c>
      <c r="B48" s="118">
        <f>+'Tables by type'!D51</f>
        <v>0.6004471760839326</v>
      </c>
      <c r="C48" s="118">
        <f>+'Tables by type'!D81</f>
        <v>2.00668477648561</v>
      </c>
      <c r="D48" s="118">
        <f>+'Tables by type'!D111</f>
        <v>1.9510384638238207</v>
      </c>
      <c r="E48" s="118">
        <f>+'Tables by type'!D142</f>
        <v>2.2356619643879454</v>
      </c>
      <c r="F48" s="118">
        <f>+'Tables by type'!D171</f>
        <v>6.733351856997315</v>
      </c>
      <c r="G48" s="118">
        <f>+'Tables by type'!D200</f>
        <v>1.2126330716214668</v>
      </c>
      <c r="H48" s="119">
        <f>+'Tables by type'!D20</f>
        <v>1.694449933909471</v>
      </c>
      <c r="I48" s="120">
        <f>+'Tables by type'!D262</f>
        <v>0</v>
      </c>
      <c r="J48" s="121">
        <f>+'Tables by type'!D293</f>
        <v>9.73833999498186</v>
      </c>
      <c r="K48" s="121">
        <f>+'Tables by type'!D324</f>
        <v>7.562129219582717</v>
      </c>
      <c r="L48" s="118">
        <f>+'Tables by type'!D355</f>
        <v>9.637902047108401</v>
      </c>
      <c r="M48" s="120">
        <f>+'Tables by type'!D230</f>
        <v>8.6262628781385</v>
      </c>
      <c r="N48" s="328">
        <f>+'Tables by type'!D415</f>
        <v>0</v>
      </c>
      <c r="O48">
        <f>+'Tables by type'!D446</f>
        <v>0</v>
      </c>
      <c r="P48" s="120">
        <f>+'Tables by type'!D386</f>
        <v>0</v>
      </c>
      <c r="R48" s="340">
        <f>(GETPIVOTDATA(" Old %UG EL Web",'FTE Pivot Table'!$A$3,"State","NC","Type2","Four-Year")+GETPIVOTDATA(" Old %UG EL CV",'FTE Pivot Table'!$A$3,"State","NC","Type2","Four-Year")+GETPIVOTDATA(" Old %UG EL O",'FTE Pivot Table'!$A$3,"State","NC","Type2","Four-Year"))*100</f>
        <v>1.3116340712067804</v>
      </c>
      <c r="S48" s="340">
        <f>(GETPIVOTDATA(" Old %UG EL Web",'FTE Pivot Table'!$A$3,"State","NC","Type2","Two-Year")+GETPIVOTDATA(" Old %UG EL CV",'FTE Pivot Table'!$A$3,"State","NC","Type2","Two-Year")+GETPIVOTDATA(" Old %UG EL O",'FTE Pivot Table'!$A$3,"State","NC","Type2","Two-Year"))*100</f>
        <v>6.886289874042231</v>
      </c>
      <c r="T48" s="340">
        <f>(GETPIVOTDATA(" Old %UG EL Web",'FTE Pivot Table'!$A$3,"State","NC","Type2","Technical")+GETPIVOTDATA(" Old %UG EL CV",'FTE Pivot Table'!$A$3,"State","NC","Type2","Technical")+GETPIVOTDATA(" Old %UG EL O",'FTE Pivot Table'!$A$3,"State","NC","Type2","Technical"))*100</f>
        <v>0</v>
      </c>
      <c r="U48" s="341">
        <f t="shared" si="0"/>
        <v>0.3828158627026905</v>
      </c>
      <c r="V48" s="342">
        <f t="shared" si="1"/>
        <v>1.7399730040962682</v>
      </c>
      <c r="W48" s="342" t="str">
        <f t="shared" si="2"/>
        <v>—</v>
      </c>
    </row>
    <row r="49" spans="1:23" ht="15.75" customHeight="1">
      <c r="A49" s="9" t="s">
        <v>207</v>
      </c>
      <c r="B49" s="118">
        <f>+'Tables by type'!D52</f>
        <v>2.514991796387882</v>
      </c>
      <c r="C49" s="118">
        <f>+'Tables by type'!D82</f>
        <v>0</v>
      </c>
      <c r="D49" s="118">
        <f>+'Tables by type'!D112</f>
        <v>0.7156659936330192</v>
      </c>
      <c r="E49" s="118">
        <f>+'Tables by type'!D143</f>
        <v>3.1017639333730145</v>
      </c>
      <c r="F49" s="121">
        <f>+'Tables by type'!D172</f>
        <v>7.946379602310714</v>
      </c>
      <c r="G49" s="118">
        <f>+'Tables by type'!D201</f>
        <v>0.24805046598617891</v>
      </c>
      <c r="H49" s="119">
        <f>+'Tables by type'!D21</f>
        <v>3.3839239689727227</v>
      </c>
      <c r="I49" s="123">
        <f>+'Tables by type'!D263</f>
        <v>22.3245411267852</v>
      </c>
      <c r="J49" s="121">
        <f>+'Tables by type'!D294</f>
        <v>13.200991238162672</v>
      </c>
      <c r="K49" s="118">
        <f>+'Tables by type'!D325</f>
        <v>10.763779911981532</v>
      </c>
      <c r="L49" s="118">
        <f>+'Tables by type'!D356</f>
        <v>11.86701392640444</v>
      </c>
      <c r="M49" s="120">
        <f>+'Tables by type'!D231</f>
        <v>12.649194786189767</v>
      </c>
      <c r="N49" s="328">
        <f>+'Tables by type'!D416</f>
        <v>0</v>
      </c>
      <c r="O49">
        <f>+'Tables by type'!D447</f>
        <v>0</v>
      </c>
      <c r="P49" s="120">
        <f>+'Tables by type'!D387</f>
        <v>0</v>
      </c>
      <c r="R49" s="340">
        <f>(GETPIVOTDATA(" Old %UG EL Web",'FTE Pivot Table'!$A$3,"State","OK","Type2","Four-Year")+GETPIVOTDATA(" Old %UG EL CV",'FTE Pivot Table'!$A$3,"State","OK","Type2","Four-Year")+GETPIVOTDATA(" Old %UG EL O",'FTE Pivot Table'!$A$3,"State","OK","Type2","Four-Year"))*100</f>
        <v>2.877725606803578</v>
      </c>
      <c r="S49" s="340">
        <f>(GETPIVOTDATA(" Old %UG EL Web",'FTE Pivot Table'!$A$3,"State","OK","Type2","Two-Year")+GETPIVOTDATA(" Old %UG EL CV",'FTE Pivot Table'!$A$3,"State","OK","Type2","Two-Year")+GETPIVOTDATA(" Old %UG EL O",'FTE Pivot Table'!$A$3,"State","OK","Type2","Two-Year"))*100</f>
        <v>10.907315160404897</v>
      </c>
      <c r="T49" s="340">
        <f>(GETPIVOTDATA(" Old %UG EL Web",'FTE Pivot Table'!$A$3,"State","OK","Type2","Technical")+GETPIVOTDATA(" Old %UG EL CV",'FTE Pivot Table'!$A$3,"State","OK","Type2","Technical")+GETPIVOTDATA(" Old %UG EL O",'FTE Pivot Table'!$A$3,"State","OK","Type2","Technical"))*100</f>
        <v>0</v>
      </c>
      <c r="U49" s="341">
        <f t="shared" si="0"/>
        <v>0.5061983621691448</v>
      </c>
      <c r="V49" s="342">
        <f t="shared" si="1"/>
        <v>1.74187962578487</v>
      </c>
      <c r="W49" s="342" t="str">
        <f t="shared" si="2"/>
        <v>—</v>
      </c>
    </row>
    <row r="50" spans="1:23" ht="15.75" customHeight="1">
      <c r="A50" s="9" t="s">
        <v>556</v>
      </c>
      <c r="B50" s="118">
        <f>+'Tables by type'!D53</f>
        <v>0</v>
      </c>
      <c r="C50" s="118">
        <f>+'Tables by type'!D83</f>
        <v>0</v>
      </c>
      <c r="D50" s="118">
        <f>+'Tables by type'!D113</f>
        <v>0</v>
      </c>
      <c r="E50" s="118">
        <f>+'Tables by type'!D144</f>
        <v>0</v>
      </c>
      <c r="F50" s="118">
        <f>+'Tables by type'!D173</f>
        <v>0</v>
      </c>
      <c r="G50" s="118">
        <f>+'Tables by type'!D202</f>
        <v>0</v>
      </c>
      <c r="H50" s="119">
        <f>+'Tables by type'!D22</f>
        <v>0</v>
      </c>
      <c r="I50" s="120">
        <f>+'Tables by type'!D264</f>
        <v>0</v>
      </c>
      <c r="J50" s="118">
        <f>+'Tables by type'!D295</f>
        <v>0</v>
      </c>
      <c r="K50" s="118">
        <f>+'Tables by type'!D326</f>
        <v>0</v>
      </c>
      <c r="L50" s="118">
        <f>+'Tables by type'!D357</f>
        <v>0</v>
      </c>
      <c r="M50" s="120">
        <f>+'Tables by type'!D232</f>
        <v>0</v>
      </c>
      <c r="N50" s="328">
        <f>+'Tables by type'!D417</f>
        <v>0</v>
      </c>
      <c r="O50">
        <f>+'Tables by type'!D448</f>
        <v>0</v>
      </c>
      <c r="P50" s="120">
        <f>+'Tables by type'!D388</f>
        <v>0</v>
      </c>
      <c r="R50" s="340">
        <f>(GETPIVOTDATA(" Old %UG EL Web",'FTE Pivot Table'!$A$3,"State","SC","Type2","Four-Year")+GETPIVOTDATA(" Old %UG EL CV",'FTE Pivot Table'!$A$3,"State","SC","Type2","Four-Year")+GETPIVOTDATA(" Old %UG EL O",'FTE Pivot Table'!$A$3,"State","SC","Type2","Four-Year"))*100</f>
        <v>0</v>
      </c>
      <c r="S50" s="340">
        <f>(GETPIVOTDATA(" Old %UG EL Web",'FTE Pivot Table'!$A$3,"State","SC","Type2","Two-Year")+GETPIVOTDATA(" Old %UG EL CV",'FTE Pivot Table'!$A$3,"State","SC","Type2","Two-Year")+GETPIVOTDATA(" Old %UG EL O",'FTE Pivot Table'!$A$3,"State","SC","Type2","Two-Year"))*100</f>
        <v>0</v>
      </c>
      <c r="T50" s="340">
        <f>(GETPIVOTDATA(" Old %UG EL Web",'FTE Pivot Table'!$A$3,"State","SC","Type2","Technical")+GETPIVOTDATA(" Old %UG EL CV",'FTE Pivot Table'!$A$3,"State","SC","Type2","Technical")+GETPIVOTDATA(" Old %UG EL O",'FTE Pivot Table'!$A$3,"State","SC","Type2","Technical"))*100</f>
        <v>0</v>
      </c>
      <c r="U50" s="341" t="str">
        <f t="shared" si="0"/>
        <v>—</v>
      </c>
      <c r="V50" s="342" t="str">
        <f t="shared" si="1"/>
        <v>—</v>
      </c>
      <c r="W50" s="342" t="str">
        <f t="shared" si="2"/>
        <v>—</v>
      </c>
    </row>
    <row r="51" spans="1:23" ht="15.75" customHeight="1">
      <c r="A51" s="9"/>
      <c r="B51" s="118"/>
      <c r="C51" s="118"/>
      <c r="D51" s="118"/>
      <c r="E51" s="118"/>
      <c r="F51" s="118"/>
      <c r="G51" s="118"/>
      <c r="H51" s="119"/>
      <c r="I51" s="120"/>
      <c r="J51" s="118"/>
      <c r="K51" s="118"/>
      <c r="L51" s="118"/>
      <c r="M51" s="120"/>
      <c r="N51" s="328"/>
      <c r="P51" s="120"/>
      <c r="R51" s="340"/>
      <c r="S51" s="340"/>
      <c r="T51" s="340"/>
      <c r="U51" s="341"/>
      <c r="V51" s="342"/>
      <c r="W51" s="342"/>
    </row>
    <row r="52" spans="1:23" ht="15.75" customHeight="1">
      <c r="A52" s="9" t="s">
        <v>557</v>
      </c>
      <c r="B52" s="118">
        <f>+'Tables by type'!D55</f>
        <v>0</v>
      </c>
      <c r="C52" s="118">
        <f>+'Tables by type'!D85</f>
        <v>0</v>
      </c>
      <c r="D52" s="118">
        <f>+'Tables by type'!D115</f>
        <v>0</v>
      </c>
      <c r="E52" s="118">
        <f>+'Tables by type'!D146</f>
        <v>0</v>
      </c>
      <c r="F52" s="118">
        <f>+'Tables by type'!D175</f>
        <v>0</v>
      </c>
      <c r="G52" s="118">
        <f>+'Tables by type'!D204</f>
        <v>0</v>
      </c>
      <c r="H52" s="119">
        <f>+'Tables by type'!D24</f>
        <v>0</v>
      </c>
      <c r="I52" s="120">
        <f>+'Tables by type'!D266</f>
        <v>0</v>
      </c>
      <c r="J52" s="118">
        <f>+'Tables by type'!D297</f>
        <v>0</v>
      </c>
      <c r="K52" s="118">
        <f>+'Tables by type'!D328</f>
        <v>0</v>
      </c>
      <c r="L52" s="118">
        <f>+'Tables by type'!D359</f>
        <v>0</v>
      </c>
      <c r="M52" s="120">
        <f>+'Tables by type'!D234</f>
        <v>0</v>
      </c>
      <c r="N52" s="328">
        <f>+'Tables by type'!D419</f>
        <v>0</v>
      </c>
      <c r="O52">
        <f>+'Tables by type'!D450</f>
        <v>0</v>
      </c>
      <c r="P52" s="120">
        <f>+'Tables by type'!D390</f>
        <v>0</v>
      </c>
      <c r="R52" s="340">
        <f>(GETPIVOTDATA(" Old %UG EL Web",'FTE Pivot Table'!$A$3,"State","TN","Type2","Four-Year")+GETPIVOTDATA(" Old %UG EL CV",'FTE Pivot Table'!$A$3,"State","TN","Type2","Four-Year")+GETPIVOTDATA(" Old %UG EL O",'FTE Pivot Table'!$A$3,"State","TN","Type2","Four-Year"))*100</f>
        <v>0</v>
      </c>
      <c r="S52" s="340">
        <f>(GETPIVOTDATA(" Old %UG EL Web",'FTE Pivot Table'!$A$3,"State","TN","Type2","Two-Year")+GETPIVOTDATA(" Old %UG EL CV",'FTE Pivot Table'!$A$3,"State","TN","Type2","Two-Year")+GETPIVOTDATA(" Old %UG EL O",'FTE Pivot Table'!$A$3,"State","TN","Type2","Two-Year"))*100</f>
        <v>0</v>
      </c>
      <c r="T52" s="340">
        <f>(GETPIVOTDATA(" Old %UG EL Web",'FTE Pivot Table'!$A$3,"State","TN","Type2","Technical")+GETPIVOTDATA(" Old %UG EL CV",'FTE Pivot Table'!$A$3,"State","TN","Type2","Technical")+GETPIVOTDATA(" Old %UG EL O",'FTE Pivot Table'!$A$3,"State","TN","Type2","Technical"))*100</f>
        <v>0</v>
      </c>
      <c r="U52" s="341" t="str">
        <f t="shared" si="0"/>
        <v>—</v>
      </c>
      <c r="V52" s="342" t="str">
        <f t="shared" si="1"/>
        <v>—</v>
      </c>
      <c r="W52" s="342" t="str">
        <f t="shared" si="2"/>
        <v>—</v>
      </c>
    </row>
    <row r="53" spans="1:23" ht="15.75" customHeight="1">
      <c r="A53" s="9" t="s">
        <v>313</v>
      </c>
      <c r="B53" s="118">
        <f>+'Tables by type'!D56</f>
        <v>2.383766279517615</v>
      </c>
      <c r="C53" s="118">
        <f>+'Tables by type'!D86</f>
        <v>2.215105448225087</v>
      </c>
      <c r="D53" s="118">
        <f>+'Tables by type'!D116</f>
        <v>2.317258987052518</v>
      </c>
      <c r="E53" s="118">
        <f>+'Tables by type'!D147</f>
        <v>6.137931638299363</v>
      </c>
      <c r="F53" s="118">
        <f>+'Tables by type'!D176</f>
        <v>29.98408228235582</v>
      </c>
      <c r="G53" s="118">
        <f>+'Tables by type'!D205</f>
        <v>4.922319535869686</v>
      </c>
      <c r="H53" s="119">
        <f>+'Tables by type'!D25</f>
        <v>2.608774185608178</v>
      </c>
      <c r="I53" s="120">
        <f>+'Tables by type'!D267</f>
        <v>0</v>
      </c>
      <c r="J53" s="118">
        <f>+'Tables by type'!D298</f>
        <v>8.890955736693405</v>
      </c>
      <c r="K53" s="118">
        <f>+'Tables by type'!D329</f>
        <v>8.768713680069274</v>
      </c>
      <c r="L53" s="118">
        <f>+'Tables by type'!D360</f>
        <v>8.394364540133534</v>
      </c>
      <c r="M53" s="120">
        <f>+'Tables by type'!D235</f>
        <v>8.8384590407889</v>
      </c>
      <c r="N53" s="328">
        <f>+'Tables by type'!D420</f>
        <v>0</v>
      </c>
      <c r="O53">
        <f>+'Tables by type'!D451</f>
        <v>0</v>
      </c>
      <c r="P53" s="120">
        <f>+'Tables by type'!D391</f>
        <v>0</v>
      </c>
      <c r="R53" s="340">
        <f>(GETPIVOTDATA(" Old %UG EL Web",'FTE Pivot Table'!$A$3,"State","TX","Type2","Four-Year")+GETPIVOTDATA(" Old %UG EL CV",'FTE Pivot Table'!$A$3,"State","TX","Type2","Four-Year")+GETPIVOTDATA(" Old %UG EL O",'FTE Pivot Table'!$A$3,"State","TX","Type2","Four-Year"))*100</f>
        <v>2.1621940622795788</v>
      </c>
      <c r="S53" s="340">
        <f>(GETPIVOTDATA(" Old %UG EL Web",'FTE Pivot Table'!$A$3,"State","TX","Type2","Two-Year")+GETPIVOTDATA(" Old %UG EL CV",'FTE Pivot Table'!$A$3,"State","TX","Type2","Two-Year")+GETPIVOTDATA(" Old %UG EL O",'FTE Pivot Table'!$A$3,"State","TX","Type2","Two-Year"))*100</f>
        <v>7.479916773779618</v>
      </c>
      <c r="T53" s="340">
        <f>(GETPIVOTDATA(" Old %UG EL Web",'FTE Pivot Table'!$A$3,"State","TX","Type2","Technical")+GETPIVOTDATA(" Old %UG EL CV",'FTE Pivot Table'!$A$3,"State","TX","Type2","Technical")+GETPIVOTDATA(" Old %UG EL O",'FTE Pivot Table'!$A$3,"State","TX","Type2","Technical"))*100</f>
        <v>0</v>
      </c>
      <c r="U53" s="341">
        <f t="shared" si="0"/>
        <v>0.4465801233285993</v>
      </c>
      <c r="V53" s="342">
        <f t="shared" si="1"/>
        <v>1.3585422670092813</v>
      </c>
      <c r="W53" s="342" t="str">
        <f t="shared" si="2"/>
        <v>—</v>
      </c>
    </row>
    <row r="54" spans="1:23" ht="15.75" customHeight="1">
      <c r="A54" s="9" t="s">
        <v>558</v>
      </c>
      <c r="B54" s="118">
        <f>+'Tables by type'!D57</f>
        <v>0</v>
      </c>
      <c r="C54" s="118">
        <f>+'Tables by type'!D87</f>
        <v>0</v>
      </c>
      <c r="D54" s="118">
        <f>+'Tables by type'!D117</f>
        <v>0</v>
      </c>
      <c r="E54" s="118">
        <f>+'Tables by type'!D148</f>
        <v>0</v>
      </c>
      <c r="F54" s="118">
        <f>+'Tables by type'!D177</f>
        <v>0</v>
      </c>
      <c r="G54" s="118">
        <f>+'Tables by type'!D206</f>
        <v>0</v>
      </c>
      <c r="H54" s="119">
        <f>+'Tables by type'!D26</f>
        <v>0</v>
      </c>
      <c r="I54" s="120">
        <f>+'Tables by type'!D268</f>
        <v>0</v>
      </c>
      <c r="J54" s="118">
        <f>+'Tables by type'!D299</f>
        <v>0</v>
      </c>
      <c r="K54" s="118">
        <f>+'Tables by type'!D330</f>
        <v>0</v>
      </c>
      <c r="L54" s="118">
        <f>+'Tables by type'!D361</f>
        <v>0</v>
      </c>
      <c r="M54" s="120">
        <f>+'Tables by type'!D236</f>
        <v>0</v>
      </c>
      <c r="N54" s="328">
        <f>+'Tables by type'!D421</f>
        <v>0</v>
      </c>
      <c r="O54">
        <f>+'Tables by type'!D452</f>
        <v>0</v>
      </c>
      <c r="P54" s="120">
        <f>+'Tables by type'!D392</f>
        <v>0</v>
      </c>
      <c r="R54" s="340">
        <f>(GETPIVOTDATA(" Old %UG EL Web",'FTE Pivot Table'!$A$3,"State","VA","Type2","Four-Year")+GETPIVOTDATA(" Old %UG EL CV",'FTE Pivot Table'!$A$3,"State","VA","Type2","Four-Year")+GETPIVOTDATA(" Old %UG EL O",'FTE Pivot Table'!$A$3,"State","VA","Type2","Four-Year"))*100</f>
        <v>0</v>
      </c>
      <c r="S54" s="340">
        <f>(GETPIVOTDATA(" Old %UG EL Web",'FTE Pivot Table'!$A$3,"State","VA","Type2","Two-Year")+GETPIVOTDATA(" Old %UG EL CV",'FTE Pivot Table'!$A$3,"State","VA","Type2","Two-Year")+GETPIVOTDATA(" Old %UG EL O",'FTE Pivot Table'!$A$3,"State","VA","Type2","Two-Year"))*100</f>
        <v>0</v>
      </c>
      <c r="T54" s="340">
        <f>(GETPIVOTDATA(" Old %UG EL Web",'FTE Pivot Table'!$A$3,"State","VA","Type2","Technical")+GETPIVOTDATA(" Old %UG EL CV",'FTE Pivot Table'!$A$3,"State","VA","Type2","Technical")+GETPIVOTDATA(" Old %UG EL O",'FTE Pivot Table'!$A$3,"State","VA","Type2","Technical"))*100</f>
        <v>0</v>
      </c>
      <c r="U54" s="341" t="str">
        <f t="shared" si="0"/>
        <v>—</v>
      </c>
      <c r="V54" s="342" t="str">
        <f t="shared" si="1"/>
        <v>—</v>
      </c>
      <c r="W54" s="342" t="str">
        <f t="shared" si="2"/>
        <v>—</v>
      </c>
    </row>
    <row r="55" spans="1:23" ht="15.75" customHeight="1">
      <c r="A55" s="10" t="s">
        <v>208</v>
      </c>
      <c r="B55" s="124">
        <f>+'Tables by type'!D58</f>
        <v>1.8983729809536785</v>
      </c>
      <c r="C55" s="124">
        <f>+'Tables by type'!D88</f>
        <v>0</v>
      </c>
      <c r="D55" s="124">
        <f>+'Tables by type'!D118</f>
        <v>4.128787011381071</v>
      </c>
      <c r="E55" s="124">
        <f>+'Tables by type'!D149</f>
        <v>0</v>
      </c>
      <c r="F55" s="124">
        <f>+'Tables by type'!D178</f>
        <v>0</v>
      </c>
      <c r="G55" s="127">
        <f>+'Tables by type'!D207</f>
        <v>2.0493977490805126</v>
      </c>
      <c r="H55" s="331">
        <f>+'Tables by type'!D27</f>
        <v>2.3879579382300054</v>
      </c>
      <c r="I55" s="126">
        <f>+'Tables by type'!D269</f>
        <v>10.679359134415314</v>
      </c>
      <c r="J55" s="124">
        <f>+'Tables by type'!D300</f>
        <v>0</v>
      </c>
      <c r="K55" s="124">
        <f>+'Tables by type'!D331</f>
        <v>3.415002761066062</v>
      </c>
      <c r="L55" s="124">
        <f>+'Tables by type'!D362</f>
        <v>6.757471918288504</v>
      </c>
      <c r="M55" s="126">
        <f>+'Tables by type'!D237</f>
        <v>6.917208654545779</v>
      </c>
      <c r="N55" s="329">
        <f>+'Tables by type'!D422</f>
        <v>0</v>
      </c>
      <c r="O55" s="2">
        <f>+'Tables by type'!D453</f>
        <v>0</v>
      </c>
      <c r="P55" s="126">
        <f>+'Tables by type'!D393</f>
        <v>0</v>
      </c>
      <c r="R55" s="340">
        <f>(GETPIVOTDATA(" Old %UG EL Web",'FTE Pivot Table'!$A$3,"State","WV","Type2","Four-Year")+GETPIVOTDATA(" Old %UG EL CV",'FTE Pivot Table'!$A$3,"State","WV","Type2","Four-Year")+GETPIVOTDATA(" Old %UG EL O",'FTE Pivot Table'!$A$3,"State","WV","Type2","Four-Year"))*100</f>
        <v>2.006976034837291</v>
      </c>
      <c r="S55" s="340">
        <f>(GETPIVOTDATA(" Old %UG EL Web",'FTE Pivot Table'!$A$3,"State","WV","Type2","Two-Year")+GETPIVOTDATA(" Old %UG EL CV",'FTE Pivot Table'!$A$3,"State","WV","Type2","Two-Year")+GETPIVOTDATA(" Old %UG EL O",'FTE Pivot Table'!$A$3,"State","WV","Type2","Two-Year"))*100</f>
        <v>5.514033736158861</v>
      </c>
      <c r="T55" s="340">
        <f>(GETPIVOTDATA(" Old %UG EL Web",'FTE Pivot Table'!$A$3,"State","WV","Type2","Technical")+GETPIVOTDATA(" Old %UG EL CV",'FTE Pivot Table'!$A$3,"State","WV","Type2","Technical")+GETPIVOTDATA(" Old %UG EL O",'FTE Pivot Table'!$A$3,"State","WV","Type2","Technical"))*100</f>
        <v>0</v>
      </c>
      <c r="U55" s="341">
        <f t="shared" si="0"/>
        <v>0.3809819033927142</v>
      </c>
      <c r="V55" s="342">
        <f t="shared" si="1"/>
        <v>1.4031749183869175</v>
      </c>
      <c r="W55" s="342" t="str">
        <f t="shared" si="2"/>
        <v>—</v>
      </c>
    </row>
    <row r="56" spans="1:13" s="72" customFormat="1" ht="11.25">
      <c r="A56" s="84"/>
      <c r="B56" s="85"/>
      <c r="C56" s="85"/>
      <c r="D56" s="85"/>
      <c r="E56" s="85"/>
      <c r="F56" s="85"/>
      <c r="G56" s="85"/>
      <c r="H56" s="85"/>
      <c r="I56" s="85"/>
      <c r="J56" s="85"/>
      <c r="K56" s="85"/>
      <c r="L56" s="85"/>
      <c r="M56" s="85"/>
    </row>
    <row r="57" spans="1:13" s="72" customFormat="1" ht="11.25">
      <c r="A57" s="74" t="s">
        <v>59</v>
      </c>
      <c r="M57" s="84"/>
    </row>
    <row r="58" spans="1:16" s="72" customFormat="1" ht="11.25">
      <c r="A58" s="74"/>
      <c r="P58" s="343" t="s">
        <v>60</v>
      </c>
    </row>
    <row r="59" spans="1:13" ht="18">
      <c r="A59" s="34" t="s">
        <v>570</v>
      </c>
      <c r="B59" s="6"/>
      <c r="C59" s="6"/>
      <c r="D59" s="6"/>
      <c r="E59" s="6"/>
      <c r="F59" s="6"/>
      <c r="G59" s="17"/>
      <c r="H59" s="17"/>
      <c r="I59" s="17" t="s">
        <v>73</v>
      </c>
      <c r="J59" s="17"/>
      <c r="K59" s="17"/>
      <c r="L59" s="17"/>
      <c r="M59" s="61"/>
    </row>
    <row r="60" spans="1:13" s="9" customFormat="1" ht="12.75">
      <c r="A60" s="90"/>
      <c r="B60" s="8"/>
      <c r="C60" s="8"/>
      <c r="D60" s="8"/>
      <c r="E60" s="8"/>
      <c r="F60" s="8"/>
      <c r="G60" s="8"/>
      <c r="H60" s="8"/>
      <c r="I60" s="8"/>
      <c r="J60" s="8"/>
      <c r="K60" s="8"/>
      <c r="L60" s="8"/>
      <c r="M60" s="89"/>
    </row>
    <row r="61" spans="1:13" ht="15.75">
      <c r="A61" s="7" t="s">
        <v>597</v>
      </c>
      <c r="B61" s="8"/>
      <c r="C61" s="8"/>
      <c r="D61" s="8"/>
      <c r="E61" s="8"/>
      <c r="F61" s="8"/>
      <c r="G61" s="17"/>
      <c r="H61" s="17"/>
      <c r="I61" s="17" t="s">
        <v>73</v>
      </c>
      <c r="J61" s="17"/>
      <c r="K61" s="17"/>
      <c r="L61" s="17"/>
      <c r="M61" s="61"/>
    </row>
    <row r="62" spans="1:13" ht="15.75">
      <c r="A62" s="7" t="s">
        <v>598</v>
      </c>
      <c r="B62" s="8"/>
      <c r="C62" s="8"/>
      <c r="D62" s="8"/>
      <c r="E62" s="8"/>
      <c r="F62" s="8"/>
      <c r="G62" s="17"/>
      <c r="H62" s="17"/>
      <c r="I62" s="17" t="s">
        <v>73</v>
      </c>
      <c r="J62" s="17"/>
      <c r="K62" s="17"/>
      <c r="L62" s="17"/>
      <c r="M62" s="61"/>
    </row>
    <row r="63" spans="1:13" ht="15.75">
      <c r="A63" s="7" t="s">
        <v>804</v>
      </c>
      <c r="B63" s="8"/>
      <c r="C63" s="8"/>
      <c r="D63" s="8"/>
      <c r="E63" s="8"/>
      <c r="F63" s="8"/>
      <c r="G63" s="17"/>
      <c r="H63" s="17"/>
      <c r="I63" s="17" t="s">
        <v>73</v>
      </c>
      <c r="J63" s="17"/>
      <c r="K63" s="17"/>
      <c r="L63" s="17"/>
      <c r="M63" s="61"/>
    </row>
    <row r="64" spans="1:12" ht="12.75">
      <c r="A64" s="18"/>
      <c r="B64" s="2"/>
      <c r="C64" s="2"/>
      <c r="D64" s="2"/>
      <c r="E64" s="2"/>
      <c r="F64" s="2"/>
      <c r="G64" s="2"/>
      <c r="H64" s="2"/>
      <c r="I64" s="1"/>
      <c r="J64" s="1"/>
      <c r="K64" s="1"/>
      <c r="L64" s="1"/>
    </row>
    <row r="65" spans="1:13" s="57" customFormat="1" ht="12.75">
      <c r="A65" s="19"/>
      <c r="B65" s="414" t="s">
        <v>205</v>
      </c>
      <c r="C65" s="414"/>
      <c r="D65" s="414"/>
      <c r="E65" s="414"/>
      <c r="F65" s="414"/>
      <c r="G65" s="414"/>
      <c r="H65" s="414"/>
      <c r="I65" s="95"/>
      <c r="J65" s="95"/>
      <c r="K65" s="95"/>
      <c r="L65" s="95"/>
      <c r="M65" s="96"/>
    </row>
    <row r="66" spans="1:13" s="94" customFormat="1" ht="12.75">
      <c r="A66" s="20"/>
      <c r="B66" s="91">
        <v>1</v>
      </c>
      <c r="C66" s="91">
        <v>2</v>
      </c>
      <c r="D66" s="91">
        <v>3</v>
      </c>
      <c r="E66" s="91">
        <v>4</v>
      </c>
      <c r="F66" s="91">
        <v>5</v>
      </c>
      <c r="G66" s="91">
        <v>6</v>
      </c>
      <c r="H66" s="92" t="s">
        <v>591</v>
      </c>
      <c r="I66" s="95"/>
      <c r="J66" s="95"/>
      <c r="K66" s="95"/>
      <c r="L66" s="95"/>
      <c r="M66" s="95"/>
    </row>
    <row r="67" spans="1:13" ht="15.75" customHeight="1">
      <c r="A67" s="9" t="s">
        <v>548</v>
      </c>
      <c r="B67" s="118">
        <f>+'Tables by type'!J40+'Tables by type'!K40</f>
        <v>93.47416790164881</v>
      </c>
      <c r="C67" s="118">
        <f>+'Tables by type'!J70+'Tables by type'!K70</f>
        <v>100</v>
      </c>
      <c r="D67" s="118">
        <f>+'Tables by type'!J100+'Tables by type'!K100</f>
        <v>83.95081380078793</v>
      </c>
      <c r="E67" s="118">
        <f>+'Tables by type'!J131+'Tables by type'!K131</f>
        <v>70.23832568520058</v>
      </c>
      <c r="F67" s="118">
        <f>+'Tables by type'!J160+'Tables by type'!K160</f>
        <v>79.9013816837023</v>
      </c>
      <c r="G67" s="118">
        <f>+'Tables by type'!J189+'Tables by type'!K189</f>
        <v>0</v>
      </c>
      <c r="H67" s="120">
        <f>+'Tables by type'!J9+'Tables by type'!K9</f>
        <v>86.3394254212001</v>
      </c>
      <c r="I67" s="66"/>
      <c r="J67" s="66"/>
      <c r="K67" s="66"/>
      <c r="L67" s="66"/>
      <c r="M67" s="66"/>
    </row>
    <row r="68" spans="1:13" ht="15.75" customHeight="1">
      <c r="A68" s="9" t="s">
        <v>549</v>
      </c>
      <c r="B68" s="118">
        <f>+'Tables by type'!J41+'Tables by type'!K41</f>
        <v>0</v>
      </c>
      <c r="C68" s="118">
        <f>+'Tables by type'!J71+'Tables by type'!K71</f>
        <v>91.38387671338961</v>
      </c>
      <c r="D68" s="118">
        <f>+'Tables by type'!J101+'Tables by type'!K101</f>
        <v>88.56563560920407</v>
      </c>
      <c r="E68" s="118">
        <f>+'Tables by type'!J132+'Tables by type'!K132</f>
        <v>0</v>
      </c>
      <c r="F68" s="118">
        <f>+'Tables by type'!J161+'Tables by type'!K161</f>
        <v>94.54527712724433</v>
      </c>
      <c r="G68" s="118">
        <f>+'Tables by type'!J190+'Tables by type'!K190</f>
        <v>59.90149456521739</v>
      </c>
      <c r="H68" s="120">
        <f>+'Tables by type'!J10+'Tables by type'!K10</f>
        <v>89.3378692805252</v>
      </c>
      <c r="I68" s="66"/>
      <c r="J68" s="66"/>
      <c r="K68" s="66"/>
      <c r="L68" s="66"/>
      <c r="M68" s="66"/>
    </row>
    <row r="69" spans="1:13" ht="15.75" customHeight="1">
      <c r="A69" s="9" t="s">
        <v>550</v>
      </c>
      <c r="B69" s="118">
        <f>+'Tables by type'!J42+'Tables by type'!K42</f>
        <v>96.5020366598778</v>
      </c>
      <c r="C69" s="118">
        <f>+'Tables by type'!J72+'Tables by type'!K72</f>
        <v>0</v>
      </c>
      <c r="D69" s="118">
        <f>+'Tables by type'!J102+'Tables by type'!K102</f>
        <v>0</v>
      </c>
      <c r="E69" s="118">
        <f>+'Tables by type'!J133+'Tables by type'!K133</f>
        <v>0</v>
      </c>
      <c r="F69" s="118">
        <f>+'Tables by type'!J162+'Tables by type'!K162</f>
        <v>0</v>
      </c>
      <c r="G69" s="118">
        <f>+'Tables by type'!J191+'Tables by type'!K191</f>
        <v>0</v>
      </c>
      <c r="H69" s="120">
        <f>+'Tables by type'!J11+'Tables by type'!K11</f>
        <v>96.5020366598778</v>
      </c>
      <c r="I69" s="66"/>
      <c r="J69" s="66"/>
      <c r="K69" s="66"/>
      <c r="L69" s="66"/>
      <c r="M69" s="66"/>
    </row>
    <row r="70" spans="1:13" ht="15.75" customHeight="1">
      <c r="A70" s="9" t="s">
        <v>551</v>
      </c>
      <c r="B70" s="118">
        <f>+'Tables by type'!J43+'Tables by type'!K43</f>
        <v>87.7275765248696</v>
      </c>
      <c r="C70" s="118">
        <f>+'Tables by type'!J73+'Tables by type'!K73</f>
        <v>81.44997277788511</v>
      </c>
      <c r="D70" s="118">
        <f>+'Tables by type'!J103+'Tables by type'!K103</f>
        <v>97.01859100381975</v>
      </c>
      <c r="E70" s="118">
        <f>+'Tables by type'!J134+'Tables by type'!K134</f>
        <v>0</v>
      </c>
      <c r="F70" s="118">
        <f>+'Tables by type'!J163+'Tables by type'!K163</f>
        <v>73.75480218372986</v>
      </c>
      <c r="G70" s="118">
        <f>+'Tables by type'!J192+'Tables by type'!K192</f>
        <v>0</v>
      </c>
      <c r="H70" s="120">
        <f>+'Tables by type'!J12+'Tables by type'!K12</f>
        <v>86.4660271761698</v>
      </c>
      <c r="I70" s="66"/>
      <c r="J70" s="66"/>
      <c r="K70" s="66"/>
      <c r="L70" s="66"/>
      <c r="M70" s="66"/>
    </row>
    <row r="71" spans="1:13" ht="15.75" customHeight="1">
      <c r="A71" s="9"/>
      <c r="B71" s="118">
        <f>+'Tables by type'!J44+'Tables by type'!K44</f>
        <v>0</v>
      </c>
      <c r="C71" s="118">
        <f>+'Tables by type'!J74+'Tables by type'!K74</f>
        <v>0</v>
      </c>
      <c r="D71" s="118">
        <f>+'Tables by type'!J104+'Tables by type'!K104</f>
        <v>0</v>
      </c>
      <c r="E71" s="118">
        <f>+'Tables by type'!J135+'Tables by type'!K135</f>
        <v>0</v>
      </c>
      <c r="F71" s="118">
        <f>+'Tables by type'!J164+'Tables by type'!K164</f>
        <v>0</v>
      </c>
      <c r="G71" s="118">
        <f>+'Tables by type'!J193+'Tables by type'!K193</f>
        <v>0</v>
      </c>
      <c r="H71" s="120"/>
      <c r="I71" s="66"/>
      <c r="J71" s="66"/>
      <c r="K71" s="66"/>
      <c r="L71" s="66"/>
      <c r="M71" s="66"/>
    </row>
    <row r="72" spans="1:13" ht="15.75" customHeight="1">
      <c r="A72" s="9" t="s">
        <v>552</v>
      </c>
      <c r="B72" s="118">
        <f>+'Tables by type'!J45+'Tables by type'!K45</f>
        <v>96.85155162949819</v>
      </c>
      <c r="C72" s="118">
        <f>+'Tables by type'!J75+'Tables by type'!K75</f>
        <v>98.30351960318717</v>
      </c>
      <c r="D72" s="118">
        <f>+'Tables by type'!J105+'Tables by type'!K105</f>
        <v>76.81248192197097</v>
      </c>
      <c r="E72" s="118">
        <f>+'Tables by type'!J136+'Tables by type'!K136</f>
        <v>87.33601463785128</v>
      </c>
      <c r="F72" s="121">
        <f>+'Tables by type'!J165+'Tables by type'!K165</f>
        <v>92.88132250961317</v>
      </c>
      <c r="G72" s="118">
        <f>+'Tables by type'!J194+'Tables by type'!K194</f>
        <v>0</v>
      </c>
      <c r="H72" s="120">
        <f>+'Tables by type'!J14+'Tables by type'!K14</f>
        <v>94.14772994649346</v>
      </c>
      <c r="I72" s="66"/>
      <c r="J72" s="66"/>
      <c r="K72" s="66"/>
      <c r="L72" s="66"/>
      <c r="M72" s="66"/>
    </row>
    <row r="73" spans="1:13" ht="15.75" customHeight="1">
      <c r="A73" s="9" t="s">
        <v>553</v>
      </c>
      <c r="B73" s="118">
        <f>+'Tables by type'!J46+'Tables by type'!K46</f>
        <v>95.50431693497616</v>
      </c>
      <c r="C73" s="118">
        <f>+'Tables by type'!J76+'Tables by type'!K76</f>
        <v>75.32657846256907</v>
      </c>
      <c r="D73" s="121">
        <f>+'Tables by type'!J106+'Tables by type'!K106</f>
        <v>79.78880091406536</v>
      </c>
      <c r="E73" s="118">
        <f>+'Tables by type'!J137+'Tables by type'!K137</f>
        <v>86.23387704345143</v>
      </c>
      <c r="F73" s="118">
        <f>+'Tables by type'!J166+'Tables by type'!K166</f>
        <v>96.14065180102916</v>
      </c>
      <c r="G73" s="118">
        <f>+'Tables by type'!J195+'Tables by type'!K195</f>
        <v>0</v>
      </c>
      <c r="H73" s="120">
        <f>+'Tables by type'!J15+'Tables by type'!K15</f>
        <v>83.9353254997595</v>
      </c>
      <c r="I73" s="66"/>
      <c r="J73" s="66"/>
      <c r="K73" s="66"/>
      <c r="L73" s="66"/>
      <c r="M73" s="66"/>
    </row>
    <row r="74" spans="1:13" ht="15.75" customHeight="1">
      <c r="A74" s="9" t="s">
        <v>554</v>
      </c>
      <c r="B74" s="118">
        <f>+'Tables by type'!J47+'Tables by type'!K47</f>
        <v>97.52807450013694</v>
      </c>
      <c r="C74" s="118">
        <f>+'Tables by type'!J77+'Tables by type'!K77</f>
        <v>97.65910988375828</v>
      </c>
      <c r="D74" s="118">
        <f>+'Tables by type'!J107+'Tables by type'!K107</f>
        <v>94.57559542545378</v>
      </c>
      <c r="E74" s="118">
        <f>+'Tables by type'!J138+'Tables by type'!K138</f>
        <v>84.9981934240636</v>
      </c>
      <c r="F74" s="118">
        <f>+'Tables by type'!J167+'Tables by type'!K167</f>
        <v>97.82228794192768</v>
      </c>
      <c r="G74" s="118">
        <f>+'Tables by type'!J196+'Tables by type'!K196</f>
        <v>0</v>
      </c>
      <c r="H74" s="120">
        <f>+'Tables by type'!J16+'Tables by type'!K16</f>
        <v>94.34660446647085</v>
      </c>
      <c r="I74" s="66"/>
      <c r="J74" s="66"/>
      <c r="K74" s="66"/>
      <c r="L74" s="66"/>
      <c r="M74" s="66"/>
    </row>
    <row r="75" spans="1:13" ht="15.75" customHeight="1">
      <c r="A75" s="9" t="s">
        <v>563</v>
      </c>
      <c r="B75" s="118">
        <f>+'Tables by type'!J48+'Tables by type'!K48</f>
        <v>0</v>
      </c>
      <c r="C75" s="118">
        <f>+'Tables by type'!J78+'Tables by type'!K78</f>
        <v>87.36714105566566</v>
      </c>
      <c r="D75" s="118">
        <f>+'Tables by type'!J108+'Tables by type'!K108</f>
        <v>99.38860521365226</v>
      </c>
      <c r="E75" s="118">
        <f>+'Tables by type'!J139+'Tables by type'!K139</f>
        <v>93.04404620973997</v>
      </c>
      <c r="F75" s="118">
        <f>+'Tables by type'!J168+'Tables by type'!K168</f>
        <v>0</v>
      </c>
      <c r="G75" s="118">
        <f>+'Tables by type'!J197+'Tables by type'!K197</f>
        <v>0</v>
      </c>
      <c r="H75" s="120">
        <f>+'Tables by type'!J17+'Tables by type'!K17</f>
        <v>63.71167829946515</v>
      </c>
      <c r="I75" s="66"/>
      <c r="J75" s="66"/>
      <c r="K75" s="66"/>
      <c r="L75" s="66"/>
      <c r="M75" s="66"/>
    </row>
    <row r="76" spans="1:13" ht="15.75" customHeight="1">
      <c r="A76" s="9"/>
      <c r="B76" s="118">
        <f>+'Tables by type'!J49+'Tables by type'!K49</f>
        <v>0</v>
      </c>
      <c r="C76" s="118">
        <f>+'Tables by type'!J79+'Tables by type'!K79</f>
        <v>0</v>
      </c>
      <c r="D76" s="118">
        <f>+'Tables by type'!J109+'Tables by type'!K109</f>
        <v>0</v>
      </c>
      <c r="E76" s="118">
        <f>+'Tables by type'!J140+'Tables by type'!K140</f>
        <v>0</v>
      </c>
      <c r="F76" s="118">
        <f>+'Tables by type'!J169+'Tables by type'!K169</f>
        <v>0</v>
      </c>
      <c r="G76" s="118">
        <f>+'Tables by type'!J198+'Tables by type'!K198</f>
        <v>0</v>
      </c>
      <c r="H76" s="120"/>
      <c r="I76" s="66"/>
      <c r="J76" s="66"/>
      <c r="K76" s="66"/>
      <c r="L76" s="66"/>
      <c r="M76" s="66"/>
    </row>
    <row r="77" spans="1:13" ht="15.75" customHeight="1">
      <c r="A77" s="9" t="s">
        <v>206</v>
      </c>
      <c r="B77" s="118">
        <f>+'Tables by type'!J50+'Tables by type'!K50</f>
        <v>89.1689278933516</v>
      </c>
      <c r="C77" s="118">
        <f>+'Tables by type'!J80+'Tables by type'!K80</f>
        <v>92.6469218195523</v>
      </c>
      <c r="D77" s="118">
        <f>+'Tables by type'!J110+'Tables by type'!K110</f>
        <v>97.18518518518519</v>
      </c>
      <c r="E77" s="118">
        <f>+'Tables by type'!J141+'Tables by type'!K141</f>
        <v>91.95421575615278</v>
      </c>
      <c r="F77" s="118">
        <f>+'Tables by type'!J170+'Tables by type'!K170</f>
        <v>96.31008253762744</v>
      </c>
      <c r="G77" s="118">
        <f>+'Tables by type'!J199+'Tables by type'!K199</f>
        <v>0</v>
      </c>
      <c r="H77" s="120">
        <f>+'Tables by type'!J19+'Tables by type'!K19</f>
        <v>92.3640394956329</v>
      </c>
      <c r="I77" s="66"/>
      <c r="J77" s="66"/>
      <c r="K77" s="66"/>
      <c r="L77" s="66"/>
      <c r="M77" s="66"/>
    </row>
    <row r="78" spans="1:13" ht="15.75" customHeight="1">
      <c r="A78" s="9" t="s">
        <v>214</v>
      </c>
      <c r="B78" s="118">
        <f>+'Tables by type'!J51+'Tables by type'!K51</f>
        <v>98.80012986193151</v>
      </c>
      <c r="C78" s="118">
        <f>+'Tables by type'!J81+'Tables by type'!K81</f>
        <v>91.53643818660065</v>
      </c>
      <c r="D78" s="118">
        <f>+'Tables by type'!J111+'Tables by type'!K111</f>
        <v>89.98499542543459</v>
      </c>
      <c r="E78" s="121">
        <f>+'Tables by type'!J142+'Tables by type'!K142</f>
        <v>82.28438228438229</v>
      </c>
      <c r="F78" s="118">
        <f>+'Tables by type'!J171+'Tables by type'!K171</f>
        <v>91.96428571428571</v>
      </c>
      <c r="G78" s="118">
        <f>+'Tables by type'!J200+'Tables by type'!K200</f>
        <v>99.99999999999999</v>
      </c>
      <c r="H78" s="120">
        <f>+'Tables by type'!J20+'Tables by type'!K20</f>
        <v>93.5338110489217</v>
      </c>
      <c r="I78" s="66"/>
      <c r="J78" s="66"/>
      <c r="K78" s="66"/>
      <c r="L78" s="66"/>
      <c r="M78" s="66"/>
    </row>
    <row r="79" spans="1:13" ht="15.75" customHeight="1">
      <c r="A79" s="9" t="s">
        <v>207</v>
      </c>
      <c r="B79" s="118">
        <f>+'Tables by type'!J52+'Tables by type'!K52</f>
        <v>85.5878423513694</v>
      </c>
      <c r="C79" s="118">
        <f>+'Tables by type'!J82+'Tables by type'!K82</f>
        <v>0</v>
      </c>
      <c r="D79" s="118">
        <f>+'Tables by type'!J112+'Tables by type'!K112</f>
        <v>95.64157269125266</v>
      </c>
      <c r="E79" s="118">
        <f>+'Tables by type'!J143+'Tables by type'!K143</f>
        <v>95.03610621481776</v>
      </c>
      <c r="F79" s="118">
        <f>+'Tables by type'!J172+'Tables by type'!K172</f>
        <v>78.04617071931091</v>
      </c>
      <c r="G79" s="118">
        <f>+'Tables by type'!J201+'Tables by type'!K201</f>
        <v>100</v>
      </c>
      <c r="H79" s="120">
        <f>+'Tables by type'!J21+'Tables by type'!K21</f>
        <v>86.2617025080743</v>
      </c>
      <c r="I79" s="66"/>
      <c r="J79" s="66"/>
      <c r="K79" s="66"/>
      <c r="L79" s="66"/>
      <c r="M79" s="66"/>
    </row>
    <row r="80" spans="1:13" ht="15.75" customHeight="1">
      <c r="A80" s="9" t="s">
        <v>556</v>
      </c>
      <c r="B80" s="118">
        <f>+'Tables by type'!J53+'Tables by type'!K53</f>
        <v>0</v>
      </c>
      <c r="C80" s="118">
        <f>+'Tables by type'!J83+'Tables by type'!K83</f>
        <v>0</v>
      </c>
      <c r="D80" s="118">
        <f>+'Tables by type'!J113+'Tables by type'!K113</f>
        <v>0</v>
      </c>
      <c r="E80" s="118">
        <f>+'Tables by type'!J144+'Tables by type'!K144</f>
        <v>0</v>
      </c>
      <c r="F80" s="118">
        <f>+'Tables by type'!J173+'Tables by type'!K173</f>
        <v>0</v>
      </c>
      <c r="G80" s="118">
        <f>+'Tables by type'!J202+'Tables by type'!K202</f>
        <v>0</v>
      </c>
      <c r="H80" s="120">
        <f>+'Tables by type'!J22+'Tables by type'!K22</f>
        <v>0</v>
      </c>
      <c r="I80" s="66"/>
      <c r="J80" s="66"/>
      <c r="K80" s="66"/>
      <c r="L80" s="66"/>
      <c r="M80" s="66"/>
    </row>
    <row r="81" spans="1:13" ht="15.75" customHeight="1">
      <c r="A81" s="9"/>
      <c r="B81" s="118">
        <f>+'Tables by type'!J54+'Tables by type'!K54</f>
        <v>0</v>
      </c>
      <c r="C81" s="118">
        <f>+'Tables by type'!J84+'Tables by type'!K84</f>
        <v>0</v>
      </c>
      <c r="D81" s="118">
        <f>+'Tables by type'!J114+'Tables by type'!K114</f>
        <v>0</v>
      </c>
      <c r="E81" s="118">
        <f>+'Tables by type'!J145+'Tables by type'!K145</f>
        <v>0</v>
      </c>
      <c r="F81" s="118">
        <f>+'Tables by type'!J174+'Tables by type'!K174</f>
        <v>0</v>
      </c>
      <c r="G81" s="118">
        <f>+'Tables by type'!J203+'Tables by type'!K203</f>
        <v>0</v>
      </c>
      <c r="H81" s="120"/>
      <c r="I81" s="66"/>
      <c r="J81" s="66"/>
      <c r="K81" s="66"/>
      <c r="L81" s="66"/>
      <c r="M81" s="66"/>
    </row>
    <row r="82" spans="1:13" ht="15.75" customHeight="1">
      <c r="A82" s="9" t="s">
        <v>557</v>
      </c>
      <c r="B82" s="118">
        <f>+'Tables by type'!J55+'Tables by type'!K55</f>
        <v>0</v>
      </c>
      <c r="C82" s="118">
        <f>+'Tables by type'!J85+'Tables by type'!K85</f>
        <v>0</v>
      </c>
      <c r="D82" s="118">
        <f>+'Tables by type'!J115+'Tables by type'!K115</f>
        <v>0</v>
      </c>
      <c r="E82" s="118">
        <f>+'Tables by type'!J146+'Tables by type'!K146</f>
        <v>0</v>
      </c>
      <c r="F82" s="118">
        <f>+'Tables by type'!J175+'Tables by type'!K175</f>
        <v>0</v>
      </c>
      <c r="G82" s="118">
        <f>+'Tables by type'!J204+'Tables by type'!K204</f>
        <v>0</v>
      </c>
      <c r="H82" s="120">
        <f>+'Tables by type'!J24+'Tables by type'!K24</f>
        <v>0</v>
      </c>
      <c r="I82" s="66"/>
      <c r="J82" s="66"/>
      <c r="K82" s="66"/>
      <c r="L82" s="66"/>
      <c r="M82" s="66"/>
    </row>
    <row r="83" spans="1:13" ht="15.75" customHeight="1">
      <c r="A83" s="9" t="s">
        <v>313</v>
      </c>
      <c r="B83" s="118">
        <f>+'Tables by type'!J56+'Tables by type'!K56</f>
        <v>94.69740857811561</v>
      </c>
      <c r="C83" s="118">
        <f>+'Tables by type'!J86+'Tables by type'!K86</f>
        <v>85.99123873339659</v>
      </c>
      <c r="D83" s="121">
        <f>+'Tables by type'!J116+'Tables by type'!K116</f>
        <v>92.0527901778355</v>
      </c>
      <c r="E83" s="118">
        <f>+'Tables by type'!J147+'Tables by type'!K147</f>
        <v>87.33008331398797</v>
      </c>
      <c r="F83" s="118">
        <f>+'Tables by type'!J176+'Tables by type'!K176</f>
        <v>47.14570858283433</v>
      </c>
      <c r="G83" s="118">
        <f>+'Tables by type'!J205+'Tables by type'!K205</f>
        <v>99.78197674418605</v>
      </c>
      <c r="H83" s="120">
        <f>+'Tables by type'!J25+'Tables by type'!K25</f>
        <v>91.65109854798838</v>
      </c>
      <c r="I83" s="66"/>
      <c r="J83" s="66"/>
      <c r="K83" s="66"/>
      <c r="L83" s="66"/>
      <c r="M83" s="66"/>
    </row>
    <row r="84" spans="1:13" ht="15.75" customHeight="1">
      <c r="A84" s="9" t="s">
        <v>558</v>
      </c>
      <c r="B84" s="118">
        <f>+'Tables by type'!J57+'Tables by type'!K57</f>
        <v>0</v>
      </c>
      <c r="C84" s="118">
        <f>+'Tables by type'!J87+'Tables by type'!K87</f>
        <v>0</v>
      </c>
      <c r="D84" s="118">
        <f>+'Tables by type'!J117+'Tables by type'!K117</f>
        <v>0</v>
      </c>
      <c r="E84" s="118">
        <f>+'Tables by type'!J148+'Tables by type'!K148</f>
        <v>0</v>
      </c>
      <c r="F84" s="118">
        <f>+'Tables by type'!J177+'Tables by type'!K177</f>
        <v>0</v>
      </c>
      <c r="G84" s="121">
        <f>+'Tables by type'!J206+'Tables by type'!K206</f>
        <v>0</v>
      </c>
      <c r="H84" s="120">
        <f>+'Tables by type'!J26+'Tables by type'!K26</f>
        <v>0</v>
      </c>
      <c r="I84" s="66"/>
      <c r="J84" s="66"/>
      <c r="K84" s="66"/>
      <c r="L84" s="66"/>
      <c r="M84" s="66"/>
    </row>
    <row r="85" spans="1:13" ht="15.75" customHeight="1">
      <c r="A85" s="10" t="s">
        <v>208</v>
      </c>
      <c r="B85" s="125">
        <f>+'Tables by type'!J58+'Tables by type'!K58</f>
        <v>89.57812868253595</v>
      </c>
      <c r="C85" s="124">
        <f>+'Tables by type'!J88+'Tables by type'!K88</f>
        <v>0</v>
      </c>
      <c r="D85" s="124">
        <f>+'Tables by type'!J118+'Tables by type'!K118</f>
        <v>72.22130013831259</v>
      </c>
      <c r="E85" s="124">
        <f>+'Tables by type'!J149+'Tables by type'!K149</f>
        <v>0</v>
      </c>
      <c r="F85" s="124">
        <f>+'Tables by type'!J178+'Tables by type'!K178</f>
        <v>0</v>
      </c>
      <c r="G85" s="125">
        <f>+'Tables by type'!J207+'Tables by type'!K207</f>
        <v>53.08139534883721</v>
      </c>
      <c r="H85" s="126">
        <f>+'Tables by type'!J27+'Tables by type'!K27</f>
        <v>83.52752109280836</v>
      </c>
      <c r="I85" s="66"/>
      <c r="J85" s="66"/>
      <c r="K85" s="66"/>
      <c r="L85" s="66"/>
      <c r="M85" s="66"/>
    </row>
    <row r="86" spans="10:13" s="73" customFormat="1" ht="11.25">
      <c r="J86" s="86"/>
      <c r="M86" s="86"/>
    </row>
    <row r="87" spans="1:13" s="73" customFormat="1" ht="27.75" customHeight="1">
      <c r="A87" s="411" t="s">
        <v>59</v>
      </c>
      <c r="B87" s="412"/>
      <c r="C87" s="412"/>
      <c r="D87" s="412"/>
      <c r="E87" s="412"/>
      <c r="F87" s="412"/>
      <c r="G87" s="412"/>
      <c r="H87" s="412"/>
      <c r="M87" s="86"/>
    </row>
    <row r="88" spans="8:13" s="73" customFormat="1" ht="11.25">
      <c r="H88" s="343" t="s">
        <v>60</v>
      </c>
      <c r="M88" s="86"/>
    </row>
    <row r="89" spans="1:13" ht="18">
      <c r="A89" s="34" t="s">
        <v>571</v>
      </c>
      <c r="B89" s="6"/>
      <c r="C89" s="6"/>
      <c r="D89" s="6"/>
      <c r="E89" s="6"/>
      <c r="F89" s="6"/>
      <c r="G89" s="17"/>
      <c r="H89" s="17"/>
      <c r="I89" s="17" t="s">
        <v>73</v>
      </c>
      <c r="J89" s="17"/>
      <c r="K89" s="17"/>
      <c r="L89" s="17"/>
      <c r="M89" s="61"/>
    </row>
    <row r="90" spans="1:13" s="9" customFormat="1" ht="12.75">
      <c r="A90" s="90"/>
      <c r="B90" s="8"/>
      <c r="C90" s="8"/>
      <c r="D90" s="8"/>
      <c r="E90" s="8"/>
      <c r="F90" s="8"/>
      <c r="G90" s="8"/>
      <c r="H90" s="8"/>
      <c r="I90" s="8"/>
      <c r="J90" s="8"/>
      <c r="K90" s="8"/>
      <c r="L90" s="8"/>
      <c r="M90" s="89"/>
    </row>
    <row r="91" spans="1:13" ht="18">
      <c r="A91" s="7" t="s">
        <v>602</v>
      </c>
      <c r="B91" s="6"/>
      <c r="C91" s="6"/>
      <c r="D91" s="6"/>
      <c r="E91" s="6"/>
      <c r="F91" s="6"/>
      <c r="G91" s="17"/>
      <c r="H91" s="17"/>
      <c r="I91" s="17" t="s">
        <v>73</v>
      </c>
      <c r="J91" s="17"/>
      <c r="K91" s="17"/>
      <c r="L91" s="17"/>
      <c r="M91" s="61"/>
    </row>
    <row r="92" spans="1:13" ht="15.75">
      <c r="A92" s="7" t="s">
        <v>804</v>
      </c>
      <c r="B92" s="8"/>
      <c r="C92" s="8"/>
      <c r="D92" s="8"/>
      <c r="E92" s="8"/>
      <c r="F92" s="8"/>
      <c r="G92" s="17"/>
      <c r="H92" s="17"/>
      <c r="I92" s="17" t="s">
        <v>73</v>
      </c>
      <c r="J92" s="17"/>
      <c r="K92" s="17"/>
      <c r="L92" s="17"/>
      <c r="M92" s="61"/>
    </row>
    <row r="93" spans="1:13" ht="15.75">
      <c r="A93" s="7"/>
      <c r="B93" s="8"/>
      <c r="C93" s="8"/>
      <c r="D93" s="8"/>
      <c r="E93" s="8"/>
      <c r="F93" s="8"/>
      <c r="G93" s="17"/>
      <c r="H93" s="17"/>
      <c r="I93" s="17"/>
      <c r="J93" s="17"/>
      <c r="K93" s="17"/>
      <c r="L93" s="17"/>
      <c r="M93" s="61"/>
    </row>
    <row r="94" spans="1:14" s="94" customFormat="1" ht="12.75">
      <c r="A94" s="20"/>
      <c r="B94" s="414" t="s">
        <v>205</v>
      </c>
      <c r="C94" s="414"/>
      <c r="D94" s="414"/>
      <c r="E94" s="414"/>
      <c r="F94" s="414"/>
      <c r="G94" s="414"/>
      <c r="H94" s="414"/>
      <c r="I94" s="413"/>
      <c r="J94" s="413"/>
      <c r="K94" s="413"/>
      <c r="L94" s="413"/>
      <c r="M94" s="95"/>
      <c r="N94" s="95"/>
    </row>
    <row r="95" spans="1:14" s="94" customFormat="1" ht="12.75">
      <c r="A95" s="20"/>
      <c r="B95" s="91">
        <v>1</v>
      </c>
      <c r="C95" s="91">
        <v>2</v>
      </c>
      <c r="D95" s="91">
        <v>3</v>
      </c>
      <c r="E95" s="91">
        <v>4</v>
      </c>
      <c r="F95" s="91">
        <v>5</v>
      </c>
      <c r="G95" s="91">
        <v>6</v>
      </c>
      <c r="H95" s="92" t="s">
        <v>591</v>
      </c>
      <c r="I95" s="95"/>
      <c r="J95" s="95"/>
      <c r="K95" s="95"/>
      <c r="L95" s="95"/>
      <c r="M95" s="95"/>
      <c r="N95" s="95"/>
    </row>
    <row r="96" spans="1:14" ht="15.75" customHeight="1">
      <c r="A96" s="9" t="s">
        <v>548</v>
      </c>
      <c r="B96" s="118">
        <f>+'Tables by type'!L40</f>
        <v>6.524434005350036</v>
      </c>
      <c r="C96" s="118">
        <f>+'Tables by type'!L70</f>
        <v>0</v>
      </c>
      <c r="D96" s="118">
        <f>+'Tables by type'!L100</f>
        <v>16.049186199212066</v>
      </c>
      <c r="E96" s="118">
        <f>+'Tables by type'!L131</f>
        <v>29.76167431479942</v>
      </c>
      <c r="F96" s="118">
        <f>+'Tables by type'!L160</f>
        <v>20.098618316297703</v>
      </c>
      <c r="G96" s="118">
        <f>+'Tables by type'!L189</f>
        <v>0</v>
      </c>
      <c r="H96" s="120">
        <f>+'Tables by type'!L9</f>
        <v>13.659892289218005</v>
      </c>
      <c r="I96" s="66"/>
      <c r="J96" s="66"/>
      <c r="K96" s="66"/>
      <c r="L96" s="66"/>
      <c r="M96" s="66"/>
      <c r="N96" s="1"/>
    </row>
    <row r="97" spans="1:14" ht="15.75" customHeight="1">
      <c r="A97" s="9" t="s">
        <v>549</v>
      </c>
      <c r="B97" s="118">
        <f>+'Tables by type'!L41</f>
        <v>0</v>
      </c>
      <c r="C97" s="118">
        <f>+'Tables by type'!L71</f>
        <v>8.616123286610392</v>
      </c>
      <c r="D97" s="118">
        <f>+'Tables by type'!L101</f>
        <v>11.434364390795926</v>
      </c>
      <c r="E97" s="118">
        <f>+'Tables by type'!L132</f>
        <v>0</v>
      </c>
      <c r="F97" s="118">
        <f>+'Tables by type'!L161</f>
        <v>5.45472287275566</v>
      </c>
      <c r="G97" s="118">
        <f>+'Tables by type'!L190</f>
        <v>40.09850543478261</v>
      </c>
      <c r="H97" s="120">
        <f>+'Tables by type'!L10</f>
        <v>10.662130719474801</v>
      </c>
      <c r="I97" s="66"/>
      <c r="J97" s="66"/>
      <c r="K97" s="66"/>
      <c r="L97" s="66"/>
      <c r="M97" s="66"/>
      <c r="N97" s="1"/>
    </row>
    <row r="98" spans="1:14" ht="15.75" customHeight="1">
      <c r="A98" s="9" t="s">
        <v>550</v>
      </c>
      <c r="B98" s="118">
        <f>+'Tables by type'!L42</f>
        <v>2.7443991853360488</v>
      </c>
      <c r="C98" s="118">
        <f>+'Tables by type'!L72</f>
        <v>0</v>
      </c>
      <c r="D98" s="118">
        <f>+'Tables by type'!L102</f>
        <v>0</v>
      </c>
      <c r="E98" s="118">
        <f>+'Tables by type'!L133</f>
        <v>0</v>
      </c>
      <c r="F98" s="118">
        <f>+'Tables by type'!L162</f>
        <v>0</v>
      </c>
      <c r="G98" s="118">
        <f>+'Tables by type'!L191</f>
        <v>0</v>
      </c>
      <c r="H98" s="120">
        <f>+'Tables by type'!L11</f>
        <v>2.7443991853360488</v>
      </c>
      <c r="I98" s="66"/>
      <c r="J98" s="66"/>
      <c r="K98" s="66"/>
      <c r="L98" s="66"/>
      <c r="M98" s="66"/>
      <c r="N98" s="1"/>
    </row>
    <row r="99" spans="1:14" ht="15.75" customHeight="1">
      <c r="A99" s="9" t="s">
        <v>551</v>
      </c>
      <c r="B99" s="118">
        <f>+'Tables by type'!L43</f>
        <v>12.259335589103202</v>
      </c>
      <c r="C99" s="118">
        <f>+'Tables by type'!L73</f>
        <v>18.550027222114895</v>
      </c>
      <c r="D99" s="118">
        <f>+'Tables by type'!L103</f>
        <v>2.9814089961802543</v>
      </c>
      <c r="E99" s="118">
        <f>+'Tables by type'!L134</f>
        <v>0</v>
      </c>
      <c r="F99" s="118">
        <f>+'Tables by type'!L163</f>
        <v>26.24519781627013</v>
      </c>
      <c r="G99" s="118">
        <f>+'Tables by type'!L192</f>
        <v>0</v>
      </c>
      <c r="H99" s="120">
        <f>+'Tables by type'!L12</f>
        <v>13.526138064135344</v>
      </c>
      <c r="I99" s="66"/>
      <c r="J99" s="66"/>
      <c r="K99" s="66"/>
      <c r="L99" s="66"/>
      <c r="M99" s="66"/>
      <c r="N99" s="1"/>
    </row>
    <row r="100" spans="1:14" ht="15.75" customHeight="1">
      <c r="A100" s="9"/>
      <c r="B100" s="118">
        <f>+'Tables by type'!L44</f>
        <v>0</v>
      </c>
      <c r="C100" s="118">
        <f>+'Tables by type'!L74</f>
        <v>0</v>
      </c>
      <c r="D100" s="118">
        <f>+'Tables by type'!L104</f>
        <v>0</v>
      </c>
      <c r="E100" s="118">
        <f>+'Tables by type'!L135</f>
        <v>0</v>
      </c>
      <c r="F100" s="118">
        <f>+'Tables by type'!L164</f>
        <v>0</v>
      </c>
      <c r="G100" s="118">
        <f>+'Tables by type'!L193</f>
        <v>0</v>
      </c>
      <c r="H100" s="120"/>
      <c r="I100" s="66"/>
      <c r="J100" s="66"/>
      <c r="K100" s="66"/>
      <c r="L100" s="66"/>
      <c r="M100" s="66"/>
      <c r="N100" s="1"/>
    </row>
    <row r="101" spans="1:14" ht="15.75" customHeight="1">
      <c r="A101" s="9" t="s">
        <v>552</v>
      </c>
      <c r="B101" s="118">
        <f>+'Tables by type'!L45</f>
        <v>3.1484483705018063</v>
      </c>
      <c r="C101" s="118">
        <f>+'Tables by type'!L75</f>
        <v>1.696480396812833</v>
      </c>
      <c r="D101" s="118">
        <f>+'Tables by type'!L105</f>
        <v>23.11265376958808</v>
      </c>
      <c r="E101" s="118">
        <f>+'Tables by type'!L136</f>
        <v>12.358454740040047</v>
      </c>
      <c r="F101" s="121">
        <f>+'Tables by type'!L165</f>
        <v>7.115390935682125</v>
      </c>
      <c r="G101" s="118">
        <f>+'Tables by type'!L194</f>
        <v>0</v>
      </c>
      <c r="H101" s="120">
        <f>+'Tables by type'!L14</f>
        <v>5.801523416584103</v>
      </c>
      <c r="I101" s="66"/>
      <c r="J101" s="66"/>
      <c r="K101" s="66"/>
      <c r="L101" s="66"/>
      <c r="M101" s="66"/>
      <c r="N101" s="1"/>
    </row>
    <row r="102" spans="1:14" ht="15.75" customHeight="1">
      <c r="A102" s="9" t="s">
        <v>553</v>
      </c>
      <c r="B102" s="118">
        <f>+'Tables by type'!L46</f>
        <v>4.495683065023833</v>
      </c>
      <c r="C102" s="118">
        <f>+'Tables by type'!L76</f>
        <v>24.673421537430915</v>
      </c>
      <c r="D102" s="121">
        <f>+'Tables by type'!L106</f>
        <v>20.21119908593464</v>
      </c>
      <c r="E102" s="118">
        <f>+'Tables by type'!L137</f>
        <v>13.766122956548577</v>
      </c>
      <c r="F102" s="118">
        <f>+'Tables by type'!L166</f>
        <v>3.859348198970841</v>
      </c>
      <c r="G102" s="118">
        <f>+'Tables by type'!L195</f>
        <v>0</v>
      </c>
      <c r="H102" s="120">
        <f>+'Tables by type'!L15</f>
        <v>16.064674500240503</v>
      </c>
      <c r="I102" s="66"/>
      <c r="J102" s="66"/>
      <c r="K102" s="66"/>
      <c r="L102" s="66"/>
      <c r="M102" s="66"/>
      <c r="N102" s="1"/>
    </row>
    <row r="103" spans="1:14" ht="15.75" customHeight="1">
      <c r="A103" s="9" t="s">
        <v>554</v>
      </c>
      <c r="B103" s="118">
        <f>+'Tables by type'!L47</f>
        <v>2.471925499863051</v>
      </c>
      <c r="C103" s="118">
        <f>+'Tables by type'!L77</f>
        <v>2.3408901162417313</v>
      </c>
      <c r="D103" s="118">
        <f>+'Tables by type'!L107</f>
        <v>5.424404574546218</v>
      </c>
      <c r="E103" s="118">
        <f>+'Tables by type'!L138</f>
        <v>15.001806575936408</v>
      </c>
      <c r="F103" s="118">
        <f>+'Tables by type'!L167</f>
        <v>2.1777120580723217</v>
      </c>
      <c r="G103" s="118">
        <f>+'Tables by type'!L196</f>
        <v>0</v>
      </c>
      <c r="H103" s="120">
        <f>+'Tables by type'!L16</f>
        <v>5.653395533529154</v>
      </c>
      <c r="I103" s="66"/>
      <c r="J103" s="66"/>
      <c r="K103" s="66"/>
      <c r="L103" s="66"/>
      <c r="M103" s="66"/>
      <c r="N103" s="1"/>
    </row>
    <row r="104" spans="1:14" ht="15.75" customHeight="1">
      <c r="A104" s="9" t="s">
        <v>563</v>
      </c>
      <c r="B104" s="118">
        <f>+'Tables by type'!L48</f>
        <v>0</v>
      </c>
      <c r="C104" s="118">
        <f>+'Tables by type'!L78</f>
        <v>12.632858944334352</v>
      </c>
      <c r="D104" s="118">
        <f>+'Tables by type'!L108</f>
        <v>0.611394786347756</v>
      </c>
      <c r="E104" s="118">
        <f>+'Tables by type'!L139</f>
        <v>6.955953790260032</v>
      </c>
      <c r="F104" s="118">
        <f>+'Tables by type'!L168</f>
        <v>0</v>
      </c>
      <c r="G104" s="118">
        <f>+'Tables by type'!L197</f>
        <v>0</v>
      </c>
      <c r="H104" s="120">
        <f>+'Tables by type'!L17</f>
        <v>36.28832170053485</v>
      </c>
      <c r="I104" s="66"/>
      <c r="J104" s="66"/>
      <c r="K104" s="66"/>
      <c r="L104" s="66"/>
      <c r="M104" s="66"/>
      <c r="N104" s="1"/>
    </row>
    <row r="105" spans="1:14" ht="15.75" customHeight="1">
      <c r="A105" s="9"/>
      <c r="B105" s="118">
        <f>+'Tables by type'!L49</f>
        <v>0</v>
      </c>
      <c r="C105" s="118">
        <f>+'Tables by type'!L79</f>
        <v>0</v>
      </c>
      <c r="D105" s="118">
        <f>+'Tables by type'!L109</f>
        <v>0</v>
      </c>
      <c r="E105" s="118">
        <f>+'Tables by type'!L140</f>
        <v>0</v>
      </c>
      <c r="F105" s="118">
        <f>+'Tables by type'!L169</f>
        <v>0</v>
      </c>
      <c r="G105" s="118">
        <f>+'Tables by type'!L198</f>
        <v>0</v>
      </c>
      <c r="H105" s="120"/>
      <c r="I105" s="66"/>
      <c r="J105" s="66"/>
      <c r="K105" s="66"/>
      <c r="L105" s="66"/>
      <c r="M105" s="66"/>
      <c r="N105" s="1"/>
    </row>
    <row r="106" spans="1:14" ht="15.75" customHeight="1">
      <c r="A106" s="9" t="s">
        <v>206</v>
      </c>
      <c r="B106" s="118">
        <f>+'Tables by type'!L50</f>
        <v>10.77403215423603</v>
      </c>
      <c r="C106" s="118">
        <f>+'Tables by type'!L80</f>
        <v>7.353078180447689</v>
      </c>
      <c r="D106" s="118">
        <f>+'Tables by type'!L110</f>
        <v>2.814814814814815</v>
      </c>
      <c r="E106" s="121">
        <f>+'Tables by type'!L141</f>
        <v>8.04578424384722</v>
      </c>
      <c r="F106" s="118">
        <f>+'Tables by type'!L170</f>
        <v>3.689917462372552</v>
      </c>
      <c r="G106" s="118">
        <f>+'Tables by type'!L199</f>
        <v>0</v>
      </c>
      <c r="H106" s="120">
        <f>+'Tables by type'!L19</f>
        <v>7.62145528766953</v>
      </c>
      <c r="I106" s="66"/>
      <c r="J106" s="66"/>
      <c r="K106" s="66"/>
      <c r="L106" s="66"/>
      <c r="M106" s="66"/>
      <c r="N106" s="1"/>
    </row>
    <row r="107" spans="1:14" ht="15.75" customHeight="1">
      <c r="A107" s="9" t="s">
        <v>214</v>
      </c>
      <c r="B107" s="118">
        <f>+'Tables by type'!L51</f>
        <v>1.1998701380684842</v>
      </c>
      <c r="C107" s="118">
        <f>+'Tables by type'!L81</f>
        <v>8.46356181339935</v>
      </c>
      <c r="D107" s="118">
        <f>+'Tables by type'!L111</f>
        <v>10.015004574565415</v>
      </c>
      <c r="E107" s="118">
        <f>+'Tables by type'!L142</f>
        <v>17.715617715617714</v>
      </c>
      <c r="F107" s="118">
        <f>+'Tables by type'!L171</f>
        <v>8.035714285714286</v>
      </c>
      <c r="G107" s="118">
        <f>+'Tables by type'!L200</f>
        <v>0</v>
      </c>
      <c r="H107" s="120">
        <f>+'Tables by type'!L20</f>
        <v>6.4661889510782995</v>
      </c>
      <c r="I107" s="66"/>
      <c r="J107" s="66"/>
      <c r="K107" s="66"/>
      <c r="L107" s="66"/>
      <c r="M107" s="66"/>
      <c r="N107" s="1"/>
    </row>
    <row r="108" spans="1:14" ht="15.75" customHeight="1">
      <c r="A108" s="9" t="s">
        <v>207</v>
      </c>
      <c r="B108" s="121">
        <f>+'Tables by type'!L52</f>
        <v>14.38877755511022</v>
      </c>
      <c r="C108" s="118">
        <f>+'Tables by type'!L82</f>
        <v>0</v>
      </c>
      <c r="D108" s="118">
        <f>+'Tables by type'!L112</f>
        <v>4.358427308747333</v>
      </c>
      <c r="E108" s="118">
        <f>+'Tables by type'!L143</f>
        <v>4.963893785182236</v>
      </c>
      <c r="F108" s="118">
        <f>+'Tables by type'!L172</f>
        <v>21.95382928068908</v>
      </c>
      <c r="G108" s="118">
        <f>+'Tables by type'!L201</f>
        <v>0</v>
      </c>
      <c r="H108" s="120">
        <f>+'Tables by type'!L21</f>
        <v>13.722320073343958</v>
      </c>
      <c r="I108" s="66"/>
      <c r="J108" s="66"/>
      <c r="K108" s="66"/>
      <c r="L108" s="66"/>
      <c r="M108" s="66"/>
      <c r="N108" s="1"/>
    </row>
    <row r="109" spans="1:14" ht="15.75" customHeight="1">
      <c r="A109" s="9" t="s">
        <v>556</v>
      </c>
      <c r="B109" s="118">
        <f>+'Tables by type'!L53</f>
        <v>0</v>
      </c>
      <c r="C109" s="118">
        <f>+'Tables by type'!L83</f>
        <v>0</v>
      </c>
      <c r="D109" s="118">
        <f>+'Tables by type'!L113</f>
        <v>0</v>
      </c>
      <c r="E109" s="118">
        <f>+'Tables by type'!L144</f>
        <v>0</v>
      </c>
      <c r="F109" s="118">
        <f>+'Tables by type'!L173</f>
        <v>0</v>
      </c>
      <c r="G109" s="118">
        <f>+'Tables by type'!L202</f>
        <v>0</v>
      </c>
      <c r="H109" s="120">
        <f>+'Tables by type'!L22</f>
        <v>0</v>
      </c>
      <c r="I109" s="66"/>
      <c r="J109" s="66"/>
      <c r="K109" s="66"/>
      <c r="L109" s="66"/>
      <c r="M109" s="66"/>
      <c r="N109" s="1"/>
    </row>
    <row r="110" spans="1:14" ht="15.75" customHeight="1">
      <c r="A110" s="9"/>
      <c r="B110" s="118">
        <f>+'Tables by type'!L54</f>
        <v>0</v>
      </c>
      <c r="C110" s="118">
        <f>+'Tables by type'!L84</f>
        <v>0</v>
      </c>
      <c r="D110" s="118">
        <f>+'Tables by type'!L114</f>
        <v>0</v>
      </c>
      <c r="E110" s="118">
        <f>+'Tables by type'!L145</f>
        <v>0</v>
      </c>
      <c r="F110" s="118">
        <f>+'Tables by type'!L174</f>
        <v>0</v>
      </c>
      <c r="G110" s="118">
        <f>+'Tables by type'!L203</f>
        <v>0</v>
      </c>
      <c r="H110" s="120"/>
      <c r="I110" s="66"/>
      <c r="J110" s="66"/>
      <c r="K110" s="66"/>
      <c r="L110" s="66"/>
      <c r="M110" s="66"/>
      <c r="N110" s="1"/>
    </row>
    <row r="111" spans="1:14" ht="15.75" customHeight="1">
      <c r="A111" s="9" t="s">
        <v>557</v>
      </c>
      <c r="B111" s="118">
        <f>+'Tables by type'!L55</f>
        <v>0</v>
      </c>
      <c r="C111" s="118">
        <f>+'Tables by type'!L85</f>
        <v>0</v>
      </c>
      <c r="D111" s="118">
        <f>+'Tables by type'!L115</f>
        <v>0</v>
      </c>
      <c r="E111" s="118">
        <f>+'Tables by type'!L146</f>
        <v>0</v>
      </c>
      <c r="F111" s="118">
        <f>+'Tables by type'!L175</f>
        <v>0</v>
      </c>
      <c r="G111" s="118">
        <f>+'Tables by type'!L204</f>
        <v>0</v>
      </c>
      <c r="H111" s="120">
        <f>+'Tables by type'!L24</f>
        <v>0</v>
      </c>
      <c r="I111" s="66"/>
      <c r="J111" s="66"/>
      <c r="K111" s="66"/>
      <c r="L111" s="66"/>
      <c r="M111" s="66"/>
      <c r="N111" s="1"/>
    </row>
    <row r="112" spans="1:14" ht="15.75" customHeight="1">
      <c r="A112" s="9" t="s">
        <v>313</v>
      </c>
      <c r="B112" s="118">
        <f>+'Tables by type'!L56</f>
        <v>5.302591421884385</v>
      </c>
      <c r="C112" s="118">
        <f>+'Tables by type'!L86</f>
        <v>14.008761266603416</v>
      </c>
      <c r="D112" s="121">
        <f>+'Tables by type'!L116</f>
        <v>7.94720982216449</v>
      </c>
      <c r="E112" s="118">
        <f>+'Tables by type'!L147</f>
        <v>12.66991668601202</v>
      </c>
      <c r="F112" s="118">
        <f>+'Tables by type'!L176</f>
        <v>52.854291417165676</v>
      </c>
      <c r="G112" s="118">
        <f>+'Tables by type'!L205</f>
        <v>0.2180232558139535</v>
      </c>
      <c r="H112" s="120">
        <f>+'Tables by type'!L25</f>
        <v>8.348901452011617</v>
      </c>
      <c r="I112" s="66"/>
      <c r="J112" s="66"/>
      <c r="K112" s="66"/>
      <c r="L112" s="66"/>
      <c r="M112" s="66"/>
      <c r="N112" s="1"/>
    </row>
    <row r="113" spans="1:14" ht="15.75" customHeight="1">
      <c r="A113" s="9" t="s">
        <v>558</v>
      </c>
      <c r="B113" s="118">
        <f>+'Tables by type'!L57</f>
        <v>0</v>
      </c>
      <c r="C113" s="118">
        <f>+'Tables by type'!L87</f>
        <v>0</v>
      </c>
      <c r="D113" s="118">
        <f>+'Tables by type'!L117</f>
        <v>0</v>
      </c>
      <c r="E113" s="118">
        <f>+'Tables by type'!L148</f>
        <v>0</v>
      </c>
      <c r="F113" s="118">
        <f>+'Tables by type'!L177</f>
        <v>0</v>
      </c>
      <c r="G113" s="118">
        <f>+'Tables by type'!L206</f>
        <v>0</v>
      </c>
      <c r="H113" s="120">
        <f>+'Tables by type'!L26</f>
        <v>0</v>
      </c>
      <c r="I113" s="66"/>
      <c r="J113" s="66"/>
      <c r="K113" s="66"/>
      <c r="L113" s="66"/>
      <c r="M113" s="66"/>
      <c r="N113" s="1"/>
    </row>
    <row r="114" spans="1:14" ht="15.75" customHeight="1">
      <c r="A114" s="10" t="s">
        <v>208</v>
      </c>
      <c r="B114" s="125">
        <f>+'Tables by type'!L58</f>
        <v>10.41244402545369</v>
      </c>
      <c r="C114" s="124">
        <f>+'Tables by type'!L88</f>
        <v>0</v>
      </c>
      <c r="D114" s="124">
        <f>+'Tables by type'!L118</f>
        <v>27.778699861687414</v>
      </c>
      <c r="E114" s="124">
        <f>+'Tables by type'!L149</f>
        <v>0</v>
      </c>
      <c r="F114" s="124">
        <f>+'Tables by type'!L178</f>
        <v>0</v>
      </c>
      <c r="G114" s="128">
        <f>+'Tables by type'!L207</f>
        <v>46.918604651162795</v>
      </c>
      <c r="H114" s="126">
        <f>+'Tables by type'!L27</f>
        <v>16.46605062274006</v>
      </c>
      <c r="I114" s="66"/>
      <c r="J114" s="66"/>
      <c r="K114" s="66"/>
      <c r="L114" s="66"/>
      <c r="M114" s="66"/>
      <c r="N114" s="1"/>
    </row>
    <row r="115" spans="1:14" s="72" customFormat="1" ht="11.25">
      <c r="A115" s="84"/>
      <c r="B115" s="85"/>
      <c r="C115" s="85"/>
      <c r="D115" s="85"/>
      <c r="E115" s="85"/>
      <c r="F115" s="85"/>
      <c r="G115" s="85"/>
      <c r="H115" s="85"/>
      <c r="I115" s="85"/>
      <c r="J115" s="85"/>
      <c r="K115" s="85"/>
      <c r="L115" s="85"/>
      <c r="M115" s="85"/>
      <c r="N115" s="84"/>
    </row>
    <row r="116" spans="1:14" s="72" customFormat="1" ht="27" customHeight="1">
      <c r="A116" s="411" t="s">
        <v>59</v>
      </c>
      <c r="B116" s="412"/>
      <c r="C116" s="412"/>
      <c r="D116" s="412"/>
      <c r="E116" s="412"/>
      <c r="F116" s="412"/>
      <c r="G116" s="412"/>
      <c r="H116" s="412"/>
      <c r="I116" s="84"/>
      <c r="J116" s="84"/>
      <c r="K116" s="84"/>
      <c r="L116" s="84"/>
      <c r="M116" s="84"/>
      <c r="N116" s="84"/>
    </row>
    <row r="117" spans="8:14" s="72" customFormat="1" ht="11.25">
      <c r="H117" s="343" t="s">
        <v>60</v>
      </c>
      <c r="I117" s="84"/>
      <c r="J117" s="84"/>
      <c r="K117" s="84"/>
      <c r="L117" s="84"/>
      <c r="M117" s="84"/>
      <c r="N117" s="84"/>
    </row>
  </sheetData>
  <mergeCells count="9">
    <mergeCell ref="A116:H116"/>
    <mergeCell ref="A87:H87"/>
    <mergeCell ref="I94:L94"/>
    <mergeCell ref="B5:H5"/>
    <mergeCell ref="I5:M5"/>
    <mergeCell ref="B65:H65"/>
    <mergeCell ref="B94:H94"/>
    <mergeCell ref="A31:P31"/>
    <mergeCell ref="A33:P33"/>
  </mergeCells>
  <printOptions horizontalCentered="1"/>
  <pageMargins left="0.5" right="0.5" top="1" bottom="1" header="0.75" footer="0.5"/>
  <pageSetup firstPageNumber="108" useFirstPageNumber="1" horizontalDpi="600" verticalDpi="600" orientation="landscape" r:id="rId1"/>
  <headerFooter alignWithMargins="0">
    <oddHeader>&amp;R&amp;8SREB-State Data Exchange</oddHeader>
    <oddFooter>&amp;C&amp;P</oddFooter>
  </headerFooter>
  <rowBreaks count="3" manualBreakCount="3">
    <brk id="30" max="15" man="1"/>
    <brk id="58" max="15" man="1"/>
    <brk id="88" max="15" man="1"/>
  </rowBreaks>
</worksheet>
</file>

<file path=xl/worksheets/sheet4.xml><?xml version="1.0" encoding="utf-8"?>
<worksheet xmlns="http://schemas.openxmlformats.org/spreadsheetml/2006/main" xmlns:r="http://schemas.openxmlformats.org/officeDocument/2006/relationships">
  <sheetPr>
    <tabColor indexed="16"/>
  </sheetPr>
  <dimension ref="A1:AO551"/>
  <sheetViews>
    <sheetView showGridLines="0" showZeros="0" tabSelected="1" view="pageBreakPreview" zoomScaleNormal="70" zoomScaleSheetLayoutView="100" workbookViewId="0" topLeftCell="A1">
      <selection activeCell="L102" sqref="L102"/>
    </sheetView>
  </sheetViews>
  <sheetFormatPr defaultColWidth="9.140625" defaultRowHeight="12.75"/>
  <cols>
    <col min="1" max="1" width="13.421875" style="41" customWidth="1"/>
    <col min="2" max="3" width="9.421875" style="41" bestFit="1" customWidth="1"/>
    <col min="4" max="4" width="9.8515625" style="41" bestFit="1" customWidth="1"/>
    <col min="5" max="5" width="5.7109375" style="41" bestFit="1" customWidth="1"/>
    <col min="6" max="6" width="11.421875" style="41" customWidth="1"/>
    <col min="7" max="7" width="7.8515625" style="41" bestFit="1" customWidth="1"/>
    <col min="8" max="8" width="12.28125" style="43" bestFit="1" customWidth="1"/>
    <col min="9" max="9" width="13.00390625" style="51" customWidth="1"/>
    <col min="10" max="11" width="9.00390625" style="41" customWidth="1"/>
    <col min="12" max="12" width="10.00390625" style="41" bestFit="1" customWidth="1"/>
    <col min="13" max="13" width="6.421875" style="41" bestFit="1" customWidth="1"/>
    <col min="14" max="14" width="11.28125" style="41" customWidth="1"/>
    <col min="15" max="15" width="7.8515625" style="41" bestFit="1" customWidth="1"/>
    <col min="16" max="16" width="12.28125" style="41" bestFit="1" customWidth="1"/>
    <col min="17" max="17" width="11.57421875" style="69" bestFit="1" customWidth="1"/>
    <col min="18" max="18" width="11.57421875" style="28" bestFit="1" customWidth="1"/>
    <col min="19" max="16384" width="9.140625" style="41" customWidth="1"/>
  </cols>
  <sheetData>
    <row r="1" spans="1:18" ht="18">
      <c r="A1" s="34" t="s">
        <v>811</v>
      </c>
      <c r="B1" s="35"/>
      <c r="C1" s="35"/>
      <c r="D1" s="35"/>
      <c r="E1" s="35"/>
      <c r="F1" s="35"/>
      <c r="G1" s="35"/>
      <c r="H1" s="53"/>
      <c r="I1" s="34" t="s">
        <v>586</v>
      </c>
      <c r="J1" s="36"/>
      <c r="K1" s="36"/>
      <c r="L1" s="35"/>
      <c r="M1" s="36"/>
      <c r="N1" s="36"/>
      <c r="O1" s="36"/>
      <c r="P1" s="36"/>
      <c r="Q1" s="67"/>
      <c r="R1" s="68"/>
    </row>
    <row r="2" spans="1:18" ht="12.75">
      <c r="A2" s="90"/>
      <c r="B2" s="36"/>
      <c r="C2" s="36"/>
      <c r="D2" s="36"/>
      <c r="E2" s="36"/>
      <c r="F2" s="36"/>
      <c r="G2" s="36"/>
      <c r="H2" s="48"/>
      <c r="I2" s="90"/>
      <c r="J2" s="36"/>
      <c r="K2" s="36"/>
      <c r="L2" s="36"/>
      <c r="M2" s="36"/>
      <c r="N2" s="36"/>
      <c r="O2" s="36"/>
      <c r="P2" s="36"/>
      <c r="R2" s="70"/>
    </row>
    <row r="3" spans="1:18" ht="15.75">
      <c r="A3" s="45" t="s">
        <v>595</v>
      </c>
      <c r="B3" s="36"/>
      <c r="C3" s="36"/>
      <c r="D3" s="36"/>
      <c r="E3" s="36"/>
      <c r="F3" s="36"/>
      <c r="G3" s="36"/>
      <c r="H3" s="48"/>
      <c r="I3" s="45" t="s">
        <v>596</v>
      </c>
      <c r="J3" s="36"/>
      <c r="K3" s="36"/>
      <c r="L3" s="36"/>
      <c r="M3" s="36"/>
      <c r="N3" s="36"/>
      <c r="O3" s="36"/>
      <c r="P3" s="36"/>
      <c r="R3" s="70" t="s">
        <v>73</v>
      </c>
    </row>
    <row r="4" spans="1:18" ht="15.75">
      <c r="A4" s="45" t="s">
        <v>805</v>
      </c>
      <c r="B4" s="36"/>
      <c r="C4" s="36"/>
      <c r="D4" s="36"/>
      <c r="E4" s="36"/>
      <c r="F4" s="36"/>
      <c r="G4" s="36"/>
      <c r="H4" s="48"/>
      <c r="I4" s="45" t="s">
        <v>805</v>
      </c>
      <c r="J4" s="36"/>
      <c r="K4" s="36"/>
      <c r="L4" s="36"/>
      <c r="M4" s="36"/>
      <c r="N4" s="36"/>
      <c r="O4" s="36"/>
      <c r="P4" s="36"/>
      <c r="R4" s="70" t="s">
        <v>73</v>
      </c>
    </row>
    <row r="5" spans="1:16" ht="12.75">
      <c r="A5" s="37"/>
      <c r="B5" s="38"/>
      <c r="C5" s="38"/>
      <c r="D5" s="38"/>
      <c r="E5" s="38"/>
      <c r="F5" s="38"/>
      <c r="G5" s="38"/>
      <c r="H5" s="38"/>
      <c r="I5" s="39"/>
      <c r="L5" s="40"/>
      <c r="P5" s="37"/>
    </row>
    <row r="6" spans="1:18" s="102" customFormat="1" ht="12">
      <c r="A6" s="97"/>
      <c r="B6" s="98" t="s">
        <v>315</v>
      </c>
      <c r="C6" s="98"/>
      <c r="D6" s="98"/>
      <c r="E6" s="98"/>
      <c r="F6" s="98"/>
      <c r="G6" s="98"/>
      <c r="H6" s="99"/>
      <c r="I6" s="97"/>
      <c r="J6" s="98" t="s">
        <v>315</v>
      </c>
      <c r="K6" s="98"/>
      <c r="L6" s="98"/>
      <c r="M6" s="98"/>
      <c r="N6" s="98"/>
      <c r="O6" s="98"/>
      <c r="P6" s="99"/>
      <c r="Q6" s="100"/>
      <c r="R6" s="101"/>
    </row>
    <row r="7" spans="1:18" s="102" customFormat="1" ht="12">
      <c r="A7" s="97"/>
      <c r="B7" s="98" t="s">
        <v>211</v>
      </c>
      <c r="C7" s="98"/>
      <c r="D7" s="421" t="s">
        <v>603</v>
      </c>
      <c r="E7" s="422"/>
      <c r="F7" s="422"/>
      <c r="G7" s="422"/>
      <c r="H7" s="103" t="s">
        <v>73</v>
      </c>
      <c r="I7" s="97"/>
      <c r="J7" s="98" t="s">
        <v>211</v>
      </c>
      <c r="K7" s="98"/>
      <c r="L7" s="421" t="s">
        <v>603</v>
      </c>
      <c r="M7" s="422"/>
      <c r="N7" s="422"/>
      <c r="O7" s="422"/>
      <c r="P7" s="103" t="s">
        <v>73</v>
      </c>
      <c r="Q7" s="100"/>
      <c r="R7" s="101"/>
    </row>
    <row r="8" spans="1:20" s="102" customFormat="1" ht="40.5" customHeight="1">
      <c r="A8" s="97"/>
      <c r="B8" s="104" t="s">
        <v>594</v>
      </c>
      <c r="C8" s="105" t="s">
        <v>593</v>
      </c>
      <c r="D8" s="106" t="s">
        <v>601</v>
      </c>
      <c r="E8" s="107" t="s">
        <v>71</v>
      </c>
      <c r="F8" s="104" t="s">
        <v>212</v>
      </c>
      <c r="G8" s="108" t="s">
        <v>605</v>
      </c>
      <c r="H8" s="109" t="s">
        <v>604</v>
      </c>
      <c r="I8" s="97"/>
      <c r="J8" s="104" t="s">
        <v>594</v>
      </c>
      <c r="K8" s="105" t="s">
        <v>593</v>
      </c>
      <c r="L8" s="106" t="s">
        <v>601</v>
      </c>
      <c r="M8" s="107" t="s">
        <v>71</v>
      </c>
      <c r="N8" s="104" t="s">
        <v>212</v>
      </c>
      <c r="O8" s="108" t="s">
        <v>605</v>
      </c>
      <c r="P8" s="109" t="s">
        <v>604</v>
      </c>
      <c r="Q8" s="110" t="s">
        <v>213</v>
      </c>
      <c r="R8" s="111" t="s">
        <v>213</v>
      </c>
      <c r="T8" s="112"/>
    </row>
    <row r="9" spans="1:41" ht="15.75" customHeight="1">
      <c r="A9" s="321" t="s">
        <v>548</v>
      </c>
      <c r="B9" s="312">
        <f>('FTE Pivot Table'!$J$7)*100</f>
        <v>95.3913879383797</v>
      </c>
      <c r="C9" s="312">
        <f>('FTE Pivot Table'!$J$10)*100</f>
        <v>1.0626345673423294</v>
      </c>
      <c r="D9" s="130">
        <f aca="true" t="shared" si="0" ref="D9:D27">SUM(E9:G9)</f>
        <v>3.152646696248895</v>
      </c>
      <c r="E9" s="312">
        <f>('FTE Pivot Table'!$J$13)*100</f>
        <v>2.4926951373885236</v>
      </c>
      <c r="F9" s="312">
        <f>('FTE Pivot Table'!$J$16)*100</f>
        <v>0.466162171467399</v>
      </c>
      <c r="G9" s="313">
        <f>('FTE Pivot Table'!$J$19)*100</f>
        <v>0.19378938739297202</v>
      </c>
      <c r="H9" s="312">
        <f>('FTE Pivot Table'!$J$22)*100</f>
        <v>0.39333079802908366</v>
      </c>
      <c r="I9" s="44" t="s">
        <v>548</v>
      </c>
      <c r="J9" s="312">
        <f>('FTE Pivot Table'!$J$25)*100</f>
        <v>82.2299952694589</v>
      </c>
      <c r="K9" s="312">
        <f>('FTE Pivot Table'!$J$28)*100</f>
        <v>4.109430151741203</v>
      </c>
      <c r="L9" s="130">
        <f aca="true" t="shared" si="1" ref="L9:L27">SUM(M9:O9)</f>
        <v>13.659892289218005</v>
      </c>
      <c r="M9" s="312">
        <f>('FTE Pivot Table'!$J$31)*100</f>
        <v>9.168607401477384</v>
      </c>
      <c r="N9" s="312">
        <f>('FTE Pivot Table'!$J$34)*100</f>
        <v>2.1755940467959682</v>
      </c>
      <c r="O9" s="313">
        <f>('FTE Pivot Table'!$J$37)*100</f>
        <v>2.3156908409446526</v>
      </c>
      <c r="P9" s="320">
        <f>('FTE Pivot Table'!$J$40)*100</f>
        <v>0.0006822895818929442</v>
      </c>
      <c r="Q9" s="42">
        <f>SUM(B9,C9,D9,H9)</f>
        <v>100</v>
      </c>
      <c r="R9" s="42">
        <f>SUM(J9,K9,L9,P9)</f>
        <v>100</v>
      </c>
      <c r="S9" s="55"/>
      <c r="T9" s="55"/>
      <c r="U9" s="55"/>
      <c r="V9" s="55"/>
      <c r="W9" s="55"/>
      <c r="X9" s="55"/>
      <c r="Y9" s="55"/>
      <c r="Z9" s="55"/>
      <c r="AA9" s="55"/>
      <c r="AB9" s="55"/>
      <c r="AC9" s="55"/>
      <c r="AD9" s="55"/>
      <c r="AE9" s="55"/>
      <c r="AF9" s="55"/>
      <c r="AG9" s="55"/>
      <c r="AH9" s="55"/>
      <c r="AI9" s="55"/>
      <c r="AJ9" s="55"/>
      <c r="AK9" s="55"/>
      <c r="AL9" s="55"/>
      <c r="AM9" s="55"/>
      <c r="AN9" s="55"/>
      <c r="AO9" s="55"/>
    </row>
    <row r="10" spans="1:41" ht="15.75" customHeight="1">
      <c r="A10" s="43" t="s">
        <v>549</v>
      </c>
      <c r="B10" s="312">
        <f>('FTE Pivot Table'!$J$43)*100</f>
        <v>91.93555807843103</v>
      </c>
      <c r="C10" s="312">
        <f>('FTE Pivot Table'!$J$46)*100</f>
        <v>3.8558338317601284</v>
      </c>
      <c r="D10" s="130">
        <f t="shared" si="0"/>
        <v>4.20860808980884</v>
      </c>
      <c r="E10" s="312">
        <f>('FTE Pivot Table'!$J$49)*100</f>
        <v>2.8998491663112396</v>
      </c>
      <c r="F10" s="312">
        <f>('FTE Pivot Table'!$J$52)*100</f>
        <v>0.6635190133760758</v>
      </c>
      <c r="G10" s="314">
        <f>('FTE Pivot Table'!$J$55)*100</f>
        <v>0.645239910121525</v>
      </c>
      <c r="H10" s="312">
        <f>('FTE Pivot Table'!$J$58)*100</f>
        <v>0</v>
      </c>
      <c r="I10" s="43" t="s">
        <v>549</v>
      </c>
      <c r="J10" s="312">
        <f>('FTE Pivot Table'!$J$61)*100</f>
        <v>77.38663450543574</v>
      </c>
      <c r="K10" s="312">
        <f>('FTE Pivot Table'!$J$64)*100</f>
        <v>11.951234775089457</v>
      </c>
      <c r="L10" s="130">
        <f t="shared" si="1"/>
        <v>10.662130719474801</v>
      </c>
      <c r="M10" s="312">
        <f>('FTE Pivot Table'!$J$67)*100</f>
        <v>6.6059471729026455</v>
      </c>
      <c r="N10" s="312">
        <f>('FTE Pivot Table'!$J$70)*100</f>
        <v>2.932626393068648</v>
      </c>
      <c r="O10" s="314">
        <f>('FTE Pivot Table'!$J$73)*100</f>
        <v>1.1235571535035072</v>
      </c>
      <c r="P10" s="312">
        <f>('FTE Pivot Table'!$J$76)*100</f>
        <v>0</v>
      </c>
      <c r="Q10" s="42">
        <f aca="true" t="shared" si="2" ref="Q10:Q27">SUM(B10,C10,D10,H10)</f>
        <v>99.99999999999999</v>
      </c>
      <c r="R10" s="42">
        <f>SUM(J10,K10,L10,P10)</f>
        <v>100</v>
      </c>
      <c r="S10" s="55"/>
      <c r="T10" s="55"/>
      <c r="U10" s="55"/>
      <c r="V10" s="55"/>
      <c r="W10" s="55"/>
      <c r="X10" s="55"/>
      <c r="Y10" s="55"/>
      <c r="Z10" s="55"/>
      <c r="AA10" s="55"/>
      <c r="AB10" s="55"/>
      <c r="AC10" s="55"/>
      <c r="AD10" s="55"/>
      <c r="AE10" s="55"/>
      <c r="AF10" s="55"/>
      <c r="AG10" s="55"/>
      <c r="AH10" s="55"/>
      <c r="AI10" s="55"/>
      <c r="AJ10" s="55"/>
      <c r="AK10" s="55"/>
      <c r="AL10" s="55"/>
      <c r="AM10" s="55"/>
      <c r="AN10" s="55"/>
      <c r="AO10" s="55"/>
    </row>
    <row r="11" spans="1:41" ht="15.75" customHeight="1">
      <c r="A11" s="43" t="s">
        <v>550</v>
      </c>
      <c r="B11" s="312">
        <f>('FTE Pivot Table'!$J$79)*100</f>
        <v>97.97513764080496</v>
      </c>
      <c r="C11" s="312">
        <f>('FTE Pivot Table'!$J$82)*100</f>
        <v>0</v>
      </c>
      <c r="D11" s="130">
        <f t="shared" si="0"/>
        <v>2.0248623591950388</v>
      </c>
      <c r="E11" s="312">
        <f>('FTE Pivot Table'!$J$85)*100</f>
        <v>1.5239368434375395</v>
      </c>
      <c r="F11" s="312">
        <f>('FTE Pivot Table'!$J$88)*100</f>
        <v>0.1934090621440324</v>
      </c>
      <c r="G11" s="314">
        <f>('FTE Pivot Table'!$J$91)*100</f>
        <v>0.3075164536134667</v>
      </c>
      <c r="H11" s="312">
        <f>('FTE Pivot Table'!$J$94)*100</f>
        <v>0</v>
      </c>
      <c r="I11" s="43" t="s">
        <v>550</v>
      </c>
      <c r="J11" s="312">
        <f>('FTE Pivot Table'!$J$97)*100</f>
        <v>96.5020366598778</v>
      </c>
      <c r="K11" s="312">
        <f>('FTE Pivot Table'!$J$100)*100</f>
        <v>0</v>
      </c>
      <c r="L11" s="130">
        <f t="shared" si="1"/>
        <v>2.7443991853360488</v>
      </c>
      <c r="M11" s="312">
        <f>('FTE Pivot Table'!$J$103)*100</f>
        <v>1.6479972844534962</v>
      </c>
      <c r="N11" s="312">
        <f>('FTE Pivot Table'!$J$106)*100</f>
        <v>0.3190767141887305</v>
      </c>
      <c r="O11" s="314">
        <f>('FTE Pivot Table'!$J$109)*100</f>
        <v>0.7773251866938221</v>
      </c>
      <c r="P11" s="312">
        <f>('FTE Pivot Table'!$J$112)*100</f>
        <v>0.7535641547861507</v>
      </c>
      <c r="Q11" s="42">
        <f t="shared" si="2"/>
        <v>100</v>
      </c>
      <c r="R11" s="42">
        <f aca="true" t="shared" si="3" ref="R11:R27">SUM(J11,K11,L11,P11)</f>
        <v>100</v>
      </c>
      <c r="S11" s="55"/>
      <c r="T11" s="71"/>
      <c r="U11" s="55"/>
      <c r="V11" s="55"/>
      <c r="W11" s="55"/>
      <c r="X11" s="55"/>
      <c r="Y11" s="55"/>
      <c r="Z11" s="55"/>
      <c r="AA11" s="55"/>
      <c r="AB11" s="55"/>
      <c r="AC11" s="55"/>
      <c r="AD11" s="55"/>
      <c r="AE11" s="55"/>
      <c r="AF11" s="55"/>
      <c r="AG11" s="55"/>
      <c r="AH11" s="55"/>
      <c r="AI11" s="55"/>
      <c r="AJ11" s="55"/>
      <c r="AK11" s="55"/>
      <c r="AL11" s="55"/>
      <c r="AM11" s="55"/>
      <c r="AN11" s="55"/>
      <c r="AO11" s="55"/>
    </row>
    <row r="12" spans="1:41" ht="15.75" customHeight="1">
      <c r="A12" s="43" t="s">
        <v>551</v>
      </c>
      <c r="B12" s="312">
        <f>('FTE Pivot Table'!$J$115)*100</f>
        <v>80.38322245829667</v>
      </c>
      <c r="C12" s="312">
        <f>('FTE Pivot Table'!$J$118)*100</f>
        <v>9.283578149819421</v>
      </c>
      <c r="D12" s="130">
        <f t="shared" si="0"/>
        <v>10.225538834688633</v>
      </c>
      <c r="E12" s="312">
        <f>('FTE Pivot Table'!$J$121)*100</f>
        <v>5.5985565459227455</v>
      </c>
      <c r="F12" s="312">
        <f>('FTE Pivot Table'!$J$124)*100</f>
        <v>0.12270951040219971</v>
      </c>
      <c r="G12" s="314">
        <f>('FTE Pivot Table'!$J$127)*100</f>
        <v>4.504272778363688</v>
      </c>
      <c r="H12" s="312">
        <f>('FTE Pivot Table'!$J$130)*100</f>
        <v>0.10766055719527642</v>
      </c>
      <c r="I12" s="43" t="s">
        <v>551</v>
      </c>
      <c r="J12" s="312">
        <f>('FTE Pivot Table'!$J$133)*100</f>
        <v>73.1018074790616</v>
      </c>
      <c r="K12" s="312">
        <f>('FTE Pivot Table'!$J$136)*100</f>
        <v>13.36421969710819</v>
      </c>
      <c r="L12" s="130">
        <f t="shared" si="1"/>
        <v>13.526138064135344</v>
      </c>
      <c r="M12" s="312">
        <f>('FTE Pivot Table'!$J$139)*100</f>
        <v>9.21931842813828</v>
      </c>
      <c r="N12" s="312">
        <f>('FTE Pivot Table'!$J$142)*100</f>
        <v>0.3443115727235453</v>
      </c>
      <c r="O12" s="314">
        <f>('FTE Pivot Table'!$J$145)*100</f>
        <v>3.962508063273519</v>
      </c>
      <c r="P12" s="315">
        <f>('FTE Pivot Table'!$J$148)*100</f>
        <v>0.007834759694862227</v>
      </c>
      <c r="Q12" s="42">
        <f t="shared" si="2"/>
        <v>100</v>
      </c>
      <c r="R12" s="42">
        <f t="shared" si="3"/>
        <v>100</v>
      </c>
      <c r="S12" s="55"/>
      <c r="U12" s="55"/>
      <c r="V12" s="55"/>
      <c r="W12" s="55"/>
      <c r="X12" s="55"/>
      <c r="Y12" s="55"/>
      <c r="Z12" s="55"/>
      <c r="AA12" s="55"/>
      <c r="AB12" s="55"/>
      <c r="AC12" s="55"/>
      <c r="AD12" s="55"/>
      <c r="AE12" s="55"/>
      <c r="AF12" s="55"/>
      <c r="AG12" s="55"/>
      <c r="AH12" s="55"/>
      <c r="AI12" s="55"/>
      <c r="AJ12" s="55"/>
      <c r="AK12" s="55"/>
      <c r="AL12" s="55"/>
      <c r="AM12" s="55"/>
      <c r="AN12" s="55"/>
      <c r="AO12" s="55"/>
    </row>
    <row r="13" spans="1:41" ht="9.75" customHeight="1">
      <c r="A13" s="43"/>
      <c r="B13" s="312"/>
      <c r="C13" s="312"/>
      <c r="D13" s="130"/>
      <c r="E13" s="312"/>
      <c r="F13" s="312"/>
      <c r="G13" s="314"/>
      <c r="H13" s="312"/>
      <c r="I13" s="43"/>
      <c r="J13" s="312"/>
      <c r="K13" s="312"/>
      <c r="L13" s="130"/>
      <c r="M13" s="312"/>
      <c r="N13" s="312"/>
      <c r="O13" s="314"/>
      <c r="P13" s="315"/>
      <c r="Q13" s="42"/>
      <c r="R13" s="42"/>
      <c r="S13" s="55"/>
      <c r="U13" s="55"/>
      <c r="V13" s="55"/>
      <c r="W13" s="55"/>
      <c r="X13" s="55"/>
      <c r="Y13" s="55"/>
      <c r="Z13" s="55"/>
      <c r="AA13" s="55"/>
      <c r="AB13" s="55"/>
      <c r="AC13" s="55"/>
      <c r="AD13" s="55"/>
      <c r="AE13" s="55"/>
      <c r="AF13" s="55"/>
      <c r="AG13" s="55"/>
      <c r="AH13" s="55"/>
      <c r="AI13" s="55"/>
      <c r="AJ13" s="55"/>
      <c r="AK13" s="55"/>
      <c r="AL13" s="55"/>
      <c r="AM13" s="55"/>
      <c r="AN13" s="55"/>
      <c r="AO13" s="55"/>
    </row>
    <row r="14" spans="1:41" ht="15.75" customHeight="1">
      <c r="A14" s="43" t="s">
        <v>552</v>
      </c>
      <c r="B14" s="312">
        <f>('FTE Pivot Table'!$J$151)*100</f>
        <v>96.16541635436808</v>
      </c>
      <c r="C14" s="312">
        <f>('FTE Pivot Table'!$J$154)*100</f>
        <v>1.8400545952175524</v>
      </c>
      <c r="D14" s="130">
        <f t="shared" si="0"/>
        <v>1.9555502115266563</v>
      </c>
      <c r="E14" s="312">
        <f>('FTE Pivot Table'!$J$157)*100</f>
        <v>1.6430984226861314</v>
      </c>
      <c r="F14" s="312">
        <f>('FTE Pivot Table'!$J$160)*100</f>
        <v>0.17221243541723133</v>
      </c>
      <c r="G14" s="314">
        <f>('FTE Pivot Table'!$J$163)*100</f>
        <v>0.14023935342329355</v>
      </c>
      <c r="H14" s="315">
        <f>('FTE Pivot Table'!$J$166)*100</f>
        <v>0.03897883888771436</v>
      </c>
      <c r="I14" s="43" t="s">
        <v>552</v>
      </c>
      <c r="J14" s="312">
        <f>('FTE Pivot Table'!$J$169)*100</f>
        <v>87.83708676148699</v>
      </c>
      <c r="K14" s="312">
        <f>('FTE Pivot Table'!$J$172)*100</f>
        <v>6.310643185006468</v>
      </c>
      <c r="L14" s="130">
        <f t="shared" si="1"/>
        <v>5.801523416584103</v>
      </c>
      <c r="M14" s="312">
        <f>('FTE Pivot Table'!$J$175)*100</f>
        <v>4.98627042742913</v>
      </c>
      <c r="N14" s="312">
        <f>('FTE Pivot Table'!$J$178)*100</f>
        <v>0.3458148014839894</v>
      </c>
      <c r="O14" s="314">
        <f>('FTE Pivot Table'!$J$181)*100</f>
        <v>0.4694381876709838</v>
      </c>
      <c r="P14" s="312">
        <f>('FTE Pivot Table'!$J$184)*100</f>
        <v>0.050746636922439047</v>
      </c>
      <c r="Q14" s="42">
        <f t="shared" si="2"/>
        <v>100</v>
      </c>
      <c r="R14" s="42">
        <f t="shared" si="3"/>
        <v>100</v>
      </c>
      <c r="S14" s="55"/>
      <c r="T14" s="55"/>
      <c r="U14" s="55"/>
      <c r="V14" s="55"/>
      <c r="W14" s="55"/>
      <c r="X14" s="55"/>
      <c r="Y14" s="55"/>
      <c r="Z14" s="55"/>
      <c r="AA14" s="55"/>
      <c r="AB14" s="55"/>
      <c r="AC14" s="55"/>
      <c r="AD14" s="55"/>
      <c r="AE14" s="55"/>
      <c r="AF14" s="55"/>
      <c r="AG14" s="55"/>
      <c r="AH14" s="55"/>
      <c r="AI14" s="55"/>
      <c r="AJ14" s="55"/>
      <c r="AK14" s="55"/>
      <c r="AL14" s="55"/>
      <c r="AM14" s="55"/>
      <c r="AN14" s="55"/>
      <c r="AO14" s="55"/>
    </row>
    <row r="15" spans="1:41" ht="15.75" customHeight="1">
      <c r="A15" s="43" t="s">
        <v>553</v>
      </c>
      <c r="B15" s="312">
        <f>('FTE Pivot Table'!$J$187)*100</f>
        <v>86.94209188600261</v>
      </c>
      <c r="C15" s="312">
        <f>('FTE Pivot Table'!$J$190)*100</f>
        <v>4.847467834031835</v>
      </c>
      <c r="D15" s="130">
        <f t="shared" si="0"/>
        <v>8.210440279965546</v>
      </c>
      <c r="E15" s="312">
        <f>('FTE Pivot Table'!$J$193)*100</f>
        <v>6.904651505804909</v>
      </c>
      <c r="F15" s="312">
        <f>('FTE Pivot Table'!$J$196)*100</f>
        <v>0.7748842644466737</v>
      </c>
      <c r="G15" s="314">
        <f>('FTE Pivot Table'!$J$199)*100</f>
        <v>0.5309045097139635</v>
      </c>
      <c r="H15" s="312">
        <f>('FTE Pivot Table'!$J$202)*100</f>
        <v>0</v>
      </c>
      <c r="I15" s="43" t="s">
        <v>553</v>
      </c>
      <c r="J15" s="312">
        <f>('FTE Pivot Table'!$J$205)*100</f>
        <v>72.81422382850936</v>
      </c>
      <c r="K15" s="312">
        <f>('FTE Pivot Table'!$J$208)*100</f>
        <v>11.12110167125014</v>
      </c>
      <c r="L15" s="130">
        <f t="shared" si="1"/>
        <v>16.064674500240503</v>
      </c>
      <c r="M15" s="312">
        <f>('FTE Pivot Table'!$J$211)*100</f>
        <v>13.900865377445799</v>
      </c>
      <c r="N15" s="312">
        <f>('FTE Pivot Table'!$J$214)*100</f>
        <v>1.8021021113221312</v>
      </c>
      <c r="O15" s="314">
        <f>('FTE Pivot Table'!$J$217)*100</f>
        <v>0.36170701147257445</v>
      </c>
      <c r="P15" s="312">
        <f>('FTE Pivot Table'!$J$220)*100</f>
        <v>0</v>
      </c>
      <c r="Q15" s="42">
        <f t="shared" si="2"/>
        <v>100</v>
      </c>
      <c r="R15" s="42">
        <f t="shared" si="3"/>
        <v>100</v>
      </c>
      <c r="S15" s="55"/>
      <c r="T15" s="55"/>
      <c r="U15" s="55"/>
      <c r="V15" s="55"/>
      <c r="W15" s="55"/>
      <c r="X15" s="55"/>
      <c r="Y15" s="55"/>
      <c r="Z15" s="55"/>
      <c r="AA15" s="55"/>
      <c r="AB15" s="55"/>
      <c r="AC15" s="55"/>
      <c r="AD15" s="55"/>
      <c r="AE15" s="55"/>
      <c r="AF15" s="55"/>
      <c r="AG15" s="55"/>
      <c r="AH15" s="55"/>
      <c r="AI15" s="55"/>
      <c r="AJ15" s="55"/>
      <c r="AK15" s="55"/>
      <c r="AL15" s="55"/>
      <c r="AM15" s="55"/>
      <c r="AN15" s="55"/>
      <c r="AO15" s="55"/>
    </row>
    <row r="16" spans="1:41" ht="15.75" customHeight="1">
      <c r="A16" s="43" t="s">
        <v>554</v>
      </c>
      <c r="B16" s="312">
        <f>('FTE Pivot Table'!$J$223)*100</f>
        <v>94.55749478088498</v>
      </c>
      <c r="C16" s="312">
        <f>('FTE Pivot Table'!$J$226)*100</f>
        <v>2.4456026623523446</v>
      </c>
      <c r="D16" s="130">
        <f t="shared" si="0"/>
        <v>2.0383635138309293</v>
      </c>
      <c r="E16" s="312">
        <f>('FTE Pivot Table'!$J$229)*100</f>
        <v>1.6184470196712892</v>
      </c>
      <c r="F16" s="312">
        <f>('FTE Pivot Table'!$J$232)*100</f>
        <v>0.277831438500056</v>
      </c>
      <c r="G16" s="314">
        <f>('FTE Pivot Table'!$J$235)*100</f>
        <v>0.14208505565958418</v>
      </c>
      <c r="H16" s="312">
        <f>('FTE Pivot Table'!$J$238)*100</f>
        <v>0.9585390429317487</v>
      </c>
      <c r="I16" s="43" t="s">
        <v>554</v>
      </c>
      <c r="J16" s="312">
        <f>('FTE Pivot Table'!$J$241)*100</f>
        <v>88.90400226615594</v>
      </c>
      <c r="K16" s="312">
        <f>('FTE Pivot Table'!$J$244)*100</f>
        <v>5.442602200314914</v>
      </c>
      <c r="L16" s="130">
        <f t="shared" si="1"/>
        <v>5.653395533529154</v>
      </c>
      <c r="M16" s="312">
        <f>('FTE Pivot Table'!$J$247)*100</f>
        <v>4.0489673423452155</v>
      </c>
      <c r="N16" s="312">
        <f>('FTE Pivot Table'!$J$250)*100</f>
        <v>1.5990690386445936</v>
      </c>
      <c r="O16" s="318">
        <f>('FTE Pivot Table'!$J$253)*100</f>
        <v>0.005359152539345112</v>
      </c>
      <c r="P16" s="312">
        <f>('FTE Pivot Table'!$J$256)*100</f>
        <v>0</v>
      </c>
      <c r="Q16" s="42">
        <f t="shared" si="2"/>
        <v>100</v>
      </c>
      <c r="R16" s="42">
        <f t="shared" si="3"/>
        <v>100</v>
      </c>
      <c r="S16" s="55"/>
      <c r="T16" s="71"/>
      <c r="U16" s="55"/>
      <c r="V16" s="55"/>
      <c r="W16" s="55"/>
      <c r="X16" s="55"/>
      <c r="Y16" s="55"/>
      <c r="Z16" s="55"/>
      <c r="AA16" s="55"/>
      <c r="AB16" s="55"/>
      <c r="AC16" s="55"/>
      <c r="AD16" s="55"/>
      <c r="AE16" s="55"/>
      <c r="AF16" s="55"/>
      <c r="AG16" s="55"/>
      <c r="AH16" s="55"/>
      <c r="AI16" s="55"/>
      <c r="AJ16" s="55"/>
      <c r="AK16" s="55"/>
      <c r="AL16" s="55"/>
      <c r="AM16" s="55"/>
      <c r="AN16" s="55"/>
      <c r="AO16" s="55"/>
    </row>
    <row r="17" spans="1:41" ht="15.75" customHeight="1">
      <c r="A17" s="43" t="s">
        <v>606</v>
      </c>
      <c r="B17" s="312">
        <f>('FTE Pivot Table'!$J$259)*100</f>
        <v>75.16775469246679</v>
      </c>
      <c r="C17" s="312">
        <f>('FTE Pivot Table'!$J$262)*100</f>
        <v>6.75941242814441</v>
      </c>
      <c r="D17" s="130">
        <f t="shared" si="0"/>
        <v>18.07283287938879</v>
      </c>
      <c r="E17" s="312">
        <f>('FTE Pivot Table'!$J$265)*100</f>
        <v>18.02550432593597</v>
      </c>
      <c r="F17" s="315">
        <f>('FTE Pivot Table'!$J$268)*100</f>
        <v>0.04732855345282276</v>
      </c>
      <c r="G17" s="314">
        <f>('FTE Pivot Table'!$J$271)*100</f>
        <v>0</v>
      </c>
      <c r="H17" s="312">
        <f>('FTE Pivot Table'!$J$274)*100</f>
        <v>0</v>
      </c>
      <c r="I17" s="43" t="s">
        <v>606</v>
      </c>
      <c r="J17" s="312">
        <f>('FTE Pivot Table'!$J$277)*100</f>
        <v>49.35568891063779</v>
      </c>
      <c r="K17" s="312">
        <f>('FTE Pivot Table'!$J$280)*100</f>
        <v>14.35598938882736</v>
      </c>
      <c r="L17" s="130">
        <f t="shared" si="1"/>
        <v>36.28832170053485</v>
      </c>
      <c r="M17" s="312">
        <f>('FTE Pivot Table'!$J$283)*100</f>
        <v>35.98312171083696</v>
      </c>
      <c r="N17" s="312">
        <f>('FTE Pivot Table'!$J$286)*100</f>
        <v>0.30519998969789064</v>
      </c>
      <c r="O17" s="314">
        <f>('FTE Pivot Table'!$J$289)*100</f>
        <v>0</v>
      </c>
      <c r="P17" s="312">
        <f>('FTE Pivot Table'!$J$292)*100</f>
        <v>0</v>
      </c>
      <c r="Q17" s="42">
        <f t="shared" si="2"/>
        <v>100</v>
      </c>
      <c r="R17" s="42">
        <f t="shared" si="3"/>
        <v>100</v>
      </c>
      <c r="S17" s="55"/>
      <c r="U17" s="55"/>
      <c r="V17" s="55"/>
      <c r="W17" s="55"/>
      <c r="X17" s="55"/>
      <c r="Y17" s="55"/>
      <c r="Z17" s="55"/>
      <c r="AA17" s="55"/>
      <c r="AB17" s="55"/>
      <c r="AC17" s="55"/>
      <c r="AD17" s="55"/>
      <c r="AE17" s="55"/>
      <c r="AF17" s="55"/>
      <c r="AG17" s="55"/>
      <c r="AH17" s="55"/>
      <c r="AI17" s="55"/>
      <c r="AJ17" s="55"/>
      <c r="AK17" s="55"/>
      <c r="AL17" s="55"/>
      <c r="AM17" s="55"/>
      <c r="AN17" s="55"/>
      <c r="AO17" s="55"/>
    </row>
    <row r="18" spans="1:41" ht="9.75" customHeight="1">
      <c r="A18" s="43"/>
      <c r="B18" s="312"/>
      <c r="C18" s="312"/>
      <c r="D18" s="130"/>
      <c r="E18" s="312"/>
      <c r="F18" s="312"/>
      <c r="G18" s="314"/>
      <c r="H18" s="312"/>
      <c r="I18" s="43"/>
      <c r="J18" s="312"/>
      <c r="K18" s="312"/>
      <c r="L18" s="130"/>
      <c r="M18" s="312"/>
      <c r="N18" s="312"/>
      <c r="O18" s="314"/>
      <c r="P18" s="315"/>
      <c r="Q18" s="42"/>
      <c r="R18" s="42"/>
      <c r="S18" s="55"/>
      <c r="U18" s="55"/>
      <c r="V18" s="55"/>
      <c r="W18" s="55"/>
      <c r="X18" s="55"/>
      <c r="Y18" s="55"/>
      <c r="Z18" s="55"/>
      <c r="AA18" s="55"/>
      <c r="AB18" s="55"/>
      <c r="AC18" s="55"/>
      <c r="AD18" s="55"/>
      <c r="AE18" s="55"/>
      <c r="AF18" s="55"/>
      <c r="AG18" s="55"/>
      <c r="AH18" s="55"/>
      <c r="AI18" s="55"/>
      <c r="AJ18" s="55"/>
      <c r="AK18" s="55"/>
      <c r="AL18" s="55"/>
      <c r="AM18" s="55"/>
      <c r="AN18" s="55"/>
      <c r="AO18" s="55"/>
    </row>
    <row r="19" spans="1:41" ht="15.75" customHeight="1">
      <c r="A19" s="43" t="s">
        <v>206</v>
      </c>
      <c r="B19" s="312">
        <f>('FTE Pivot Table'!$J$295)*100</f>
        <v>90.73086806786881</v>
      </c>
      <c r="C19" s="312">
        <f>('FTE Pivot Table'!$J$298)*100</f>
        <v>4.9481130060683</v>
      </c>
      <c r="D19" s="130">
        <f t="shared" si="0"/>
        <v>4.019971385252446</v>
      </c>
      <c r="E19" s="312">
        <f>('FTE Pivot Table'!$J$301)*100</f>
        <v>2.8847850798030943</v>
      </c>
      <c r="F19" s="312">
        <f>('FTE Pivot Table'!$J$304)*100</f>
        <v>0.795067482395573</v>
      </c>
      <c r="G19" s="314">
        <f>('FTE Pivot Table'!$J$307)*100</f>
        <v>0.34011882305377833</v>
      </c>
      <c r="H19" s="312">
        <f>('FTE Pivot Table'!$J$310)*100</f>
        <v>0.301047540810451</v>
      </c>
      <c r="I19" s="43" t="s">
        <v>206</v>
      </c>
      <c r="J19" s="312">
        <f>('FTE Pivot Table'!$J$313)*100</f>
        <v>80.53814353948009</v>
      </c>
      <c r="K19" s="312">
        <f>('FTE Pivot Table'!$J$316)*100</f>
        <v>11.825895956152802</v>
      </c>
      <c r="L19" s="130">
        <f t="shared" si="1"/>
        <v>7.62145528766953</v>
      </c>
      <c r="M19" s="312">
        <f>('FTE Pivot Table'!$J$319)*100</f>
        <v>5.369831221442855</v>
      </c>
      <c r="N19" s="312">
        <f>('FTE Pivot Table'!$J$322)*100</f>
        <v>1.2080773335267363</v>
      </c>
      <c r="O19" s="314">
        <f>('FTE Pivot Table'!$J$325)*100</f>
        <v>1.0435467326999388</v>
      </c>
      <c r="P19" s="315">
        <f>('FTE Pivot Table'!$J$328)*100</f>
        <v>0.014505216697576593</v>
      </c>
      <c r="Q19" s="42">
        <f t="shared" si="2"/>
        <v>100</v>
      </c>
      <c r="R19" s="42">
        <f t="shared" si="3"/>
        <v>100</v>
      </c>
      <c r="S19" s="55"/>
      <c r="T19" s="55"/>
      <c r="U19" s="55"/>
      <c r="V19" s="55"/>
      <c r="W19" s="55"/>
      <c r="X19" s="55"/>
      <c r="Y19" s="55"/>
      <c r="Z19" s="55"/>
      <c r="AA19" s="55"/>
      <c r="AB19" s="55"/>
      <c r="AC19" s="55"/>
      <c r="AD19" s="55"/>
      <c r="AE19" s="55"/>
      <c r="AF19" s="55"/>
      <c r="AG19" s="55"/>
      <c r="AH19" s="55"/>
      <c r="AI19" s="55"/>
      <c r="AJ19" s="55"/>
      <c r="AK19" s="55"/>
      <c r="AL19" s="55"/>
      <c r="AM19" s="55"/>
      <c r="AN19" s="55"/>
      <c r="AO19" s="55"/>
    </row>
    <row r="20" spans="1:41" ht="15.75" customHeight="1">
      <c r="A20" s="43" t="s">
        <v>214</v>
      </c>
      <c r="B20" s="312">
        <f>('FTE Pivot Table'!$J$331)*100</f>
        <v>95.87339492315866</v>
      </c>
      <c r="C20" s="312">
        <f>('FTE Pivot Table'!$J$334)*100</f>
        <v>2.4321551429318635</v>
      </c>
      <c r="D20" s="130">
        <f t="shared" si="0"/>
        <v>1.694449933909471</v>
      </c>
      <c r="E20" s="312">
        <f>('FTE Pivot Table'!$J$337)*100</f>
        <v>1.5583874620881768</v>
      </c>
      <c r="F20" s="315">
        <f>('FTE Pivot Table'!$J$340)*100</f>
        <v>0.03367836100220933</v>
      </c>
      <c r="G20" s="314">
        <f>('FTE Pivot Table'!$J$343)*100</f>
        <v>0.10238411081908473</v>
      </c>
      <c r="H20" s="312">
        <f>('FTE Pivot Table'!$J$346)*100</f>
        <v>0</v>
      </c>
      <c r="I20" s="43" t="s">
        <v>214</v>
      </c>
      <c r="J20" s="312">
        <f>('FTE Pivot Table'!$J$349)*100</f>
        <v>80.04052440924838</v>
      </c>
      <c r="K20" s="312">
        <f>('FTE Pivot Table'!$J$352)*100</f>
        <v>13.493286639673327</v>
      </c>
      <c r="L20" s="130">
        <f t="shared" si="1"/>
        <v>6.4661889510782995</v>
      </c>
      <c r="M20" s="312">
        <f>('FTE Pivot Table'!$J$355)*100</f>
        <v>6.195624877446343</v>
      </c>
      <c r="N20" s="312">
        <f>('FTE Pivot Table'!$J$358)*100</f>
        <v>0.19092569722280514</v>
      </c>
      <c r="O20" s="314">
        <f>('FTE Pivot Table'!$J$361)*100</f>
        <v>0.07963837640915206</v>
      </c>
      <c r="P20" s="312">
        <f>('FTE Pivot Table'!$J$364)*100</f>
        <v>0</v>
      </c>
      <c r="Q20" s="42">
        <f t="shared" si="2"/>
        <v>99.99999999999999</v>
      </c>
      <c r="R20" s="42">
        <f t="shared" si="3"/>
        <v>100</v>
      </c>
      <c r="S20" s="55"/>
      <c r="T20" s="55"/>
      <c r="U20" s="55"/>
      <c r="V20" s="55"/>
      <c r="W20" s="55"/>
      <c r="X20" s="55"/>
      <c r="Y20" s="55"/>
      <c r="Z20" s="55"/>
      <c r="AA20" s="55"/>
      <c r="AB20" s="55"/>
      <c r="AC20" s="55"/>
      <c r="AD20" s="55"/>
      <c r="AE20" s="55"/>
      <c r="AF20" s="55"/>
      <c r="AG20" s="55"/>
      <c r="AH20" s="55"/>
      <c r="AI20" s="55"/>
      <c r="AJ20" s="55"/>
      <c r="AK20" s="55"/>
      <c r="AL20" s="55"/>
      <c r="AM20" s="55"/>
      <c r="AN20" s="55"/>
      <c r="AO20" s="55"/>
    </row>
    <row r="21" spans="1:41" ht="15.75" customHeight="1">
      <c r="A21" s="43" t="s">
        <v>207</v>
      </c>
      <c r="B21" s="312">
        <f>('FTE Pivot Table'!$J$367)*100</f>
        <v>96.293077333164</v>
      </c>
      <c r="C21" s="312">
        <f>('FTE Pivot Table'!$J$370)*100</f>
        <v>0.21752253604907992</v>
      </c>
      <c r="D21" s="130">
        <f t="shared" si="0"/>
        <v>3.3839239689727227</v>
      </c>
      <c r="E21" s="312">
        <f>('FTE Pivot Table'!$J$373)*100</f>
        <v>2.029357825674185</v>
      </c>
      <c r="F21" s="312">
        <f>('FTE Pivot Table'!$J$376)*100</f>
        <v>1.0757510215798407</v>
      </c>
      <c r="G21" s="314">
        <f>('FTE Pivot Table'!$J$379)*100</f>
        <v>0.27881512171869705</v>
      </c>
      <c r="H21" s="312">
        <f>('FTE Pivot Table'!$J$382)*100</f>
        <v>0.10547616181418998</v>
      </c>
      <c r="I21" s="43" t="s">
        <v>207</v>
      </c>
      <c r="J21" s="312">
        <f>('FTE Pivot Table'!$J$385)*100</f>
        <v>76.76198591704676</v>
      </c>
      <c r="K21" s="312">
        <f>('FTE Pivot Table'!$J$388)*100</f>
        <v>9.499716591027537</v>
      </c>
      <c r="L21" s="130">
        <f t="shared" si="1"/>
        <v>13.722320073343958</v>
      </c>
      <c r="M21" s="312">
        <f>('FTE Pivot Table'!$J$391)*100</f>
        <v>5.035549756344366</v>
      </c>
      <c r="N21" s="312">
        <f>('FTE Pivot Table'!$J$394)*100</f>
        <v>8.274400751699503</v>
      </c>
      <c r="O21" s="314">
        <f>('FTE Pivot Table'!$J$397)*100</f>
        <v>0.41236956530009017</v>
      </c>
      <c r="P21" s="315">
        <f>('FTE Pivot Table'!$J$400)*100</f>
        <v>0.01597741858173781</v>
      </c>
      <c r="Q21" s="42">
        <f t="shared" si="2"/>
        <v>100</v>
      </c>
      <c r="R21" s="42">
        <f t="shared" si="3"/>
        <v>100</v>
      </c>
      <c r="S21" s="55"/>
      <c r="T21" s="71"/>
      <c r="U21" s="55"/>
      <c r="V21" s="55"/>
      <c r="W21" s="55"/>
      <c r="X21" s="55"/>
      <c r="Y21" s="55"/>
      <c r="Z21" s="55"/>
      <c r="AA21" s="55"/>
      <c r="AB21" s="55"/>
      <c r="AC21" s="55"/>
      <c r="AD21" s="55"/>
      <c r="AE21" s="55"/>
      <c r="AF21" s="55"/>
      <c r="AG21" s="55"/>
      <c r="AH21" s="55"/>
      <c r="AI21" s="55"/>
      <c r="AJ21" s="55"/>
      <c r="AK21" s="55"/>
      <c r="AL21" s="55"/>
      <c r="AM21" s="55"/>
      <c r="AN21" s="55"/>
      <c r="AO21" s="55"/>
    </row>
    <row r="22" spans="1:41" ht="15.75" customHeight="1">
      <c r="A22" s="43" t="s">
        <v>556</v>
      </c>
      <c r="B22" s="312">
        <f>('FTE Pivot Table'!$J$403)*100</f>
        <v>0</v>
      </c>
      <c r="C22" s="312">
        <f>('FTE Pivot Table'!$J$406)*100</f>
        <v>0</v>
      </c>
      <c r="D22" s="130">
        <f t="shared" si="0"/>
        <v>0</v>
      </c>
      <c r="E22" s="312">
        <f>('FTE Pivot Table'!$J$409)*100</f>
        <v>0</v>
      </c>
      <c r="F22" s="312">
        <f>('FTE Pivot Table'!$J$412)*100</f>
        <v>0</v>
      </c>
      <c r="G22" s="314">
        <f>('FTE Pivot Table'!$J$415)*100</f>
        <v>0</v>
      </c>
      <c r="H22" s="312">
        <f>('FTE Pivot Table'!$J$418)*100</f>
        <v>0</v>
      </c>
      <c r="I22" s="43" t="s">
        <v>556</v>
      </c>
      <c r="J22" s="312">
        <f>('FTE Pivot Table'!$J$421)*100</f>
        <v>0</v>
      </c>
      <c r="K22" s="312">
        <f>('FTE Pivot Table'!$J$424)*100</f>
        <v>0</v>
      </c>
      <c r="L22" s="130">
        <f t="shared" si="1"/>
        <v>0</v>
      </c>
      <c r="M22" s="312">
        <f>('FTE Pivot Table'!$J$427)*100</f>
        <v>0</v>
      </c>
      <c r="N22" s="312">
        <f>('FTE Pivot Table'!$J$430)*100</f>
        <v>0</v>
      </c>
      <c r="O22" s="314">
        <f>('FTE Pivot Table'!$J$433)*100</f>
        <v>0</v>
      </c>
      <c r="P22" s="312">
        <f>('FTE Pivot Table'!$J$436)*100</f>
        <v>0</v>
      </c>
      <c r="Q22" s="42">
        <f t="shared" si="2"/>
        <v>0</v>
      </c>
      <c r="R22" s="42">
        <f t="shared" si="3"/>
        <v>0</v>
      </c>
      <c r="S22" s="55"/>
      <c r="T22" s="55"/>
      <c r="U22" s="55"/>
      <c r="V22" s="55"/>
      <c r="W22" s="55"/>
      <c r="X22" s="55"/>
      <c r="Y22" s="55"/>
      <c r="Z22" s="55"/>
      <c r="AA22" s="55"/>
      <c r="AB22" s="55"/>
      <c r="AC22" s="55"/>
      <c r="AD22" s="55"/>
      <c r="AE22" s="55"/>
      <c r="AF22" s="55"/>
      <c r="AG22" s="55"/>
      <c r="AH22" s="55"/>
      <c r="AI22" s="55"/>
      <c r="AJ22" s="55"/>
      <c r="AK22" s="55"/>
      <c r="AL22" s="55"/>
      <c r="AM22" s="55"/>
      <c r="AN22" s="55"/>
      <c r="AO22" s="55"/>
    </row>
    <row r="23" spans="1:41" ht="9.75" customHeight="1">
      <c r="A23" s="43"/>
      <c r="B23" s="312"/>
      <c r="C23" s="312"/>
      <c r="D23" s="130"/>
      <c r="E23" s="312"/>
      <c r="F23" s="312"/>
      <c r="G23" s="314"/>
      <c r="H23" s="312"/>
      <c r="I23" s="43"/>
      <c r="J23" s="312"/>
      <c r="K23" s="312"/>
      <c r="L23" s="130"/>
      <c r="M23" s="312"/>
      <c r="N23" s="312"/>
      <c r="O23" s="314"/>
      <c r="P23" s="315"/>
      <c r="Q23" s="42"/>
      <c r="R23" s="42"/>
      <c r="S23" s="55"/>
      <c r="U23" s="55"/>
      <c r="V23" s="55"/>
      <c r="W23" s="55"/>
      <c r="X23" s="55"/>
      <c r="Y23" s="55"/>
      <c r="Z23" s="55"/>
      <c r="AA23" s="55"/>
      <c r="AB23" s="55"/>
      <c r="AC23" s="55"/>
      <c r="AD23" s="55"/>
      <c r="AE23" s="55"/>
      <c r="AF23" s="55"/>
      <c r="AG23" s="55"/>
      <c r="AH23" s="55"/>
      <c r="AI23" s="55"/>
      <c r="AJ23" s="55"/>
      <c r="AK23" s="55"/>
      <c r="AL23" s="55"/>
      <c r="AM23" s="55"/>
      <c r="AN23" s="55"/>
      <c r="AO23" s="55"/>
    </row>
    <row r="24" spans="1:41" ht="15.75" customHeight="1">
      <c r="A24" s="43" t="s">
        <v>557</v>
      </c>
      <c r="B24" s="312">
        <f>('FTE Pivot Table'!$J$439)*100</f>
        <v>0</v>
      </c>
      <c r="C24" s="312">
        <f>('FTE Pivot Table'!$J$442)*100</f>
        <v>0</v>
      </c>
      <c r="D24" s="130">
        <f t="shared" si="0"/>
        <v>0</v>
      </c>
      <c r="E24" s="312">
        <f>('FTE Pivot Table'!$J$445)*100</f>
        <v>0</v>
      </c>
      <c r="F24" s="312">
        <f>('FTE Pivot Table'!$J$448)*100</f>
        <v>0</v>
      </c>
      <c r="G24" s="314">
        <f>('FTE Pivot Table'!$J$451)*100</f>
        <v>0</v>
      </c>
      <c r="H24" s="312">
        <f>('FTE Pivot Table'!$J$454)*100</f>
        <v>0</v>
      </c>
      <c r="I24" s="43" t="s">
        <v>557</v>
      </c>
      <c r="J24" s="312">
        <f>('FTE Pivot Table'!$J$457)*100</f>
        <v>0</v>
      </c>
      <c r="K24" s="312">
        <f>('FTE Pivot Table'!$J$460)*100</f>
        <v>0</v>
      </c>
      <c r="L24" s="130">
        <f t="shared" si="1"/>
        <v>0</v>
      </c>
      <c r="M24" s="312">
        <f>('FTE Pivot Table'!$J$463)*100</f>
        <v>0</v>
      </c>
      <c r="N24" s="312">
        <f>('FTE Pivot Table'!$J$466)*100</f>
        <v>0</v>
      </c>
      <c r="O24" s="314">
        <f>('FTE Pivot Table'!$J$469)*100</f>
        <v>0</v>
      </c>
      <c r="P24" s="312">
        <f>('FTE Pivot Table'!$J$472)*100</f>
        <v>0</v>
      </c>
      <c r="Q24" s="42">
        <f t="shared" si="2"/>
        <v>0</v>
      </c>
      <c r="R24" s="42">
        <f t="shared" si="3"/>
        <v>0</v>
      </c>
      <c r="S24" s="55"/>
      <c r="T24" s="55"/>
      <c r="U24" s="55"/>
      <c r="V24" s="55"/>
      <c r="W24" s="55"/>
      <c r="X24" s="55"/>
      <c r="Y24" s="55"/>
      <c r="Z24" s="55"/>
      <c r="AA24" s="55"/>
      <c r="AB24" s="55"/>
      <c r="AC24" s="55"/>
      <c r="AD24" s="55"/>
      <c r="AE24" s="55"/>
      <c r="AF24" s="55"/>
      <c r="AG24" s="55"/>
      <c r="AH24" s="55"/>
      <c r="AI24" s="55"/>
      <c r="AJ24" s="55"/>
      <c r="AK24" s="55"/>
      <c r="AL24" s="55"/>
      <c r="AM24" s="55"/>
      <c r="AN24" s="55"/>
      <c r="AO24" s="55"/>
    </row>
    <row r="25" spans="1:41" ht="15.75" customHeight="1">
      <c r="A25" s="43" t="s">
        <v>313</v>
      </c>
      <c r="B25" s="312">
        <f>('FTE Pivot Table'!$J$475)*100</f>
        <v>95.76980565481682</v>
      </c>
      <c r="C25" s="312">
        <f>('FTE Pivot Table'!$J$478)*100</f>
        <v>1.621420159575003</v>
      </c>
      <c r="D25" s="130">
        <f t="shared" si="0"/>
        <v>2.608774185608178</v>
      </c>
      <c r="E25" s="312">
        <f>('FTE Pivot Table'!$J$481)*100</f>
        <v>2.052604646851013</v>
      </c>
      <c r="F25" s="324">
        <f>('FTE Pivot Table'!$J$484)*100</f>
        <v>0.24957180770583823</v>
      </c>
      <c r="G25" s="314">
        <f>('FTE Pivot Table'!$J$487)*100</f>
        <v>0.30659773105132726</v>
      </c>
      <c r="H25" s="312">
        <f>('FTE Pivot Table'!$J$490)*100</f>
        <v>0</v>
      </c>
      <c r="I25" s="43" t="s">
        <v>313</v>
      </c>
      <c r="J25" s="312">
        <f>('FTE Pivot Table'!$J$493)*100</f>
        <v>85.25122874797245</v>
      </c>
      <c r="K25" s="312">
        <f>('FTE Pivot Table'!$J$496)*100</f>
        <v>6.39986980001593</v>
      </c>
      <c r="L25" s="130">
        <f t="shared" si="1"/>
        <v>8.348901452011617</v>
      </c>
      <c r="M25" s="312">
        <f>('FTE Pivot Table'!$J$499)*100</f>
        <v>7.306151402913455</v>
      </c>
      <c r="N25" s="312">
        <f>('FTE Pivot Table'!$J$502)*100</f>
        <v>0.789193631357493</v>
      </c>
      <c r="O25" s="314">
        <f>('FTE Pivot Table'!$J$505)*100</f>
        <v>0.25355641774066795</v>
      </c>
      <c r="P25" s="312">
        <f>('FTE Pivot Table'!$J$508)*100</f>
        <v>0</v>
      </c>
      <c r="Q25" s="42">
        <f t="shared" si="2"/>
        <v>100.00000000000001</v>
      </c>
      <c r="R25" s="42">
        <f t="shared" si="3"/>
        <v>100</v>
      </c>
      <c r="S25" s="55"/>
      <c r="T25" s="55"/>
      <c r="U25" s="55"/>
      <c r="V25" s="55"/>
      <c r="W25" s="55"/>
      <c r="X25" s="55"/>
      <c r="Y25" s="55"/>
      <c r="Z25" s="55"/>
      <c r="AA25" s="55"/>
      <c r="AB25" s="55"/>
      <c r="AC25" s="55"/>
      <c r="AD25" s="55"/>
      <c r="AE25" s="55"/>
      <c r="AF25" s="55"/>
      <c r="AG25" s="55"/>
      <c r="AH25" s="55"/>
      <c r="AI25" s="55"/>
      <c r="AJ25" s="55"/>
      <c r="AK25" s="55"/>
      <c r="AL25" s="55"/>
      <c r="AM25" s="55"/>
      <c r="AN25" s="55"/>
      <c r="AO25" s="55"/>
    </row>
    <row r="26" spans="1:41" ht="15.75" customHeight="1">
      <c r="A26" s="43" t="s">
        <v>558</v>
      </c>
      <c r="B26" s="312">
        <f>('FTE Pivot Table'!$J$511)*100</f>
        <v>0</v>
      </c>
      <c r="C26" s="312">
        <f>('FTE Pivot Table'!$J$514)*100</f>
        <v>0</v>
      </c>
      <c r="D26" s="130">
        <f t="shared" si="0"/>
        <v>0</v>
      </c>
      <c r="E26" s="312">
        <f>('FTE Pivot Table'!$J$517)*100</f>
        <v>0</v>
      </c>
      <c r="F26" s="312">
        <f>('FTE Pivot Table'!$J$520)*100</f>
        <v>0</v>
      </c>
      <c r="G26" s="314">
        <f>('FTE Pivot Table'!$J$523)*100</f>
        <v>0</v>
      </c>
      <c r="H26" s="312">
        <f>('FTE Pivot Table'!$J$526)*100</f>
        <v>0</v>
      </c>
      <c r="I26" s="43" t="s">
        <v>558</v>
      </c>
      <c r="J26" s="312">
        <f>('FTE Pivot Table'!$J$529)*100</f>
        <v>0</v>
      </c>
      <c r="K26" s="312">
        <f>('FTE Pivot Table'!$J$532)*100</f>
        <v>0</v>
      </c>
      <c r="L26" s="130">
        <f t="shared" si="1"/>
        <v>0</v>
      </c>
      <c r="M26" s="312">
        <f>('FTE Pivot Table'!$J$535)*100</f>
        <v>0</v>
      </c>
      <c r="N26" s="312">
        <f>('FTE Pivot Table'!$J$538)*100</f>
        <v>0</v>
      </c>
      <c r="O26" s="314">
        <f>('FTE Pivot Table'!$J$541)*100</f>
        <v>0</v>
      </c>
      <c r="P26" s="312">
        <f>('FTE Pivot Table'!$J$544)*100</f>
        <v>0</v>
      </c>
      <c r="Q26" s="42">
        <f t="shared" si="2"/>
        <v>0</v>
      </c>
      <c r="R26" s="42">
        <f t="shared" si="3"/>
        <v>0</v>
      </c>
      <c r="S26" s="55"/>
      <c r="T26" s="55"/>
      <c r="U26" s="55"/>
      <c r="V26" s="55"/>
      <c r="W26" s="55"/>
      <c r="X26" s="55"/>
      <c r="Y26" s="55"/>
      <c r="Z26" s="55"/>
      <c r="AA26" s="55"/>
      <c r="AB26" s="55"/>
      <c r="AC26" s="55"/>
      <c r="AD26" s="55"/>
      <c r="AE26" s="55"/>
      <c r="AF26" s="55"/>
      <c r="AG26" s="55"/>
      <c r="AH26" s="55"/>
      <c r="AI26" s="55"/>
      <c r="AJ26" s="55"/>
      <c r="AK26" s="55"/>
      <c r="AL26" s="55"/>
      <c r="AM26" s="55"/>
      <c r="AN26" s="55"/>
      <c r="AO26" s="55"/>
    </row>
    <row r="27" spans="1:41" ht="15.75" customHeight="1">
      <c r="A27" s="37" t="s">
        <v>607</v>
      </c>
      <c r="B27" s="316">
        <f>('FTE Pivot Table'!$J$547)*100</f>
        <v>93.69146606073996</v>
      </c>
      <c r="C27" s="316">
        <f>('FTE Pivot Table'!$J$550)*100</f>
        <v>3.9205760010300366</v>
      </c>
      <c r="D27" s="132">
        <f t="shared" si="0"/>
        <v>2.3879579382300054</v>
      </c>
      <c r="E27" s="316">
        <f>('FTE Pivot Table'!$J$553)*100</f>
        <v>2.1826822206062877</v>
      </c>
      <c r="F27" s="316">
        <f>('FTE Pivot Table'!$J$556)*100</f>
        <v>0.1327049721202509</v>
      </c>
      <c r="G27" s="317">
        <f>('FTE Pivot Table'!$J$559)*100</f>
        <v>0.07257074550346686</v>
      </c>
      <c r="H27" s="316">
        <f>('FTE Pivot Table'!$J$562)*100</f>
        <v>0</v>
      </c>
      <c r="I27" s="37" t="s">
        <v>607</v>
      </c>
      <c r="J27" s="316">
        <f>('FTE Pivot Table'!$J$565)*100</f>
        <v>65.69224588188027</v>
      </c>
      <c r="K27" s="316">
        <f>('FTE Pivot Table'!$J$568)*100</f>
        <v>17.835275210928085</v>
      </c>
      <c r="L27" s="132">
        <f t="shared" si="1"/>
        <v>16.46605062274006</v>
      </c>
      <c r="M27" s="316">
        <f>('FTE Pivot Table'!$J$571)*100</f>
        <v>12.567296102852552</v>
      </c>
      <c r="N27" s="316">
        <f>('FTE Pivot Table'!$J$574)*100</f>
        <v>3.881076737645641</v>
      </c>
      <c r="O27" s="322">
        <f>('FTE Pivot Table'!$J$577)*100</f>
        <v>0.017677782241864205</v>
      </c>
      <c r="P27" s="323">
        <f>('FTE Pivot Table'!$J$580)*100</f>
        <v>0.0064282844515869825</v>
      </c>
      <c r="Q27" s="42">
        <f t="shared" si="2"/>
        <v>100</v>
      </c>
      <c r="R27" s="42">
        <f t="shared" si="3"/>
        <v>100</v>
      </c>
      <c r="S27" s="55"/>
      <c r="T27" s="55"/>
      <c r="U27" s="55"/>
      <c r="V27" s="55"/>
      <c r="W27" s="55"/>
      <c r="X27" s="55"/>
      <c r="Y27" s="55"/>
      <c r="Z27" s="55"/>
      <c r="AA27" s="55"/>
      <c r="AB27" s="55"/>
      <c r="AC27" s="55"/>
      <c r="AD27" s="55"/>
      <c r="AE27" s="55"/>
      <c r="AF27" s="55"/>
      <c r="AG27" s="55"/>
      <c r="AH27" s="55"/>
      <c r="AI27" s="55"/>
      <c r="AJ27" s="55"/>
      <c r="AK27" s="55"/>
      <c r="AL27" s="55"/>
      <c r="AM27" s="55"/>
      <c r="AN27" s="55"/>
      <c r="AO27" s="55"/>
    </row>
    <row r="28" spans="1:41" s="76" customFormat="1" ht="18" customHeight="1">
      <c r="A28" s="133" t="s">
        <v>608</v>
      </c>
      <c r="B28" s="80"/>
      <c r="C28" s="80"/>
      <c r="D28" s="81"/>
      <c r="E28" s="80"/>
      <c r="F28" s="81"/>
      <c r="G28" s="81"/>
      <c r="H28" s="80"/>
      <c r="I28" s="133" t="s">
        <v>608</v>
      </c>
      <c r="J28" s="80"/>
      <c r="K28" s="80"/>
      <c r="L28" s="81"/>
      <c r="M28" s="80"/>
      <c r="N28" s="81"/>
      <c r="O28" s="81"/>
      <c r="P28" s="80"/>
      <c r="Q28" s="80"/>
      <c r="R28" s="80"/>
      <c r="S28" s="82"/>
      <c r="T28" s="82"/>
      <c r="U28" s="82"/>
      <c r="V28" s="82"/>
      <c r="W28" s="82"/>
      <c r="X28" s="82"/>
      <c r="Y28" s="82"/>
      <c r="Z28" s="82"/>
      <c r="AA28" s="82"/>
      <c r="AB28" s="82"/>
      <c r="AC28" s="82"/>
      <c r="AD28" s="82"/>
      <c r="AE28" s="82"/>
      <c r="AF28" s="82"/>
      <c r="AG28" s="82"/>
      <c r="AH28" s="82"/>
      <c r="AI28" s="82"/>
      <c r="AJ28" s="82"/>
      <c r="AK28" s="82"/>
      <c r="AL28" s="82"/>
      <c r="AM28" s="82"/>
      <c r="AN28" s="82"/>
      <c r="AO28" s="82"/>
    </row>
    <row r="29" spans="1:18" s="76" customFormat="1" ht="27.75" customHeight="1">
      <c r="A29" s="423" t="s">
        <v>440</v>
      </c>
      <c r="B29" s="424"/>
      <c r="C29" s="424"/>
      <c r="D29" s="424"/>
      <c r="E29" s="424"/>
      <c r="F29" s="424"/>
      <c r="G29" s="424"/>
      <c r="H29" s="424"/>
      <c r="I29" s="423" t="s">
        <v>440</v>
      </c>
      <c r="J29" s="424"/>
      <c r="K29" s="424"/>
      <c r="L29" s="424"/>
      <c r="M29" s="424"/>
      <c r="N29" s="424"/>
      <c r="O29" s="424"/>
      <c r="P29" s="424"/>
      <c r="Q29" s="78"/>
      <c r="R29" s="79"/>
    </row>
    <row r="30" spans="1:18" s="76" customFormat="1" ht="13.5" customHeight="1">
      <c r="A30" s="134" t="s">
        <v>757</v>
      </c>
      <c r="H30" s="74"/>
      <c r="I30" s="134" t="s">
        <v>757</v>
      </c>
      <c r="Q30" s="78"/>
      <c r="R30" s="79"/>
    </row>
    <row r="31" spans="8:16" ht="12.75">
      <c r="H31" s="343" t="s">
        <v>60</v>
      </c>
      <c r="I31" s="41"/>
      <c r="P31" s="343" t="s">
        <v>60</v>
      </c>
    </row>
    <row r="32" spans="1:18" ht="18">
      <c r="A32" s="34" t="s">
        <v>572</v>
      </c>
      <c r="B32" s="35"/>
      <c r="C32" s="35"/>
      <c r="D32" s="35"/>
      <c r="E32" s="35"/>
      <c r="F32" s="35"/>
      <c r="G32" s="35"/>
      <c r="H32" s="53"/>
      <c r="I32" s="34" t="s">
        <v>587</v>
      </c>
      <c r="J32" s="36"/>
      <c r="K32" s="36"/>
      <c r="L32" s="35"/>
      <c r="M32" s="36"/>
      <c r="N32" s="36"/>
      <c r="O32" s="36"/>
      <c r="P32" s="36"/>
      <c r="Q32" s="67"/>
      <c r="R32" s="68"/>
    </row>
    <row r="33" spans="1:18" ht="12.75">
      <c r="A33" s="90"/>
      <c r="B33" s="36"/>
      <c r="C33" s="36"/>
      <c r="D33" s="36"/>
      <c r="E33" s="36"/>
      <c r="F33" s="36"/>
      <c r="G33" s="36"/>
      <c r="H33" s="48"/>
      <c r="I33" s="90"/>
      <c r="J33" s="36"/>
      <c r="K33" s="36"/>
      <c r="L33" s="36"/>
      <c r="M33" s="36"/>
      <c r="N33" s="36"/>
      <c r="O33" s="36"/>
      <c r="P33" s="36"/>
      <c r="R33" s="70"/>
    </row>
    <row r="34" spans="1:18" ht="15.75">
      <c r="A34" s="45" t="s">
        <v>595</v>
      </c>
      <c r="B34" s="36"/>
      <c r="C34" s="36"/>
      <c r="D34" s="36"/>
      <c r="E34" s="36"/>
      <c r="F34" s="36"/>
      <c r="G34" s="36"/>
      <c r="H34" s="48"/>
      <c r="I34" s="45" t="s">
        <v>596</v>
      </c>
      <c r="J34" s="36"/>
      <c r="K34" s="36"/>
      <c r="L34" s="36"/>
      <c r="M34" s="36"/>
      <c r="N34" s="36"/>
      <c r="O34" s="36"/>
      <c r="P34" s="36"/>
      <c r="R34" s="70" t="s">
        <v>73</v>
      </c>
    </row>
    <row r="35" spans="1:18" ht="15.75">
      <c r="A35" s="45" t="s">
        <v>806</v>
      </c>
      <c r="B35" s="36"/>
      <c r="C35" s="36"/>
      <c r="D35" s="36"/>
      <c r="E35" s="36"/>
      <c r="F35" s="36"/>
      <c r="G35" s="36"/>
      <c r="H35" s="48"/>
      <c r="I35" s="45" t="s">
        <v>806</v>
      </c>
      <c r="J35" s="36"/>
      <c r="K35" s="36"/>
      <c r="L35" s="36"/>
      <c r="M35" s="36"/>
      <c r="N35" s="36"/>
      <c r="O35" s="36"/>
      <c r="P35" s="36"/>
      <c r="R35" s="70" t="s">
        <v>73</v>
      </c>
    </row>
    <row r="36" spans="1:16" ht="12.75">
      <c r="A36" s="37"/>
      <c r="B36" s="38"/>
      <c r="C36" s="38"/>
      <c r="D36" s="38"/>
      <c r="E36" s="38"/>
      <c r="F36" s="38"/>
      <c r="G36" s="38"/>
      <c r="H36" s="38"/>
      <c r="I36" s="39"/>
      <c r="L36" s="40"/>
      <c r="P36" s="37"/>
    </row>
    <row r="37" spans="1:18" s="102" customFormat="1" ht="12">
      <c r="A37" s="97"/>
      <c r="B37" s="98" t="s">
        <v>315</v>
      </c>
      <c r="C37" s="98"/>
      <c r="D37" s="98"/>
      <c r="E37" s="98"/>
      <c r="F37" s="98"/>
      <c r="G37" s="98"/>
      <c r="H37" s="99"/>
      <c r="I37" s="97"/>
      <c r="J37" s="98" t="s">
        <v>315</v>
      </c>
      <c r="K37" s="98"/>
      <c r="L37" s="98"/>
      <c r="M37" s="98"/>
      <c r="N37" s="98"/>
      <c r="O37" s="98"/>
      <c r="P37" s="99"/>
      <c r="Q37" s="100"/>
      <c r="R37" s="101"/>
    </row>
    <row r="38" spans="1:18" s="102" customFormat="1" ht="12">
      <c r="A38" s="97"/>
      <c r="B38" s="98" t="s">
        <v>211</v>
      </c>
      <c r="C38" s="98"/>
      <c r="D38" s="421" t="s">
        <v>603</v>
      </c>
      <c r="E38" s="422"/>
      <c r="F38" s="422"/>
      <c r="G38" s="422"/>
      <c r="H38" s="103" t="s">
        <v>73</v>
      </c>
      <c r="I38" s="97"/>
      <c r="J38" s="98" t="s">
        <v>211</v>
      </c>
      <c r="K38" s="98"/>
      <c r="L38" s="421" t="s">
        <v>603</v>
      </c>
      <c r="M38" s="422"/>
      <c r="N38" s="422"/>
      <c r="O38" s="422"/>
      <c r="P38" s="103" t="s">
        <v>73</v>
      </c>
      <c r="Q38" s="100"/>
      <c r="R38" s="101"/>
    </row>
    <row r="39" spans="1:20" s="102" customFormat="1" ht="40.5" customHeight="1">
      <c r="A39" s="97"/>
      <c r="B39" s="104" t="s">
        <v>594</v>
      </c>
      <c r="C39" s="105" t="s">
        <v>593</v>
      </c>
      <c r="D39" s="106" t="s">
        <v>601</v>
      </c>
      <c r="E39" s="107" t="s">
        <v>71</v>
      </c>
      <c r="F39" s="104" t="s">
        <v>212</v>
      </c>
      <c r="G39" s="108" t="s">
        <v>605</v>
      </c>
      <c r="H39" s="109" t="s">
        <v>604</v>
      </c>
      <c r="I39" s="97"/>
      <c r="J39" s="104" t="s">
        <v>594</v>
      </c>
      <c r="K39" s="105" t="s">
        <v>593</v>
      </c>
      <c r="L39" s="106" t="s">
        <v>601</v>
      </c>
      <c r="M39" s="107" t="s">
        <v>71</v>
      </c>
      <c r="N39" s="104" t="s">
        <v>212</v>
      </c>
      <c r="O39" s="108" t="s">
        <v>605</v>
      </c>
      <c r="P39" s="109" t="s">
        <v>604</v>
      </c>
      <c r="Q39" s="110"/>
      <c r="R39" s="111"/>
      <c r="T39" s="112"/>
    </row>
    <row r="40" spans="1:41" ht="15.75" customHeight="1">
      <c r="A40" s="44" t="s">
        <v>548</v>
      </c>
      <c r="B40" s="312">
        <f>('FTE Pivot Table'!$C$7)*100</f>
        <v>98.76799945789868</v>
      </c>
      <c r="C40" s="312">
        <f>('FTE Pivot Table'!$C$10)*100</f>
        <v>0.25252886501300664</v>
      </c>
      <c r="D40" s="130">
        <f>SUM(E40:G40)</f>
        <v>0.5707875151054275</v>
      </c>
      <c r="E40" s="312">
        <f>('FTE Pivot Table'!$C$13)*100</f>
        <v>0.42193552758881614</v>
      </c>
      <c r="F40" s="315">
        <f>('FTE Pivot Table'!$C$16)*100</f>
        <v>0.0262015638117252</v>
      </c>
      <c r="G40" s="313">
        <f>('FTE Pivot Table'!$C$19)*100</f>
        <v>0.12265042370488606</v>
      </c>
      <c r="H40" s="312">
        <f>('FTE Pivot Table'!$C$22)*100</f>
        <v>0.40868416198288615</v>
      </c>
      <c r="I40" s="44" t="s">
        <v>548</v>
      </c>
      <c r="J40" s="312">
        <f>('FTE Pivot Table'!$C$25)*100</f>
        <v>87.95309864012154</v>
      </c>
      <c r="K40" s="312">
        <f>('FTE Pivot Table'!$C$28)*100</f>
        <v>5.521069261527277</v>
      </c>
      <c r="L40" s="130">
        <f>SUM(M40:O40)</f>
        <v>6.524434005350036</v>
      </c>
      <c r="M40" s="312">
        <f>('FTE Pivot Table'!$C$31)*100</f>
        <v>0.9586257677860732</v>
      </c>
      <c r="N40" s="312">
        <f>('FTE Pivot Table'!$C$34)*100</f>
        <v>0.8738081257165227</v>
      </c>
      <c r="O40" s="313">
        <f>('FTE Pivot Table'!$C$37)*100</f>
        <v>4.69200011184744</v>
      </c>
      <c r="P40" s="320">
        <f>('FTE Pivot Table'!$C$40)*100</f>
        <v>0.0013980930011464362</v>
      </c>
      <c r="Q40" s="42">
        <f>SUM(B40,C40,D40,H40)</f>
        <v>100</v>
      </c>
      <c r="R40" s="42">
        <f>SUM(J40,K40,L40,P40)</f>
        <v>99.99999999999999</v>
      </c>
      <c r="S40" s="55"/>
      <c r="T40" s="55"/>
      <c r="U40" s="55"/>
      <c r="V40" s="55"/>
      <c r="W40" s="55"/>
      <c r="X40" s="55"/>
      <c r="Y40" s="55"/>
      <c r="Z40" s="55"/>
      <c r="AA40" s="55"/>
      <c r="AB40" s="55"/>
      <c r="AC40" s="55"/>
      <c r="AD40" s="55"/>
      <c r="AE40" s="55"/>
      <c r="AF40" s="55"/>
      <c r="AG40" s="55"/>
      <c r="AH40" s="55"/>
      <c r="AI40" s="55"/>
      <c r="AJ40" s="55"/>
      <c r="AK40" s="55"/>
      <c r="AL40" s="55"/>
      <c r="AM40" s="55"/>
      <c r="AN40" s="55"/>
      <c r="AO40" s="55"/>
    </row>
    <row r="41" spans="1:41" ht="15.75" customHeight="1">
      <c r="A41" s="43" t="s">
        <v>549</v>
      </c>
      <c r="B41" s="312">
        <f>('FTE Pivot Table'!$C$43)*100</f>
        <v>0</v>
      </c>
      <c r="C41" s="312">
        <f>('FTE Pivot Table'!$C$46)*100</f>
        <v>0</v>
      </c>
      <c r="D41" s="130">
        <f>SUM(E41:G41)</f>
        <v>0</v>
      </c>
      <c r="E41" s="312">
        <f>('FTE Pivot Table'!$C$49)*100</f>
        <v>0</v>
      </c>
      <c r="F41" s="312">
        <f>('FTE Pivot Table'!$C$52)*100</f>
        <v>0</v>
      </c>
      <c r="G41" s="314">
        <f>('FTE Pivot Table'!$C$55)*100</f>
        <v>0</v>
      </c>
      <c r="H41" s="312">
        <f>('FTE Pivot Table'!$C$58)*100</f>
        <v>0</v>
      </c>
      <c r="I41" s="43" t="s">
        <v>549</v>
      </c>
      <c r="J41" s="312">
        <f>('FTE Pivot Table'!$C$61)*100</f>
        <v>0</v>
      </c>
      <c r="K41" s="312">
        <f>('FTE Pivot Table'!$C$64)*100</f>
        <v>0</v>
      </c>
      <c r="L41" s="130">
        <f>SUM(M41:O41)</f>
        <v>0</v>
      </c>
      <c r="M41" s="312">
        <f>('FTE Pivot Table'!$C$67)*100</f>
        <v>0</v>
      </c>
      <c r="N41" s="312">
        <f>('FTE Pivot Table'!$C$70)*100</f>
        <v>0</v>
      </c>
      <c r="O41" s="314">
        <f>('FTE Pivot Table'!$C$73)*100</f>
        <v>0</v>
      </c>
      <c r="P41" s="312">
        <f>('FTE Pivot Table'!$C$76)*100</f>
        <v>0</v>
      </c>
      <c r="Q41" s="42">
        <f aca="true" t="shared" si="4" ref="Q41:Q58">SUM(B41,C41,D41,H41)</f>
        <v>0</v>
      </c>
      <c r="R41" s="42">
        <f>SUM(J41,K41,L41,P41)</f>
        <v>0</v>
      </c>
      <c r="S41" s="55"/>
      <c r="T41" s="55"/>
      <c r="U41" s="55"/>
      <c r="V41" s="55"/>
      <c r="W41" s="55"/>
      <c r="X41" s="55"/>
      <c r="Y41" s="55"/>
      <c r="Z41" s="55"/>
      <c r="AA41" s="55"/>
      <c r="AB41" s="55"/>
      <c r="AC41" s="55"/>
      <c r="AD41" s="55"/>
      <c r="AE41" s="55"/>
      <c r="AF41" s="55"/>
      <c r="AG41" s="55"/>
      <c r="AH41" s="55"/>
      <c r="AI41" s="55"/>
      <c r="AJ41" s="55"/>
      <c r="AK41" s="55"/>
      <c r="AL41" s="55"/>
      <c r="AM41" s="55"/>
      <c r="AN41" s="55"/>
      <c r="AO41" s="55"/>
    </row>
    <row r="42" spans="1:41" ht="15.75" customHeight="1">
      <c r="A42" s="43" t="s">
        <v>550</v>
      </c>
      <c r="B42" s="312">
        <f>('FTE Pivot Table'!$C$79)*100</f>
        <v>97.97513764080496</v>
      </c>
      <c r="C42" s="312">
        <f>('FTE Pivot Table'!$C$82)*100</f>
        <v>0</v>
      </c>
      <c r="D42" s="130">
        <f>SUM(E42:G42)</f>
        <v>2.0248623591950388</v>
      </c>
      <c r="E42" s="312">
        <f>('FTE Pivot Table'!$C$85)*100</f>
        <v>1.5239368434375395</v>
      </c>
      <c r="F42" s="312">
        <f>('FTE Pivot Table'!$C$88)*100</f>
        <v>0.1934090621440324</v>
      </c>
      <c r="G42" s="314">
        <f>('FTE Pivot Table'!$C$91)*100</f>
        <v>0.3075164536134667</v>
      </c>
      <c r="H42" s="312">
        <f>('FTE Pivot Table'!$C$94)*100</f>
        <v>0</v>
      </c>
      <c r="I42" s="43" t="s">
        <v>550</v>
      </c>
      <c r="J42" s="312">
        <f>('FTE Pivot Table'!$C$97)*100</f>
        <v>96.5020366598778</v>
      </c>
      <c r="K42" s="312">
        <f>('FTE Pivot Table'!$C$100)*100</f>
        <v>0</v>
      </c>
      <c r="L42" s="130">
        <f>SUM(M42:O42)</f>
        <v>2.7443991853360488</v>
      </c>
      <c r="M42" s="312">
        <f>('FTE Pivot Table'!$C$103)*100</f>
        <v>1.6479972844534962</v>
      </c>
      <c r="N42" s="312">
        <f>('FTE Pivot Table'!$C$106)*100</f>
        <v>0.3190767141887305</v>
      </c>
      <c r="O42" s="314">
        <f>('FTE Pivot Table'!$C$109)*100</f>
        <v>0.7773251866938221</v>
      </c>
      <c r="P42" s="312">
        <f>('FTE Pivot Table'!$C$112)*100</f>
        <v>0.7535641547861507</v>
      </c>
      <c r="Q42" s="42">
        <f t="shared" si="4"/>
        <v>100</v>
      </c>
      <c r="R42" s="42">
        <f aca="true" t="shared" si="5" ref="R42:R58">SUM(J42,K42,L42,P42)</f>
        <v>100</v>
      </c>
      <c r="S42" s="55"/>
      <c r="T42" s="71"/>
      <c r="U42" s="55"/>
      <c r="V42" s="55"/>
      <c r="W42" s="55"/>
      <c r="X42" s="55"/>
      <c r="Y42" s="55"/>
      <c r="Z42" s="55"/>
      <c r="AA42" s="55"/>
      <c r="AB42" s="55"/>
      <c r="AC42" s="55"/>
      <c r="AD42" s="55"/>
      <c r="AE42" s="55"/>
      <c r="AF42" s="55"/>
      <c r="AG42" s="55"/>
      <c r="AH42" s="55"/>
      <c r="AI42" s="55"/>
      <c r="AJ42" s="55"/>
      <c r="AK42" s="55"/>
      <c r="AL42" s="55"/>
      <c r="AM42" s="55"/>
      <c r="AN42" s="55"/>
      <c r="AO42" s="55"/>
    </row>
    <row r="43" spans="1:41" ht="15.75" customHeight="1">
      <c r="A43" s="43" t="s">
        <v>551</v>
      </c>
      <c r="B43" s="312">
        <f>('FTE Pivot Table'!$C$115)*100</f>
        <v>80.27456203412348</v>
      </c>
      <c r="C43" s="312">
        <f>('FTE Pivot Table'!$C$118)*100</f>
        <v>6.410883260243205</v>
      </c>
      <c r="D43" s="130">
        <f>SUM(E43:G43)</f>
        <v>13.07992238736876</v>
      </c>
      <c r="E43" s="312">
        <f>('FTE Pivot Table'!$C$121)*100</f>
        <v>4.121107069467225</v>
      </c>
      <c r="F43" s="315">
        <f>('FTE Pivot Table'!$C$124)*100</f>
        <v>0.03649165875322931</v>
      </c>
      <c r="G43" s="314">
        <f>('FTE Pivot Table'!$C$127)*100</f>
        <v>8.922323659148304</v>
      </c>
      <c r="H43" s="312">
        <f>('FTE Pivot Table'!$C$130)*100</f>
        <v>0.2346323182645653</v>
      </c>
      <c r="I43" s="43" t="s">
        <v>551</v>
      </c>
      <c r="J43" s="312">
        <f>('FTE Pivot Table'!$C$133)*100</f>
        <v>77.06897664946628</v>
      </c>
      <c r="K43" s="312">
        <f>('FTE Pivot Table'!$C$136)*100</f>
        <v>10.658599875403326</v>
      </c>
      <c r="L43" s="130">
        <f>SUM(M43:O43)</f>
        <v>12.259335589103202</v>
      </c>
      <c r="M43" s="312">
        <f>('FTE Pivot Table'!$C$139)*100</f>
        <v>6.683372626075607</v>
      </c>
      <c r="N43" s="312">
        <f>('FTE Pivot Table'!$C$142)*100</f>
        <v>0.3734410146427269</v>
      </c>
      <c r="O43" s="314">
        <f>('FTE Pivot Table'!$C$145)*100</f>
        <v>5.2025219483848675</v>
      </c>
      <c r="P43" s="312">
        <f>('FTE Pivot Table'!$C$148)*100</f>
        <v>0.013087886027198372</v>
      </c>
      <c r="Q43" s="42">
        <f t="shared" si="4"/>
        <v>100</v>
      </c>
      <c r="R43" s="42">
        <f t="shared" si="5"/>
        <v>100</v>
      </c>
      <c r="S43" s="55"/>
      <c r="U43" s="55"/>
      <c r="V43" s="55"/>
      <c r="W43" s="55"/>
      <c r="X43" s="55"/>
      <c r="Y43" s="55"/>
      <c r="Z43" s="55"/>
      <c r="AA43" s="55"/>
      <c r="AB43" s="55"/>
      <c r="AC43" s="55"/>
      <c r="AD43" s="55"/>
      <c r="AE43" s="55"/>
      <c r="AF43" s="55"/>
      <c r="AG43" s="55"/>
      <c r="AH43" s="55"/>
      <c r="AI43" s="55"/>
      <c r="AJ43" s="55"/>
      <c r="AK43" s="55"/>
      <c r="AL43" s="55"/>
      <c r="AM43" s="55"/>
      <c r="AN43" s="55"/>
      <c r="AO43" s="55"/>
    </row>
    <row r="44" spans="1:41" ht="15.75" customHeight="1">
      <c r="A44" s="43"/>
      <c r="B44" s="115"/>
      <c r="C44" s="116"/>
      <c r="D44" s="130"/>
      <c r="E44" s="115"/>
      <c r="F44" s="115"/>
      <c r="G44" s="116"/>
      <c r="H44" s="115"/>
      <c r="I44" s="43"/>
      <c r="J44" s="115"/>
      <c r="K44" s="116"/>
      <c r="L44" s="130"/>
      <c r="M44" s="115"/>
      <c r="N44" s="115"/>
      <c r="O44" s="116"/>
      <c r="P44" s="115"/>
      <c r="Q44" s="42"/>
      <c r="R44" s="42"/>
      <c r="S44" s="55"/>
      <c r="U44" s="55"/>
      <c r="V44" s="55"/>
      <c r="W44" s="55"/>
      <c r="X44" s="55"/>
      <c r="Y44" s="55"/>
      <c r="Z44" s="55"/>
      <c r="AA44" s="55"/>
      <c r="AB44" s="55"/>
      <c r="AC44" s="55"/>
      <c r="AD44" s="55"/>
      <c r="AE44" s="55"/>
      <c r="AF44" s="55"/>
      <c r="AG44" s="55"/>
      <c r="AH44" s="55"/>
      <c r="AI44" s="55"/>
      <c r="AJ44" s="55"/>
      <c r="AK44" s="55"/>
      <c r="AL44" s="55"/>
      <c r="AM44" s="55"/>
      <c r="AN44" s="55"/>
      <c r="AO44" s="55"/>
    </row>
    <row r="45" spans="1:41" ht="15.75" customHeight="1">
      <c r="A45" s="43" t="s">
        <v>552</v>
      </c>
      <c r="B45" s="312">
        <f>('FTE Pivot Table'!$C$151)*100</f>
        <v>98.22101302607521</v>
      </c>
      <c r="C45" s="312">
        <f>('FTE Pivot Table'!$C$154)*100</f>
        <v>1.614123099949817</v>
      </c>
      <c r="D45" s="130">
        <f>SUM(E45:G45)</f>
        <v>0.16486387397496902</v>
      </c>
      <c r="E45" s="312">
        <f>('FTE Pivot Table'!$C$157)*100</f>
        <v>0.1635118788676007</v>
      </c>
      <c r="F45" s="312">
        <f>('FTE Pivot Table'!$C$160)*100</f>
        <v>0</v>
      </c>
      <c r="G45" s="319">
        <f>('FTE Pivot Table'!$C$163)*100</f>
        <v>0.0013519951073682937</v>
      </c>
      <c r="H45" s="312">
        <f>('FTE Pivot Table'!$C$166)*100</f>
        <v>0</v>
      </c>
      <c r="I45" s="43" t="s">
        <v>552</v>
      </c>
      <c r="J45" s="312">
        <f>('FTE Pivot Table'!$C$169)*100</f>
        <v>93.23921007952819</v>
      </c>
      <c r="K45" s="312">
        <f>('FTE Pivot Table'!$C$172)*100</f>
        <v>3.612341549970002</v>
      </c>
      <c r="L45" s="130">
        <f>SUM(M45:O45)</f>
        <v>3.1484483705018063</v>
      </c>
      <c r="M45" s="312">
        <f>('FTE Pivot Table'!$C$175)*100</f>
        <v>2.9909238290973614</v>
      </c>
      <c r="N45" s="312">
        <f>('FTE Pivot Table'!$C$178)*100</f>
        <v>0.10620779452876675</v>
      </c>
      <c r="O45" s="314">
        <f>('FTE Pivot Table'!$C$181)*100</f>
        <v>0.05131674687567816</v>
      </c>
      <c r="P45" s="312">
        <f>('FTE Pivot Table'!$C$184)*100</f>
        <v>0</v>
      </c>
      <c r="Q45" s="42">
        <f t="shared" si="4"/>
        <v>100</v>
      </c>
      <c r="R45" s="42">
        <f t="shared" si="5"/>
        <v>100</v>
      </c>
      <c r="S45" s="55"/>
      <c r="T45" s="55"/>
      <c r="U45" s="55"/>
      <c r="V45" s="55"/>
      <c r="W45" s="55"/>
      <c r="X45" s="55"/>
      <c r="Y45" s="55"/>
      <c r="Z45" s="55"/>
      <c r="AA45" s="55"/>
      <c r="AB45" s="55"/>
      <c r="AC45" s="55"/>
      <c r="AD45" s="55"/>
      <c r="AE45" s="55"/>
      <c r="AF45" s="55"/>
      <c r="AG45" s="55"/>
      <c r="AH45" s="55"/>
      <c r="AI45" s="55"/>
      <c r="AJ45" s="55"/>
      <c r="AK45" s="55"/>
      <c r="AL45" s="55"/>
      <c r="AM45" s="55"/>
      <c r="AN45" s="55"/>
      <c r="AO45" s="55"/>
    </row>
    <row r="46" spans="1:41" ht="15.75" customHeight="1">
      <c r="A46" s="43" t="s">
        <v>553</v>
      </c>
      <c r="B46" s="312">
        <f>('FTE Pivot Table'!$C$187)*100</f>
        <v>97.75472002132489</v>
      </c>
      <c r="C46" s="312">
        <f>('FTE Pivot Table'!$C$190)*100</f>
        <v>0.6604349720210304</v>
      </c>
      <c r="D46" s="130">
        <f>SUM(E46:G46)</f>
        <v>1.5848450066540811</v>
      </c>
      <c r="E46" s="312">
        <f>('FTE Pivot Table'!$C$193)*100</f>
        <v>1.0553034718589056</v>
      </c>
      <c r="F46" s="312">
        <f>('FTE Pivot Table'!$C$196)*100</f>
        <v>0.25999653868418277</v>
      </c>
      <c r="G46" s="314">
        <f>('FTE Pivot Table'!$C$199)*100</f>
        <v>0.26954499611099286</v>
      </c>
      <c r="H46" s="312">
        <f>('FTE Pivot Table'!$C$202)*100</f>
        <v>0</v>
      </c>
      <c r="I46" s="43" t="s">
        <v>553</v>
      </c>
      <c r="J46" s="312">
        <f>('FTE Pivot Table'!$C$205)*100</f>
        <v>90.28577210180771</v>
      </c>
      <c r="K46" s="312">
        <f>('FTE Pivot Table'!$C$208)*100</f>
        <v>5.21854483316845</v>
      </c>
      <c r="L46" s="130">
        <f>SUM(M46:O46)</f>
        <v>4.495683065023833</v>
      </c>
      <c r="M46" s="312">
        <f>('FTE Pivot Table'!$C$211)*100</f>
        <v>3.3489972119794946</v>
      </c>
      <c r="N46" s="312">
        <f>('FTE Pivot Table'!$C$214)*100</f>
        <v>1.1129597985430344</v>
      </c>
      <c r="O46" s="318">
        <f>('FTE Pivot Table'!$C$217)*100</f>
        <v>0.03372605450130407</v>
      </c>
      <c r="P46" s="312">
        <f>('FTE Pivot Table'!$C$220)*100</f>
        <v>0</v>
      </c>
      <c r="Q46" s="42">
        <f t="shared" si="4"/>
        <v>100</v>
      </c>
      <c r="R46" s="42">
        <f t="shared" si="5"/>
        <v>100</v>
      </c>
      <c r="S46" s="55"/>
      <c r="T46" s="55"/>
      <c r="U46" s="55"/>
      <c r="V46" s="55"/>
      <c r="W46" s="55"/>
      <c r="X46" s="55"/>
      <c r="Y46" s="55"/>
      <c r="Z46" s="55"/>
      <c r="AA46" s="55"/>
      <c r="AB46" s="55"/>
      <c r="AC46" s="55"/>
      <c r="AD46" s="55"/>
      <c r="AE46" s="55"/>
      <c r="AF46" s="55"/>
      <c r="AG46" s="55"/>
      <c r="AH46" s="55"/>
      <c r="AI46" s="55"/>
      <c r="AJ46" s="55"/>
      <c r="AK46" s="55"/>
      <c r="AL46" s="55"/>
      <c r="AM46" s="55"/>
      <c r="AN46" s="55"/>
      <c r="AO46" s="55"/>
    </row>
    <row r="47" spans="1:41" ht="15.75" customHeight="1">
      <c r="A47" s="43" t="s">
        <v>554</v>
      </c>
      <c r="B47" s="312">
        <f>('FTE Pivot Table'!$C$223)*100</f>
        <v>94.5992235813094</v>
      </c>
      <c r="C47" s="312">
        <f>('FTE Pivot Table'!$C$226)*100</f>
        <v>0.17064696970265641</v>
      </c>
      <c r="D47" s="130">
        <f>SUM(E47:G47)</f>
        <v>0.8598655592128721</v>
      </c>
      <c r="E47" s="312">
        <f>('FTE Pivot Table'!$C$229)*100</f>
        <v>0.7498958477989168</v>
      </c>
      <c r="F47" s="315">
        <f>('FTE Pivot Table'!$C$232)*100</f>
        <v>0.03415441549034106</v>
      </c>
      <c r="G47" s="314">
        <f>('FTE Pivot Table'!$C$235)*100</f>
        <v>0.07581529592361422</v>
      </c>
      <c r="H47" s="312">
        <f>('FTE Pivot Table'!$C$238)*100</f>
        <v>4.370263889775069</v>
      </c>
      <c r="I47" s="43" t="s">
        <v>554</v>
      </c>
      <c r="J47" s="312">
        <f>('FTE Pivot Table'!$C$241)*100</f>
        <v>97.19083812654067</v>
      </c>
      <c r="K47" s="312">
        <f>('FTE Pivot Table'!$C$244)*100</f>
        <v>0.337236373596275</v>
      </c>
      <c r="L47" s="130">
        <f>SUM(M47:O47)</f>
        <v>2.471925499863051</v>
      </c>
      <c r="M47" s="312">
        <f>('FTE Pivot Table'!$C$247)*100</f>
        <v>0.7600657354149548</v>
      </c>
      <c r="N47" s="312">
        <f>('FTE Pivot Table'!$C$250)*100</f>
        <v>1.7118597644480964</v>
      </c>
      <c r="O47" s="314">
        <f>('FTE Pivot Table'!$C$253)*100</f>
        <v>0</v>
      </c>
      <c r="P47" s="312">
        <f>('FTE Pivot Table'!$C$256)*100</f>
        <v>0</v>
      </c>
      <c r="Q47" s="42">
        <f t="shared" si="4"/>
        <v>100.00000000000001</v>
      </c>
      <c r="R47" s="42">
        <f t="shared" si="5"/>
        <v>99.99999999999999</v>
      </c>
      <c r="S47" s="55"/>
      <c r="T47" s="71"/>
      <c r="U47" s="55"/>
      <c r="V47" s="55"/>
      <c r="W47" s="55"/>
      <c r="X47" s="55"/>
      <c r="Y47" s="55"/>
      <c r="Z47" s="55"/>
      <c r="AA47" s="55"/>
      <c r="AB47" s="55"/>
      <c r="AC47" s="55"/>
      <c r="AD47" s="55"/>
      <c r="AE47" s="55"/>
      <c r="AF47" s="55"/>
      <c r="AG47" s="55"/>
      <c r="AH47" s="55"/>
      <c r="AI47" s="55"/>
      <c r="AJ47" s="55"/>
      <c r="AK47" s="55"/>
      <c r="AL47" s="55"/>
      <c r="AM47" s="55"/>
      <c r="AN47" s="55"/>
      <c r="AO47" s="55"/>
    </row>
    <row r="48" spans="1:41" ht="15.75" customHeight="1">
      <c r="A48" s="43" t="s">
        <v>555</v>
      </c>
      <c r="B48" s="312">
        <f>('FTE Pivot Table'!$C$259)*100</f>
        <v>0</v>
      </c>
      <c r="C48" s="312">
        <f>('FTE Pivot Table'!$C$262)*100</f>
        <v>0</v>
      </c>
      <c r="D48" s="130">
        <f>SUM(E48:G48)</f>
        <v>0</v>
      </c>
      <c r="E48" s="312">
        <f>('FTE Pivot Table'!$C$265)*100</f>
        <v>0</v>
      </c>
      <c r="F48" s="312">
        <f>('FTE Pivot Table'!$C$268)*100</f>
        <v>0</v>
      </c>
      <c r="G48" s="314">
        <f>('FTE Pivot Table'!$C$271)*100</f>
        <v>0</v>
      </c>
      <c r="H48" s="312">
        <f>('FTE Pivot Table'!$C$274)*100</f>
        <v>0</v>
      </c>
      <c r="I48" s="43" t="s">
        <v>555</v>
      </c>
      <c r="J48" s="312">
        <f>('FTE Pivot Table'!$C$277)*100</f>
        <v>0</v>
      </c>
      <c r="K48" s="312">
        <f>('FTE Pivot Table'!$C$280)*100</f>
        <v>0</v>
      </c>
      <c r="L48" s="130">
        <f>SUM(M48:O48)</f>
        <v>0</v>
      </c>
      <c r="M48" s="312">
        <f>('FTE Pivot Table'!$C$283)*100</f>
        <v>0</v>
      </c>
      <c r="N48" s="312">
        <f>('FTE Pivot Table'!$C$286)*100</f>
        <v>0</v>
      </c>
      <c r="O48" s="314">
        <f>('FTE Pivot Table'!$C$289)*100</f>
        <v>0</v>
      </c>
      <c r="P48" s="312">
        <f>('FTE Pivot Table'!$C$292)*100</f>
        <v>0</v>
      </c>
      <c r="Q48" s="42">
        <f t="shared" si="4"/>
        <v>0</v>
      </c>
      <c r="R48" s="42">
        <f t="shared" si="5"/>
        <v>0</v>
      </c>
      <c r="S48" s="55"/>
      <c r="U48" s="55"/>
      <c r="V48" s="55"/>
      <c r="W48" s="55"/>
      <c r="X48" s="55"/>
      <c r="Y48" s="55"/>
      <c r="Z48" s="55"/>
      <c r="AA48" s="55"/>
      <c r="AB48" s="55"/>
      <c r="AC48" s="55"/>
      <c r="AD48" s="55"/>
      <c r="AE48" s="55"/>
      <c r="AF48" s="55"/>
      <c r="AG48" s="55"/>
      <c r="AH48" s="55"/>
      <c r="AI48" s="55"/>
      <c r="AJ48" s="55"/>
      <c r="AK48" s="55"/>
      <c r="AL48" s="55"/>
      <c r="AM48" s="55"/>
      <c r="AN48" s="55"/>
      <c r="AO48" s="55"/>
    </row>
    <row r="49" spans="1:41" ht="15.75" customHeight="1">
      <c r="A49" s="43"/>
      <c r="B49" s="115"/>
      <c r="C49" s="116"/>
      <c r="D49" s="130"/>
      <c r="E49" s="115"/>
      <c r="F49" s="115"/>
      <c r="G49" s="116"/>
      <c r="H49" s="115"/>
      <c r="I49" s="43"/>
      <c r="J49" s="115"/>
      <c r="K49" s="116"/>
      <c r="L49" s="130"/>
      <c r="M49" s="115"/>
      <c r="N49" s="115"/>
      <c r="O49" s="116"/>
      <c r="P49" s="115"/>
      <c r="Q49" s="42"/>
      <c r="R49" s="42"/>
      <c r="S49" s="55"/>
      <c r="U49" s="55"/>
      <c r="V49" s="55"/>
      <c r="W49" s="55"/>
      <c r="X49" s="55"/>
      <c r="Y49" s="55"/>
      <c r="Z49" s="55"/>
      <c r="AA49" s="55"/>
      <c r="AB49" s="55"/>
      <c r="AC49" s="55"/>
      <c r="AD49" s="55"/>
      <c r="AE49" s="55"/>
      <c r="AF49" s="55"/>
      <c r="AG49" s="55"/>
      <c r="AH49" s="55"/>
      <c r="AI49" s="55"/>
      <c r="AJ49" s="55"/>
      <c r="AK49" s="55"/>
      <c r="AL49" s="55"/>
      <c r="AM49" s="55"/>
      <c r="AN49" s="55"/>
      <c r="AO49" s="55"/>
    </row>
    <row r="50" spans="1:41" ht="15.75" customHeight="1">
      <c r="A50" s="43" t="s">
        <v>206</v>
      </c>
      <c r="B50" s="312">
        <f>('FTE Pivot Table'!$C$295)*100</f>
        <v>81.02504722135781</v>
      </c>
      <c r="C50" s="312">
        <f>('FTE Pivot Table'!$C$298)*100</f>
        <v>11.47222081502978</v>
      </c>
      <c r="D50" s="130">
        <f>SUM(E50:G50)</f>
        <v>7.189804528908155</v>
      </c>
      <c r="E50" s="312">
        <f>('FTE Pivot Table'!$C$301)*100</f>
        <v>6.266654122551183</v>
      </c>
      <c r="F50" s="312">
        <f>('FTE Pivot Table'!$C$304)*100</f>
        <v>0.9170713350074904</v>
      </c>
      <c r="G50" s="318">
        <f>('FTE Pivot Table'!$C$307)*100</f>
        <v>0.00607907134948147</v>
      </c>
      <c r="H50" s="312">
        <f>('FTE Pivot Table'!$C$310)*100</f>
        <v>0.31292743470426043</v>
      </c>
      <c r="I50" s="43" t="s">
        <v>206</v>
      </c>
      <c r="J50" s="312">
        <f>('FTE Pivot Table'!$C$313)*100</f>
        <v>74.01748681969671</v>
      </c>
      <c r="K50" s="312">
        <f>('FTE Pivot Table'!$C$316)*100</f>
        <v>15.151441073654876</v>
      </c>
      <c r="L50" s="130">
        <f>SUM(M50:O50)</f>
        <v>10.77403215423603</v>
      </c>
      <c r="M50" s="312">
        <f>('FTE Pivot Table'!$C$319)*100</f>
        <v>8.102932668410459</v>
      </c>
      <c r="N50" s="312">
        <f>('FTE Pivot Table'!$C$322)*100</f>
        <v>2.6710994858255717</v>
      </c>
      <c r="O50" s="314">
        <f>('FTE Pivot Table'!$C$325)*100</f>
        <v>0</v>
      </c>
      <c r="P50" s="312">
        <f>('FTE Pivot Table'!$C$328)*100</f>
        <v>0.05703995241238256</v>
      </c>
      <c r="Q50" s="42">
        <f t="shared" si="4"/>
        <v>100.00000000000001</v>
      </c>
      <c r="R50" s="42">
        <f t="shared" si="5"/>
        <v>100</v>
      </c>
      <c r="S50" s="55"/>
      <c r="T50" s="55"/>
      <c r="U50" s="55"/>
      <c r="V50" s="55"/>
      <c r="W50" s="55"/>
      <c r="X50" s="55"/>
      <c r="Y50" s="55"/>
      <c r="Z50" s="55"/>
      <c r="AA50" s="55"/>
      <c r="AB50" s="55"/>
      <c r="AC50" s="55"/>
      <c r="AD50" s="55"/>
      <c r="AE50" s="55"/>
      <c r="AF50" s="55"/>
      <c r="AG50" s="55"/>
      <c r="AH50" s="55"/>
      <c r="AI50" s="55"/>
      <c r="AJ50" s="55"/>
      <c r="AK50" s="55"/>
      <c r="AL50" s="55"/>
      <c r="AM50" s="55"/>
      <c r="AN50" s="55"/>
      <c r="AO50" s="55"/>
    </row>
    <row r="51" spans="1:41" ht="15.75" customHeight="1">
      <c r="A51" s="43" t="s">
        <v>214</v>
      </c>
      <c r="B51" s="312">
        <f>('FTE Pivot Table'!$C$331)*100</f>
        <v>97.10906167942873</v>
      </c>
      <c r="C51" s="312">
        <f>('FTE Pivot Table'!$C$334)*100</f>
        <v>2.2904911444873406</v>
      </c>
      <c r="D51" s="130">
        <f>SUM(E51:G51)</f>
        <v>0.6004471760839326</v>
      </c>
      <c r="E51" s="312">
        <f>('FTE Pivot Table'!$C$337)*100</f>
        <v>0.6004471760839326</v>
      </c>
      <c r="F51" s="312">
        <f>('FTE Pivot Table'!$C$340)*100</f>
        <v>0</v>
      </c>
      <c r="G51" s="314">
        <f>('FTE Pivot Table'!$C$343)*100</f>
        <v>0</v>
      </c>
      <c r="H51" s="312">
        <f>('FTE Pivot Table'!$C$346)*100</f>
        <v>0</v>
      </c>
      <c r="I51" s="43" t="s">
        <v>214</v>
      </c>
      <c r="J51" s="312">
        <f>('FTE Pivot Table'!$C$349)*100</f>
        <v>90.57328631850442</v>
      </c>
      <c r="K51" s="312">
        <f>('FTE Pivot Table'!$C$352)*100</f>
        <v>8.226843543427092</v>
      </c>
      <c r="L51" s="130">
        <f>SUM(M51:O51)</f>
        <v>1.1998701380684842</v>
      </c>
      <c r="M51" s="312">
        <f>('FTE Pivot Table'!$C$355)*100</f>
        <v>1.1525246422033242</v>
      </c>
      <c r="N51" s="312">
        <f>('FTE Pivot Table'!$C$358)*100</f>
        <v>0</v>
      </c>
      <c r="O51" s="318">
        <f>('FTE Pivot Table'!$C$361)*100</f>
        <v>0.04734549586516003</v>
      </c>
      <c r="P51" s="312">
        <f>('FTE Pivot Table'!$C$364)*100</f>
        <v>0</v>
      </c>
      <c r="Q51" s="42">
        <f t="shared" si="4"/>
        <v>100.00000000000001</v>
      </c>
      <c r="R51" s="42">
        <f t="shared" si="5"/>
        <v>100</v>
      </c>
      <c r="S51" s="55"/>
      <c r="T51" s="55"/>
      <c r="U51" s="55"/>
      <c r="V51" s="55"/>
      <c r="W51" s="55"/>
      <c r="X51" s="55"/>
      <c r="Y51" s="55"/>
      <c r="Z51" s="55"/>
      <c r="AA51" s="55"/>
      <c r="AB51" s="55"/>
      <c r="AC51" s="55"/>
      <c r="AD51" s="55"/>
      <c r="AE51" s="55"/>
      <c r="AF51" s="55"/>
      <c r="AG51" s="55"/>
      <c r="AH51" s="55"/>
      <c r="AI51" s="55"/>
      <c r="AJ51" s="55"/>
      <c r="AK51" s="55"/>
      <c r="AL51" s="55"/>
      <c r="AM51" s="55"/>
      <c r="AN51" s="55"/>
      <c r="AO51" s="55"/>
    </row>
    <row r="52" spans="1:41" ht="15.75" customHeight="1">
      <c r="A52" s="43" t="s">
        <v>207</v>
      </c>
      <c r="B52" s="312">
        <f>('FTE Pivot Table'!$C$367)*100</f>
        <v>96.94132137300565</v>
      </c>
      <c r="C52" s="312">
        <f>('FTE Pivot Table'!$C$370)*100</f>
        <v>0.3276929925711484</v>
      </c>
      <c r="D52" s="130">
        <f>SUM(E52:G52)</f>
        <v>2.514991796387882</v>
      </c>
      <c r="E52" s="312">
        <f>('FTE Pivot Table'!$C$373)*100</f>
        <v>2.144677946144212</v>
      </c>
      <c r="F52" s="312">
        <f>('FTE Pivot Table'!$C$376)*100</f>
        <v>0.28091840724410105</v>
      </c>
      <c r="G52" s="314">
        <f>('FTE Pivot Table'!$C$379)*100</f>
        <v>0.08939544299956928</v>
      </c>
      <c r="H52" s="312">
        <f>('FTE Pivot Table'!$C$382)*100</f>
        <v>0.21599383803532296</v>
      </c>
      <c r="I52" s="43" t="s">
        <v>207</v>
      </c>
      <c r="J52" s="312">
        <f>('FTE Pivot Table'!$C$385)*100</f>
        <v>72.06357158761968</v>
      </c>
      <c r="K52" s="312">
        <f>('FTE Pivot Table'!$C$388)*100</f>
        <v>13.52427076374972</v>
      </c>
      <c r="L52" s="130">
        <f>SUM(M52:O52)</f>
        <v>14.38877755511022</v>
      </c>
      <c r="M52" s="312">
        <f>('FTE Pivot Table'!$C$391)*100</f>
        <v>4.933199732798931</v>
      </c>
      <c r="N52" s="312">
        <f>('FTE Pivot Table'!$C$394)*100</f>
        <v>9.407147628590515</v>
      </c>
      <c r="O52" s="318">
        <f>('FTE Pivot Table'!$C$397)*100</f>
        <v>0.04843019372077488</v>
      </c>
      <c r="P52" s="315">
        <f>('FTE Pivot Table'!$C$400)*100</f>
        <v>0.02338009352037408</v>
      </c>
      <c r="Q52" s="42">
        <f t="shared" si="4"/>
        <v>99.99999999999999</v>
      </c>
      <c r="R52" s="42">
        <f t="shared" si="5"/>
        <v>100</v>
      </c>
      <c r="S52" s="55"/>
      <c r="T52" s="71"/>
      <c r="U52" s="55"/>
      <c r="V52" s="55"/>
      <c r="W52" s="55"/>
      <c r="X52" s="55"/>
      <c r="Y52" s="55"/>
      <c r="Z52" s="55"/>
      <c r="AA52" s="55"/>
      <c r="AB52" s="55"/>
      <c r="AC52" s="55"/>
      <c r="AD52" s="55"/>
      <c r="AE52" s="55"/>
      <c r="AF52" s="55"/>
      <c r="AG52" s="55"/>
      <c r="AH52" s="55"/>
      <c r="AI52" s="55"/>
      <c r="AJ52" s="55"/>
      <c r="AK52" s="55"/>
      <c r="AL52" s="55"/>
      <c r="AM52" s="55"/>
      <c r="AN52" s="55"/>
      <c r="AO52" s="55"/>
    </row>
    <row r="53" spans="1:41" ht="15.75" customHeight="1">
      <c r="A53" s="43" t="s">
        <v>556</v>
      </c>
      <c r="B53" s="312">
        <f>('FTE Pivot Table'!$C$403)*100</f>
        <v>0</v>
      </c>
      <c r="C53" s="312">
        <f>('FTE Pivot Table'!$C$406)*100</f>
        <v>0</v>
      </c>
      <c r="D53" s="130">
        <f>SUM(E53:G53)</f>
        <v>0</v>
      </c>
      <c r="E53" s="312">
        <f>('FTE Pivot Table'!$C$409)*100</f>
        <v>0</v>
      </c>
      <c r="F53" s="312">
        <f>('FTE Pivot Table'!$C$412)*100</f>
        <v>0</v>
      </c>
      <c r="G53" s="314">
        <f>('FTE Pivot Table'!$C$415)*100</f>
        <v>0</v>
      </c>
      <c r="H53" s="312">
        <f>('FTE Pivot Table'!$C$418)*100</f>
        <v>0</v>
      </c>
      <c r="I53" s="43" t="s">
        <v>556</v>
      </c>
      <c r="J53" s="312">
        <f>('FTE Pivot Table'!$C$421)*100</f>
        <v>0</v>
      </c>
      <c r="K53" s="312">
        <f>('FTE Pivot Table'!$C$424)*100</f>
        <v>0</v>
      </c>
      <c r="L53" s="130">
        <f>SUM(M53:O53)</f>
        <v>0</v>
      </c>
      <c r="M53" s="312">
        <f>('FTE Pivot Table'!$C$427)*100</f>
        <v>0</v>
      </c>
      <c r="N53" s="312">
        <f>('FTE Pivot Table'!$C$430)*100</f>
        <v>0</v>
      </c>
      <c r="O53" s="314">
        <f>('FTE Pivot Table'!$C$433)*100</f>
        <v>0</v>
      </c>
      <c r="P53" s="312">
        <f>('FTE Pivot Table'!$C$436)*100</f>
        <v>0</v>
      </c>
      <c r="Q53" s="42">
        <f t="shared" si="4"/>
        <v>0</v>
      </c>
      <c r="R53" s="42">
        <f t="shared" si="5"/>
        <v>0</v>
      </c>
      <c r="S53" s="55"/>
      <c r="T53" s="55"/>
      <c r="U53" s="55"/>
      <c r="V53" s="55"/>
      <c r="W53" s="55"/>
      <c r="X53" s="55"/>
      <c r="Y53" s="55"/>
      <c r="Z53" s="55"/>
      <c r="AA53" s="55"/>
      <c r="AB53" s="55"/>
      <c r="AC53" s="55"/>
      <c r="AD53" s="55"/>
      <c r="AE53" s="55"/>
      <c r="AF53" s="55"/>
      <c r="AG53" s="55"/>
      <c r="AH53" s="55"/>
      <c r="AI53" s="55"/>
      <c r="AJ53" s="55"/>
      <c r="AK53" s="55"/>
      <c r="AL53" s="55"/>
      <c r="AM53" s="55"/>
      <c r="AN53" s="55"/>
      <c r="AO53" s="55"/>
    </row>
    <row r="54" spans="1:41" ht="15.75" customHeight="1">
      <c r="A54" s="43"/>
      <c r="B54" s="115"/>
      <c r="C54" s="116"/>
      <c r="D54" s="130"/>
      <c r="E54" s="115"/>
      <c r="F54" s="115"/>
      <c r="G54" s="116"/>
      <c r="H54" s="115"/>
      <c r="I54" s="43"/>
      <c r="J54" s="115"/>
      <c r="K54" s="116"/>
      <c r="L54" s="130"/>
      <c r="M54" s="115"/>
      <c r="N54" s="115"/>
      <c r="O54" s="116"/>
      <c r="P54" s="115"/>
      <c r="Q54" s="42"/>
      <c r="R54" s="42"/>
      <c r="S54" s="55"/>
      <c r="T54" s="55"/>
      <c r="U54" s="55"/>
      <c r="V54" s="55"/>
      <c r="W54" s="55"/>
      <c r="X54" s="55"/>
      <c r="Y54" s="55"/>
      <c r="Z54" s="55"/>
      <c r="AA54" s="55"/>
      <c r="AB54" s="55"/>
      <c r="AC54" s="55"/>
      <c r="AD54" s="55"/>
      <c r="AE54" s="55"/>
      <c r="AF54" s="55"/>
      <c r="AG54" s="55"/>
      <c r="AH54" s="55"/>
      <c r="AI54" s="55"/>
      <c r="AJ54" s="55"/>
      <c r="AK54" s="55"/>
      <c r="AL54" s="55"/>
      <c r="AM54" s="55"/>
      <c r="AN54" s="55"/>
      <c r="AO54" s="55"/>
    </row>
    <row r="55" spans="1:41" ht="15.75" customHeight="1">
      <c r="A55" s="43" t="s">
        <v>557</v>
      </c>
      <c r="B55" s="312">
        <f>('FTE Pivot Table'!$C$439)*100</f>
        <v>0</v>
      </c>
      <c r="C55" s="312">
        <f>('FTE Pivot Table'!$C$442)*100</f>
        <v>0</v>
      </c>
      <c r="D55" s="130">
        <f>SUM(E55:G55)</f>
        <v>0</v>
      </c>
      <c r="E55" s="312">
        <f>('FTE Pivot Table'!$C$445)*100</f>
        <v>0</v>
      </c>
      <c r="F55" s="312">
        <f>('FTE Pivot Table'!$C$448)*100</f>
        <v>0</v>
      </c>
      <c r="G55" s="314">
        <f>('FTE Pivot Table'!$C$451)*100</f>
        <v>0</v>
      </c>
      <c r="H55" s="312">
        <f>('FTE Pivot Table'!$C$454)*100</f>
        <v>0</v>
      </c>
      <c r="I55" s="43" t="s">
        <v>557</v>
      </c>
      <c r="J55" s="312">
        <f>('FTE Pivot Table'!$C$457)*100</f>
        <v>0</v>
      </c>
      <c r="K55" s="312">
        <f>('FTE Pivot Table'!$C$460)*100</f>
        <v>0</v>
      </c>
      <c r="L55" s="130">
        <f>SUM(M55:O55)</f>
        <v>0</v>
      </c>
      <c r="M55" s="312">
        <f>('FTE Pivot Table'!$C$463)*100</f>
        <v>0</v>
      </c>
      <c r="N55" s="312">
        <f>('FTE Pivot Table'!$C$466)*100</f>
        <v>0</v>
      </c>
      <c r="O55" s="314">
        <f>('FTE Pivot Table'!$C$469)*100</f>
        <v>0</v>
      </c>
      <c r="P55" s="312">
        <f>('FTE Pivot Table'!$C$472)*100</f>
        <v>0</v>
      </c>
      <c r="Q55" s="42">
        <f t="shared" si="4"/>
        <v>0</v>
      </c>
      <c r="R55" s="42">
        <f t="shared" si="5"/>
        <v>0</v>
      </c>
      <c r="S55" s="55"/>
      <c r="T55" s="55"/>
      <c r="U55" s="55"/>
      <c r="V55" s="55"/>
      <c r="W55" s="55"/>
      <c r="X55" s="55"/>
      <c r="Y55" s="55"/>
      <c r="Z55" s="55"/>
      <c r="AA55" s="55"/>
      <c r="AB55" s="55"/>
      <c r="AC55" s="55"/>
      <c r="AD55" s="55"/>
      <c r="AE55" s="55"/>
      <c r="AF55" s="55"/>
      <c r="AG55" s="55"/>
      <c r="AH55" s="55"/>
      <c r="AI55" s="55"/>
      <c r="AJ55" s="55"/>
      <c r="AK55" s="55"/>
      <c r="AL55" s="55"/>
      <c r="AM55" s="55"/>
      <c r="AN55" s="55"/>
      <c r="AO55" s="55"/>
    </row>
    <row r="56" spans="1:41" ht="15.75" customHeight="1">
      <c r="A56" s="43" t="s">
        <v>313</v>
      </c>
      <c r="B56" s="312">
        <f>('FTE Pivot Table'!$C$475)*100</f>
        <v>96.99036031974092</v>
      </c>
      <c r="C56" s="312">
        <f>('FTE Pivot Table'!$C$478)*100</f>
        <v>0.6258734007414679</v>
      </c>
      <c r="D56" s="130">
        <f>SUM(E56:G56)</f>
        <v>2.383766279517615</v>
      </c>
      <c r="E56" s="312">
        <f>('FTE Pivot Table'!$C$481)*100</f>
        <v>1.7942915784811484</v>
      </c>
      <c r="F56" s="315">
        <f>('FTE Pivot Table'!$C$484)*100</f>
        <v>0.03602525203360929</v>
      </c>
      <c r="G56" s="314">
        <f>('FTE Pivot Table'!$C$487)*100</f>
        <v>0.5534494490028573</v>
      </c>
      <c r="H56" s="312">
        <f>('FTE Pivot Table'!$C$490)*100</f>
        <v>0</v>
      </c>
      <c r="I56" s="43" t="s">
        <v>313</v>
      </c>
      <c r="J56" s="312">
        <f>('FTE Pivot Table'!$C$493)*100</f>
        <v>92.81864806653259</v>
      </c>
      <c r="K56" s="312">
        <f>('FTE Pivot Table'!$C$496)*100</f>
        <v>1.8787605115830177</v>
      </c>
      <c r="L56" s="130">
        <f>SUM(M56:O56)</f>
        <v>5.302591421884385</v>
      </c>
      <c r="M56" s="312">
        <f>('FTE Pivot Table'!$C$499)*100</f>
        <v>4.6129150850101865</v>
      </c>
      <c r="N56" s="312">
        <f>('FTE Pivot Table'!$C$502)*100</f>
        <v>0.4430412647155899</v>
      </c>
      <c r="O56" s="314">
        <f>('FTE Pivot Table'!$C$505)*100</f>
        <v>0.24663507215860803</v>
      </c>
      <c r="P56" s="312">
        <f>('FTE Pivot Table'!$C$508)*100</f>
        <v>0</v>
      </c>
      <c r="Q56" s="42">
        <f t="shared" si="4"/>
        <v>100</v>
      </c>
      <c r="R56" s="42">
        <f t="shared" si="5"/>
        <v>100</v>
      </c>
      <c r="S56" s="55"/>
      <c r="T56" s="55"/>
      <c r="U56" s="55"/>
      <c r="V56" s="55"/>
      <c r="W56" s="55"/>
      <c r="X56" s="55"/>
      <c r="Y56" s="55"/>
      <c r="Z56" s="55"/>
      <c r="AA56" s="55"/>
      <c r="AB56" s="55"/>
      <c r="AC56" s="55"/>
      <c r="AD56" s="55"/>
      <c r="AE56" s="55"/>
      <c r="AF56" s="55"/>
      <c r="AG56" s="55"/>
      <c r="AH56" s="55"/>
      <c r="AI56" s="55"/>
      <c r="AJ56" s="55"/>
      <c r="AK56" s="55"/>
      <c r="AL56" s="55"/>
      <c r="AM56" s="55"/>
      <c r="AN56" s="55"/>
      <c r="AO56" s="55"/>
    </row>
    <row r="57" spans="1:41" ht="15.75" customHeight="1">
      <c r="A57" s="43" t="s">
        <v>558</v>
      </c>
      <c r="B57" s="312">
        <f>('FTE Pivot Table'!$C$511)*100</f>
        <v>0</v>
      </c>
      <c r="C57" s="312">
        <f>('FTE Pivot Table'!$C$514)*100</f>
        <v>0</v>
      </c>
      <c r="D57" s="130">
        <f>SUM(E57:G57)</f>
        <v>0</v>
      </c>
      <c r="E57" s="312">
        <f>('FTE Pivot Table'!$C$517)*100</f>
        <v>0</v>
      </c>
      <c r="F57" s="312">
        <f>('FTE Pivot Table'!$C$520)*100</f>
        <v>0</v>
      </c>
      <c r="G57" s="314">
        <f>('FTE Pivot Table'!$C$523)*100</f>
        <v>0</v>
      </c>
      <c r="H57" s="312">
        <f>('FTE Pivot Table'!$C$526)*100</f>
        <v>0</v>
      </c>
      <c r="I57" s="43" t="s">
        <v>558</v>
      </c>
      <c r="J57" s="312">
        <f>('FTE Pivot Table'!$C$529)*100</f>
        <v>0</v>
      </c>
      <c r="K57" s="312">
        <f>('FTE Pivot Table'!$C$532)*100</f>
        <v>0</v>
      </c>
      <c r="L57" s="130">
        <f>SUM(M57:O57)</f>
        <v>0</v>
      </c>
      <c r="M57" s="312">
        <f>('FTE Pivot Table'!$C$535)*100</f>
        <v>0</v>
      </c>
      <c r="N57" s="312">
        <f>('FTE Pivot Table'!$C$538)*100</f>
        <v>0</v>
      </c>
      <c r="O57" s="314">
        <f>('FTE Pivot Table'!$C$541)*100</f>
        <v>0</v>
      </c>
      <c r="P57" s="312">
        <f>('FTE Pivot Table'!$C$544)*100</f>
        <v>0</v>
      </c>
      <c r="Q57" s="42">
        <f t="shared" si="4"/>
        <v>0</v>
      </c>
      <c r="R57" s="42">
        <f t="shared" si="5"/>
        <v>0</v>
      </c>
      <c r="S57" s="55"/>
      <c r="T57" s="55"/>
      <c r="U57" s="55"/>
      <c r="V57" s="55"/>
      <c r="W57" s="55"/>
      <c r="X57" s="55"/>
      <c r="Y57" s="55"/>
      <c r="Z57" s="55"/>
      <c r="AA57" s="55"/>
      <c r="AB57" s="55"/>
      <c r="AC57" s="55"/>
      <c r="AD57" s="55"/>
      <c r="AE57" s="55"/>
      <c r="AF57" s="55"/>
      <c r="AG57" s="55"/>
      <c r="AH57" s="55"/>
      <c r="AI57" s="55"/>
      <c r="AJ57" s="55"/>
      <c r="AK57" s="55"/>
      <c r="AL57" s="55"/>
      <c r="AM57" s="55"/>
      <c r="AN57" s="55"/>
      <c r="AO57" s="55"/>
    </row>
    <row r="58" spans="1:41" ht="15.75" customHeight="1">
      <c r="A58" s="37" t="s">
        <v>610</v>
      </c>
      <c r="B58" s="316">
        <f>('FTE Pivot Table'!$C$547)*100</f>
        <v>98.03793064090338</v>
      </c>
      <c r="C58" s="316">
        <f>('FTE Pivot Table'!$C$550)*100</f>
        <v>0.06369637814293762</v>
      </c>
      <c r="D58" s="132">
        <f>SUM(E58:G58)</f>
        <v>1.8983729809536785</v>
      </c>
      <c r="E58" s="316">
        <f>('FTE Pivot Table'!$C$553)*100</f>
        <v>1.8085353146711538</v>
      </c>
      <c r="F58" s="316">
        <f>('FTE Pivot Table'!$C$556)*100</f>
        <v>0</v>
      </c>
      <c r="G58" s="317">
        <f>('FTE Pivot Table'!$C$559)*100</f>
        <v>0.08983766628252474</v>
      </c>
      <c r="H58" s="316">
        <f>('FTE Pivot Table'!$C$562)*100</f>
        <v>0</v>
      </c>
      <c r="I58" s="37" t="s">
        <v>599</v>
      </c>
      <c r="J58" s="316">
        <f>('FTE Pivot Table'!$C$565)*100</f>
        <v>79.32123497525336</v>
      </c>
      <c r="K58" s="316">
        <f>('FTE Pivot Table'!$C$568)*100</f>
        <v>10.256893707282583</v>
      </c>
      <c r="L58" s="132">
        <f>SUM(M58:O58)</f>
        <v>10.41244402545369</v>
      </c>
      <c r="M58" s="316">
        <f>('FTE Pivot Table'!$C$571)*100</f>
        <v>6.193730850813104</v>
      </c>
      <c r="N58" s="316">
        <f>('FTE Pivot Table'!$C$574)*100</f>
        <v>4.192788121612067</v>
      </c>
      <c r="O58" s="322">
        <f>('FTE Pivot Table'!$C$577)*100</f>
        <v>0.025925053028517556</v>
      </c>
      <c r="P58" s="323">
        <f>('FTE Pivot Table'!$C$580)*100</f>
        <v>0.009427292010370021</v>
      </c>
      <c r="Q58" s="42">
        <f t="shared" si="4"/>
        <v>100</v>
      </c>
      <c r="R58" s="42">
        <f t="shared" si="5"/>
        <v>100.00000000000001</v>
      </c>
      <c r="S58" s="55"/>
      <c r="T58" s="55"/>
      <c r="U58" s="55"/>
      <c r="V58" s="55"/>
      <c r="W58" s="55"/>
      <c r="X58" s="55"/>
      <c r="Y58" s="55"/>
      <c r="Z58" s="55"/>
      <c r="AA58" s="55"/>
      <c r="AB58" s="55"/>
      <c r="AC58" s="55"/>
      <c r="AD58" s="55"/>
      <c r="AE58" s="55"/>
      <c r="AF58" s="55"/>
      <c r="AG58" s="55"/>
      <c r="AH58" s="55"/>
      <c r="AI58" s="55"/>
      <c r="AJ58" s="55"/>
      <c r="AK58" s="55"/>
      <c r="AL58" s="55"/>
      <c r="AM58" s="55"/>
      <c r="AN58" s="55"/>
      <c r="AO58" s="55"/>
    </row>
    <row r="59" spans="1:41" s="76" customFormat="1" ht="18" customHeight="1">
      <c r="A59" s="133" t="s">
        <v>608</v>
      </c>
      <c r="B59" s="80"/>
      <c r="C59" s="80"/>
      <c r="D59" s="81"/>
      <c r="E59" s="80"/>
      <c r="F59" s="81"/>
      <c r="G59" s="81"/>
      <c r="H59" s="80"/>
      <c r="I59" s="133" t="s">
        <v>608</v>
      </c>
      <c r="J59" s="80"/>
      <c r="K59" s="80"/>
      <c r="L59" s="81"/>
      <c r="M59" s="80"/>
      <c r="N59" s="81"/>
      <c r="O59" s="81"/>
      <c r="P59" s="80"/>
      <c r="Q59" s="80"/>
      <c r="R59" s="80"/>
      <c r="S59" s="82"/>
      <c r="T59" s="82"/>
      <c r="U59" s="82"/>
      <c r="V59" s="82"/>
      <c r="W59" s="82"/>
      <c r="X59" s="82"/>
      <c r="Y59" s="82"/>
      <c r="Z59" s="82"/>
      <c r="AA59" s="82"/>
      <c r="AB59" s="82"/>
      <c r="AC59" s="82"/>
      <c r="AD59" s="82"/>
      <c r="AE59" s="82"/>
      <c r="AF59" s="82"/>
      <c r="AG59" s="82"/>
      <c r="AH59" s="82"/>
      <c r="AI59" s="82"/>
      <c r="AJ59" s="82"/>
      <c r="AK59" s="82"/>
      <c r="AL59" s="82"/>
      <c r="AM59" s="82"/>
      <c r="AN59" s="82"/>
      <c r="AO59" s="82"/>
    </row>
    <row r="60" spans="1:18" s="76" customFormat="1" ht="13.5" customHeight="1">
      <c r="A60" s="134" t="s">
        <v>758</v>
      </c>
      <c r="B60" s="75"/>
      <c r="H60" s="74"/>
      <c r="I60" s="134" t="s">
        <v>758</v>
      </c>
      <c r="P60" s="77"/>
      <c r="Q60" s="78"/>
      <c r="R60" s="79"/>
    </row>
    <row r="61" spans="8:18" s="76" customFormat="1" ht="13.5" customHeight="1">
      <c r="H61" s="343" t="s">
        <v>439</v>
      </c>
      <c r="P61" s="343" t="s">
        <v>439</v>
      </c>
      <c r="Q61" s="78"/>
      <c r="R61" s="79"/>
    </row>
    <row r="62" spans="1:18" ht="18">
      <c r="A62" s="34" t="s">
        <v>573</v>
      </c>
      <c r="B62" s="35"/>
      <c r="C62" s="35"/>
      <c r="D62" s="35"/>
      <c r="E62" s="35"/>
      <c r="F62" s="35"/>
      <c r="G62" s="35"/>
      <c r="H62" s="53"/>
      <c r="I62" s="34" t="s">
        <v>588</v>
      </c>
      <c r="J62" s="36"/>
      <c r="K62" s="36"/>
      <c r="L62" s="35"/>
      <c r="M62" s="36"/>
      <c r="N62" s="36"/>
      <c r="O62" s="36"/>
      <c r="P62" s="36"/>
      <c r="Q62" s="67"/>
      <c r="R62" s="68"/>
    </row>
    <row r="63" spans="1:18" ht="12.75">
      <c r="A63" s="90"/>
      <c r="B63" s="36"/>
      <c r="C63" s="36"/>
      <c r="D63" s="36"/>
      <c r="E63" s="36"/>
      <c r="F63" s="36"/>
      <c r="G63" s="36"/>
      <c r="H63" s="48"/>
      <c r="I63" s="90"/>
      <c r="J63" s="36"/>
      <c r="K63" s="36"/>
      <c r="L63" s="36"/>
      <c r="M63" s="36"/>
      <c r="N63" s="36"/>
      <c r="O63" s="36"/>
      <c r="P63" s="36"/>
      <c r="R63" s="70"/>
    </row>
    <row r="64" spans="1:18" ht="15.75">
      <c r="A64" s="45" t="s">
        <v>595</v>
      </c>
      <c r="B64" s="36"/>
      <c r="C64" s="36"/>
      <c r="D64" s="36"/>
      <c r="E64" s="36"/>
      <c r="F64" s="36"/>
      <c r="G64" s="36"/>
      <c r="H64" s="48"/>
      <c r="I64" s="45" t="s">
        <v>596</v>
      </c>
      <c r="J64" s="36"/>
      <c r="K64" s="36"/>
      <c r="L64" s="36"/>
      <c r="M64" s="36"/>
      <c r="N64" s="36"/>
      <c r="O64" s="36"/>
      <c r="P64" s="36"/>
      <c r="R64" s="70" t="s">
        <v>73</v>
      </c>
    </row>
    <row r="65" spans="1:18" ht="15.75">
      <c r="A65" s="45" t="s">
        <v>807</v>
      </c>
      <c r="B65" s="36"/>
      <c r="C65" s="36"/>
      <c r="D65" s="36"/>
      <c r="E65" s="36"/>
      <c r="F65" s="36"/>
      <c r="G65" s="36"/>
      <c r="H65" s="48"/>
      <c r="I65" s="45" t="s">
        <v>807</v>
      </c>
      <c r="J65" s="36"/>
      <c r="K65" s="36"/>
      <c r="L65" s="36"/>
      <c r="M65" s="36"/>
      <c r="N65" s="36"/>
      <c r="O65" s="36"/>
      <c r="P65" s="36"/>
      <c r="R65" s="70" t="s">
        <v>73</v>
      </c>
    </row>
    <row r="66" spans="1:16" ht="12.75">
      <c r="A66" s="37"/>
      <c r="B66" s="38"/>
      <c r="C66" s="38"/>
      <c r="D66" s="38"/>
      <c r="E66" s="38"/>
      <c r="F66" s="38"/>
      <c r="G66" s="38"/>
      <c r="H66" s="38"/>
      <c r="I66" s="39"/>
      <c r="L66" s="40"/>
      <c r="P66" s="37"/>
    </row>
    <row r="67" spans="1:18" s="102" customFormat="1" ht="12">
      <c r="A67" s="97"/>
      <c r="B67" s="98" t="s">
        <v>315</v>
      </c>
      <c r="C67" s="98"/>
      <c r="D67" s="98"/>
      <c r="E67" s="98"/>
      <c r="F67" s="98"/>
      <c r="G67" s="98"/>
      <c r="H67" s="99"/>
      <c r="I67" s="97"/>
      <c r="J67" s="98" t="s">
        <v>315</v>
      </c>
      <c r="K67" s="98"/>
      <c r="L67" s="98"/>
      <c r="M67" s="98"/>
      <c r="N67" s="98"/>
      <c r="O67" s="98"/>
      <c r="P67" s="99"/>
      <c r="Q67" s="100"/>
      <c r="R67" s="101"/>
    </row>
    <row r="68" spans="1:18" s="102" customFormat="1" ht="12">
      <c r="A68" s="97"/>
      <c r="B68" s="98" t="s">
        <v>211</v>
      </c>
      <c r="C68" s="98"/>
      <c r="D68" s="421" t="s">
        <v>603</v>
      </c>
      <c r="E68" s="422"/>
      <c r="F68" s="422"/>
      <c r="G68" s="422"/>
      <c r="H68" s="103" t="s">
        <v>73</v>
      </c>
      <c r="I68" s="97"/>
      <c r="J68" s="98" t="s">
        <v>211</v>
      </c>
      <c r="K68" s="98"/>
      <c r="L68" s="421" t="s">
        <v>603</v>
      </c>
      <c r="M68" s="422"/>
      <c r="N68" s="422"/>
      <c r="O68" s="422"/>
      <c r="P68" s="103" t="s">
        <v>73</v>
      </c>
      <c r="Q68" s="100"/>
      <c r="R68" s="101"/>
    </row>
    <row r="69" spans="1:20" s="102" customFormat="1" ht="40.5" customHeight="1">
      <c r="A69" s="97"/>
      <c r="B69" s="104" t="s">
        <v>594</v>
      </c>
      <c r="C69" s="105" t="s">
        <v>593</v>
      </c>
      <c r="D69" s="106" t="s">
        <v>601</v>
      </c>
      <c r="E69" s="107" t="s">
        <v>71</v>
      </c>
      <c r="F69" s="104" t="s">
        <v>212</v>
      </c>
      <c r="G69" s="108" t="s">
        <v>605</v>
      </c>
      <c r="H69" s="109" t="s">
        <v>604</v>
      </c>
      <c r="I69" s="97"/>
      <c r="J69" s="104" t="s">
        <v>594</v>
      </c>
      <c r="K69" s="105" t="s">
        <v>593</v>
      </c>
      <c r="L69" s="106" t="s">
        <v>601</v>
      </c>
      <c r="M69" s="107" t="s">
        <v>71</v>
      </c>
      <c r="N69" s="104" t="s">
        <v>212</v>
      </c>
      <c r="O69" s="108" t="s">
        <v>605</v>
      </c>
      <c r="P69" s="109" t="s">
        <v>604</v>
      </c>
      <c r="Q69" s="110"/>
      <c r="R69" s="111"/>
      <c r="T69" s="112"/>
    </row>
    <row r="70" spans="1:41" ht="15.75" customHeight="1">
      <c r="A70" s="44" t="s">
        <v>548</v>
      </c>
      <c r="B70" s="312">
        <f>('FTE Pivot Table'!$D$7)*100</f>
        <v>0</v>
      </c>
      <c r="C70" s="312">
        <f>('FTE Pivot Table'!$D$10)*100</f>
        <v>0</v>
      </c>
      <c r="D70" s="130">
        <f>SUM(E70:G70)</f>
        <v>0</v>
      </c>
      <c r="E70" s="312">
        <f>('FTE Pivot Table'!$D$13)*100</f>
        <v>0</v>
      </c>
      <c r="F70" s="312">
        <f>('FTE Pivot Table'!$D$16)*100</f>
        <v>0</v>
      </c>
      <c r="G70" s="313">
        <f>('FTE Pivot Table'!$D$19)*100</f>
        <v>0</v>
      </c>
      <c r="H70" s="312">
        <f>('FTE Pivot Table'!$D$22)*100</f>
        <v>0</v>
      </c>
      <c r="I70" s="44" t="s">
        <v>548</v>
      </c>
      <c r="J70" s="312">
        <f>('FTE Pivot Table'!$D$25)*100</f>
        <v>100</v>
      </c>
      <c r="K70" s="312">
        <f>('FTE Pivot Table'!$D$28)*100</f>
        <v>0</v>
      </c>
      <c r="L70" s="130">
        <f>SUM(M70:O70)</f>
        <v>0</v>
      </c>
      <c r="M70" s="312">
        <f>('FTE Pivot Table'!$D$31)*100</f>
        <v>0</v>
      </c>
      <c r="N70" s="312">
        <f>('FTE Pivot Table'!$D$34)*100</f>
        <v>0</v>
      </c>
      <c r="O70" s="313">
        <f>('FTE Pivot Table'!$D$37)*100</f>
        <v>0</v>
      </c>
      <c r="P70" s="312">
        <f>('FTE Pivot Table'!$D$40)*100</f>
        <v>0</v>
      </c>
      <c r="Q70" s="42">
        <f aca="true" t="shared" si="6" ref="Q70:Q88">SUM(B70,C70,D70,H70)</f>
        <v>0</v>
      </c>
      <c r="R70" s="42">
        <f aca="true" t="shared" si="7" ref="R70:R88">SUM(J70,K70,L70,P70)</f>
        <v>100</v>
      </c>
      <c r="S70" s="55"/>
      <c r="T70" s="55"/>
      <c r="U70" s="55"/>
      <c r="V70" s="55"/>
      <c r="W70" s="55"/>
      <c r="X70" s="55"/>
      <c r="Y70" s="55"/>
      <c r="Z70" s="55"/>
      <c r="AA70" s="55"/>
      <c r="AB70" s="55"/>
      <c r="AC70" s="55"/>
      <c r="AD70" s="55"/>
      <c r="AE70" s="55"/>
      <c r="AF70" s="55"/>
      <c r="AG70" s="55"/>
      <c r="AH70" s="55"/>
      <c r="AI70" s="55"/>
      <c r="AJ70" s="55"/>
      <c r="AK70" s="55"/>
      <c r="AL70" s="55"/>
      <c r="AM70" s="55"/>
      <c r="AN70" s="55"/>
      <c r="AO70" s="55"/>
    </row>
    <row r="71" spans="1:41" ht="15.75" customHeight="1">
      <c r="A71" s="43" t="s">
        <v>549</v>
      </c>
      <c r="B71" s="312">
        <f>('FTE Pivot Table'!$D$43)*100</f>
        <v>97.76915461020089</v>
      </c>
      <c r="C71" s="312">
        <f>('FTE Pivot Table'!$D$46)*100</f>
        <v>1.5771879956990622</v>
      </c>
      <c r="D71" s="130">
        <f>SUM(E71:G71)</f>
        <v>0.6536573941000501</v>
      </c>
      <c r="E71" s="312">
        <f>('FTE Pivot Table'!$D$49)*100</f>
        <v>0.16687426144166587</v>
      </c>
      <c r="F71" s="312">
        <f>('FTE Pivot Table'!$D$52)*100</f>
        <v>0.48518624977377495</v>
      </c>
      <c r="G71" s="319">
        <f>('FTE Pivot Table'!$D$55)*100</f>
        <v>0.0015968828846092428</v>
      </c>
      <c r="H71" s="312">
        <f>('FTE Pivot Table'!$D$58)*100</f>
        <v>0</v>
      </c>
      <c r="I71" s="43" t="s">
        <v>549</v>
      </c>
      <c r="J71" s="312">
        <f>('FTE Pivot Table'!$D$61)*100</f>
        <v>86.80864245334159</v>
      </c>
      <c r="K71" s="312">
        <f>('FTE Pivot Table'!$D$64)*100</f>
        <v>4.575234260048014</v>
      </c>
      <c r="L71" s="130">
        <f>SUM(M71:O71)</f>
        <v>8.616123286610392</v>
      </c>
      <c r="M71" s="312">
        <f>('FTE Pivot Table'!$D$67)*100</f>
        <v>2.704251529466429</v>
      </c>
      <c r="N71" s="312">
        <f>('FTE Pivot Table'!$D$70)*100</f>
        <v>4.903585533958027</v>
      </c>
      <c r="O71" s="314">
        <f>('FTE Pivot Table'!$D$73)*100</f>
        <v>1.0082862231859366</v>
      </c>
      <c r="P71" s="312">
        <f>('FTE Pivot Table'!$D$76)*100</f>
        <v>0</v>
      </c>
      <c r="Q71" s="42">
        <f t="shared" si="6"/>
        <v>100</v>
      </c>
      <c r="R71" s="42">
        <f t="shared" si="7"/>
        <v>100</v>
      </c>
      <c r="S71" s="55"/>
      <c r="T71" s="55"/>
      <c r="U71" s="55"/>
      <c r="V71" s="55"/>
      <c r="W71" s="55"/>
      <c r="X71" s="55"/>
      <c r="Y71" s="55"/>
      <c r="Z71" s="55"/>
      <c r="AA71" s="55"/>
      <c r="AB71" s="55"/>
      <c r="AC71" s="55"/>
      <c r="AD71" s="55"/>
      <c r="AE71" s="55"/>
      <c r="AF71" s="55"/>
      <c r="AG71" s="55"/>
      <c r="AH71" s="55"/>
      <c r="AI71" s="55"/>
      <c r="AJ71" s="55"/>
      <c r="AK71" s="55"/>
      <c r="AL71" s="55"/>
      <c r="AM71" s="55"/>
      <c r="AN71" s="55"/>
      <c r="AO71" s="55"/>
    </row>
    <row r="72" spans="1:41" ht="15.75" customHeight="1">
      <c r="A72" s="43" t="s">
        <v>550</v>
      </c>
      <c r="B72" s="312">
        <f>('FTE Pivot Table'!$D$79)*100</f>
        <v>0</v>
      </c>
      <c r="C72" s="312">
        <f>('FTE Pivot Table'!$D$82)*100</f>
        <v>0</v>
      </c>
      <c r="D72" s="130">
        <f>SUM(E72:G72)</f>
        <v>0</v>
      </c>
      <c r="E72" s="312">
        <f>('FTE Pivot Table'!$D$85)*100</f>
        <v>0</v>
      </c>
      <c r="F72" s="312">
        <f>('FTE Pivot Table'!$D$88)*100</f>
        <v>0</v>
      </c>
      <c r="G72" s="314">
        <f>('FTE Pivot Table'!$D$91)*100</f>
        <v>0</v>
      </c>
      <c r="H72" s="312">
        <f>('FTE Pivot Table'!$D$94)*100</f>
        <v>0</v>
      </c>
      <c r="I72" s="43" t="s">
        <v>550</v>
      </c>
      <c r="J72" s="312">
        <f>('FTE Pivot Table'!$D$97)*100</f>
        <v>0</v>
      </c>
      <c r="K72" s="312">
        <f>('FTE Pivot Table'!$D$100)*100</f>
        <v>0</v>
      </c>
      <c r="L72" s="130">
        <f>SUM(M72:O72)</f>
        <v>0</v>
      </c>
      <c r="M72" s="312">
        <f>('FTE Pivot Table'!$D$103)*100</f>
        <v>0</v>
      </c>
      <c r="N72" s="312">
        <f>('FTE Pivot Table'!$D$106)*100</f>
        <v>0</v>
      </c>
      <c r="O72" s="314">
        <f>('FTE Pivot Table'!$D$109)*100</f>
        <v>0</v>
      </c>
      <c r="P72" s="312">
        <f>('FTE Pivot Table'!$D$112)*100</f>
        <v>0</v>
      </c>
      <c r="Q72" s="42">
        <f t="shared" si="6"/>
        <v>0</v>
      </c>
      <c r="R72" s="42">
        <f t="shared" si="7"/>
        <v>0</v>
      </c>
      <c r="S72" s="55"/>
      <c r="T72" s="71"/>
      <c r="U72" s="55"/>
      <c r="V72" s="55"/>
      <c r="W72" s="55"/>
      <c r="X72" s="55"/>
      <c r="Y72" s="55"/>
      <c r="Z72" s="55"/>
      <c r="AA72" s="55"/>
      <c r="AB72" s="55"/>
      <c r="AC72" s="55"/>
      <c r="AD72" s="55"/>
      <c r="AE72" s="55"/>
      <c r="AF72" s="55"/>
      <c r="AG72" s="55"/>
      <c r="AH72" s="55"/>
      <c r="AI72" s="55"/>
      <c r="AJ72" s="55"/>
      <c r="AK72" s="55"/>
      <c r="AL72" s="55"/>
      <c r="AM72" s="55"/>
      <c r="AN72" s="55"/>
      <c r="AO72" s="55"/>
    </row>
    <row r="73" spans="1:41" ht="15.75" customHeight="1">
      <c r="A73" s="43" t="s">
        <v>551</v>
      </c>
      <c r="B73" s="312">
        <f>('FTE Pivot Table'!$D$115)*100</f>
        <v>74.46763374232003</v>
      </c>
      <c r="C73" s="312">
        <f>('FTE Pivot Table'!$D$118)*100</f>
        <v>15.657220816845395</v>
      </c>
      <c r="D73" s="130">
        <f>SUM(E73:G73)</f>
        <v>9.875145440834565</v>
      </c>
      <c r="E73" s="312">
        <f>('FTE Pivot Table'!$D$121)*100</f>
        <v>8.692864933190638</v>
      </c>
      <c r="F73" s="312">
        <f>('FTE Pivot Table'!$D$124)*100</f>
        <v>0.283117861561911</v>
      </c>
      <c r="G73" s="314">
        <f>('FTE Pivot Table'!$D$127)*100</f>
        <v>0.899162646082016</v>
      </c>
      <c r="H73" s="312">
        <f>('FTE Pivot Table'!$D$130)*100</f>
        <v>0</v>
      </c>
      <c r="I73" s="43" t="s">
        <v>551</v>
      </c>
      <c r="J73" s="312">
        <f>('FTE Pivot Table'!$D$133)*100</f>
        <v>63.01726408963979</v>
      </c>
      <c r="K73" s="312">
        <f>('FTE Pivot Table'!$D$136)*100</f>
        <v>18.432708688245313</v>
      </c>
      <c r="L73" s="130">
        <f>SUM(M73:O73)</f>
        <v>18.550027222114895</v>
      </c>
      <c r="M73" s="312">
        <f>('FTE Pivot Table'!$D$139)*100</f>
        <v>15.372240467869123</v>
      </c>
      <c r="N73" s="312">
        <f>('FTE Pivot Table'!$D$142)*100</f>
        <v>0.4060485783030963</v>
      </c>
      <c r="O73" s="314">
        <f>('FTE Pivot Table'!$D$145)*100</f>
        <v>2.771738175942675</v>
      </c>
      <c r="P73" s="312">
        <f>('FTE Pivot Table'!$D$148)*100</f>
        <v>0</v>
      </c>
      <c r="Q73" s="42">
        <f t="shared" si="6"/>
        <v>100</v>
      </c>
      <c r="R73" s="42">
        <f t="shared" si="7"/>
        <v>100</v>
      </c>
      <c r="S73" s="55"/>
      <c r="U73" s="55"/>
      <c r="V73" s="55"/>
      <c r="W73" s="55"/>
      <c r="X73" s="55"/>
      <c r="Y73" s="55"/>
      <c r="Z73" s="55"/>
      <c r="AA73" s="55"/>
      <c r="AB73" s="55"/>
      <c r="AC73" s="55"/>
      <c r="AD73" s="55"/>
      <c r="AE73" s="55"/>
      <c r="AF73" s="55"/>
      <c r="AG73" s="55"/>
      <c r="AH73" s="55"/>
      <c r="AI73" s="55"/>
      <c r="AJ73" s="55"/>
      <c r="AK73" s="55"/>
      <c r="AL73" s="55"/>
      <c r="AM73" s="55"/>
      <c r="AN73" s="55"/>
      <c r="AO73" s="55"/>
    </row>
    <row r="74" spans="1:41" ht="15.75" customHeight="1">
      <c r="A74" s="43"/>
      <c r="B74" s="115"/>
      <c r="C74" s="116"/>
      <c r="D74" s="130"/>
      <c r="E74" s="115"/>
      <c r="F74" s="115"/>
      <c r="G74" s="116"/>
      <c r="H74" s="115"/>
      <c r="I74" s="43"/>
      <c r="J74" s="115"/>
      <c r="K74" s="116"/>
      <c r="L74" s="130"/>
      <c r="M74" s="115"/>
      <c r="N74" s="115"/>
      <c r="O74" s="116"/>
      <c r="P74" s="115"/>
      <c r="Q74" s="42">
        <f t="shared" si="6"/>
        <v>0</v>
      </c>
      <c r="R74" s="42">
        <f t="shared" si="7"/>
        <v>0</v>
      </c>
      <c r="S74" s="55"/>
      <c r="U74" s="55"/>
      <c r="V74" s="55"/>
      <c r="W74" s="55"/>
      <c r="X74" s="55"/>
      <c r="Y74" s="55"/>
      <c r="Z74" s="55"/>
      <c r="AA74" s="55"/>
      <c r="AB74" s="55"/>
      <c r="AC74" s="55"/>
      <c r="AD74" s="55"/>
      <c r="AE74" s="55"/>
      <c r="AF74" s="55"/>
      <c r="AG74" s="55"/>
      <c r="AH74" s="55"/>
      <c r="AI74" s="55"/>
      <c r="AJ74" s="55"/>
      <c r="AK74" s="55"/>
      <c r="AL74" s="55"/>
      <c r="AM74" s="55"/>
      <c r="AN74" s="55"/>
      <c r="AO74" s="55"/>
    </row>
    <row r="75" spans="1:41" ht="15.75" customHeight="1">
      <c r="A75" s="43" t="s">
        <v>552</v>
      </c>
      <c r="B75" s="312">
        <f>('FTE Pivot Table'!$D$151)*100</f>
        <v>96.64490914686907</v>
      </c>
      <c r="C75" s="312">
        <f>('FTE Pivot Table'!$D$154)*100</f>
        <v>2.473562871295753</v>
      </c>
      <c r="D75" s="130">
        <f>SUM(E75:G75)</f>
        <v>0.881527981835181</v>
      </c>
      <c r="E75" s="312">
        <f>('FTE Pivot Table'!$D$157)*100</f>
        <v>0.11701441919617192</v>
      </c>
      <c r="F75" s="312">
        <f>('FTE Pivot Table'!$D$160)*100</f>
        <v>0.6173018739728573</v>
      </c>
      <c r="G75" s="314">
        <f>('FTE Pivot Table'!$D$163)*100</f>
        <v>0.14721168866615178</v>
      </c>
      <c r="H75" s="312">
        <f>('FTE Pivot Table'!$D$166)*100</f>
        <v>0</v>
      </c>
      <c r="I75" s="43" t="s">
        <v>552</v>
      </c>
      <c r="J75" s="312">
        <f>('FTE Pivot Table'!$D$169)*100</f>
        <v>96.56535275183367</v>
      </c>
      <c r="K75" s="312">
        <f>('FTE Pivot Table'!$D$172)*100</f>
        <v>1.7381668513534905</v>
      </c>
      <c r="L75" s="130">
        <f>SUM(M75:O75)</f>
        <v>1.696480396812833</v>
      </c>
      <c r="M75" s="312">
        <f>('FTE Pivot Table'!$D$175)*100</f>
        <v>0.27069811619439604</v>
      </c>
      <c r="N75" s="312">
        <f>('FTE Pivot Table'!$D$178)*100</f>
        <v>0.06965331644768086</v>
      </c>
      <c r="O75" s="314">
        <f>('FTE Pivot Table'!$D$181)*100</f>
        <v>1.3561289641707561</v>
      </c>
      <c r="P75" s="312">
        <f>('FTE Pivot Table'!$D$184)*100</f>
        <v>0</v>
      </c>
      <c r="Q75" s="42">
        <f t="shared" si="6"/>
        <v>100</v>
      </c>
      <c r="R75" s="42">
        <f t="shared" si="7"/>
        <v>100</v>
      </c>
      <c r="S75" s="55"/>
      <c r="T75" s="55"/>
      <c r="U75" s="55"/>
      <c r="V75" s="55"/>
      <c r="W75" s="55"/>
      <c r="X75" s="55"/>
      <c r="Y75" s="55"/>
      <c r="Z75" s="55"/>
      <c r="AA75" s="55"/>
      <c r="AB75" s="55"/>
      <c r="AC75" s="55"/>
      <c r="AD75" s="55"/>
      <c r="AE75" s="55"/>
      <c r="AF75" s="55"/>
      <c r="AG75" s="55"/>
      <c r="AH75" s="55"/>
      <c r="AI75" s="55"/>
      <c r="AJ75" s="55"/>
      <c r="AK75" s="55"/>
      <c r="AL75" s="55"/>
      <c r="AM75" s="55"/>
      <c r="AN75" s="55"/>
      <c r="AO75" s="55"/>
    </row>
    <row r="76" spans="1:41" ht="15.75" customHeight="1">
      <c r="A76" s="43" t="s">
        <v>553</v>
      </c>
      <c r="B76" s="312">
        <f>('FTE Pivot Table'!$D$187)*100</f>
        <v>62.98245709898721</v>
      </c>
      <c r="C76" s="312">
        <f>('FTE Pivot Table'!$D$190)*100</f>
        <v>1.5252023813101578</v>
      </c>
      <c r="D76" s="130">
        <f>SUM(E76:G76)</f>
        <v>35.49234051970263</v>
      </c>
      <c r="E76" s="312">
        <f>('FTE Pivot Table'!$D$193)*100</f>
        <v>35.298087247313646</v>
      </c>
      <c r="F76" s="312">
        <f>('FTE Pivot Table'!$D$196)*100</f>
        <v>0</v>
      </c>
      <c r="G76" s="314">
        <f>('FTE Pivot Table'!$D$199)*100</f>
        <v>0.1942532723889874</v>
      </c>
      <c r="H76" s="312">
        <f>('FTE Pivot Table'!$D$202)*100</f>
        <v>0</v>
      </c>
      <c r="I76" s="43" t="s">
        <v>553</v>
      </c>
      <c r="J76" s="312">
        <f>('FTE Pivot Table'!$D$205)*100</f>
        <v>67.26379883723712</v>
      </c>
      <c r="K76" s="312">
        <f>('FTE Pivot Table'!$D$208)*100</f>
        <v>8.062779625331961</v>
      </c>
      <c r="L76" s="130">
        <f>SUM(M76:O76)</f>
        <v>24.673421537430915</v>
      </c>
      <c r="M76" s="312">
        <f>('FTE Pivot Table'!$D$211)*100</f>
        <v>24.666243988803025</v>
      </c>
      <c r="N76" s="312">
        <f>('FTE Pivot Table'!$D$214)*100</f>
        <v>0</v>
      </c>
      <c r="O76" s="318">
        <f>('FTE Pivot Table'!$D$217)*100</f>
        <v>0.007177548627891954</v>
      </c>
      <c r="P76" s="312">
        <f>('FTE Pivot Table'!$D$220)*100</f>
        <v>0</v>
      </c>
      <c r="Q76" s="42">
        <f t="shared" si="6"/>
        <v>100</v>
      </c>
      <c r="R76" s="42">
        <f t="shared" si="7"/>
        <v>99.99999999999999</v>
      </c>
      <c r="S76" s="55"/>
      <c r="T76" s="55"/>
      <c r="U76" s="55"/>
      <c r="V76" s="55"/>
      <c r="W76" s="55"/>
      <c r="X76" s="55"/>
      <c r="Y76" s="55"/>
      <c r="Z76" s="55"/>
      <c r="AA76" s="55"/>
      <c r="AB76" s="55"/>
      <c r="AC76" s="55"/>
      <c r="AD76" s="55"/>
      <c r="AE76" s="55"/>
      <c r="AF76" s="55"/>
      <c r="AG76" s="55"/>
      <c r="AH76" s="55"/>
      <c r="AI76" s="55"/>
      <c r="AJ76" s="55"/>
      <c r="AK76" s="55"/>
      <c r="AL76" s="55"/>
      <c r="AM76" s="55"/>
      <c r="AN76" s="55"/>
      <c r="AO76" s="55"/>
    </row>
    <row r="77" spans="1:41" ht="15.75" customHeight="1">
      <c r="A77" s="43" t="s">
        <v>554</v>
      </c>
      <c r="B77" s="312">
        <f>('FTE Pivot Table'!$D$223)*100</f>
        <v>95.08843937338702</v>
      </c>
      <c r="C77" s="312">
        <f>('FTE Pivot Table'!$D$226)*100</f>
        <v>3.531776958570084</v>
      </c>
      <c r="D77" s="130">
        <f>SUM(E77:G77)</f>
        <v>1.3797836680428996</v>
      </c>
      <c r="E77" s="312">
        <f>('FTE Pivot Table'!$D$229)*100</f>
        <v>0.6832174187406794</v>
      </c>
      <c r="F77" s="312">
        <f>('FTE Pivot Table'!$D$232)*100</f>
        <v>0.28679760206461913</v>
      </c>
      <c r="G77" s="314">
        <f>('FTE Pivot Table'!$D$235)*100</f>
        <v>0.40976864723760115</v>
      </c>
      <c r="H77" s="312">
        <f>('FTE Pivot Table'!$D$238)*100</f>
        <v>0</v>
      </c>
      <c r="I77" s="43" t="s">
        <v>554</v>
      </c>
      <c r="J77" s="312">
        <f>('FTE Pivot Table'!$D$241)*100</f>
        <v>86.32393552116113</v>
      </c>
      <c r="K77" s="312">
        <f>('FTE Pivot Table'!$D$244)*100</f>
        <v>11.335174362597137</v>
      </c>
      <c r="L77" s="130">
        <f>SUM(M77:O77)</f>
        <v>2.3408901162417313</v>
      </c>
      <c r="M77" s="312">
        <f>('FTE Pivot Table'!$D$247)*100</f>
        <v>1.579859996146683</v>
      </c>
      <c r="N77" s="312">
        <f>('FTE Pivot Table'!$D$250)*100</f>
        <v>0.7385524372230428</v>
      </c>
      <c r="O77" s="318">
        <f>('FTE Pivot Table'!$D$253)*100</f>
        <v>0.02247768287200565</v>
      </c>
      <c r="P77" s="312">
        <f>('FTE Pivot Table'!$D$256)*100</f>
        <v>0</v>
      </c>
      <c r="Q77" s="42">
        <f t="shared" si="6"/>
        <v>100</v>
      </c>
      <c r="R77" s="42">
        <f t="shared" si="7"/>
        <v>100.00000000000001</v>
      </c>
      <c r="S77" s="55"/>
      <c r="T77" s="71"/>
      <c r="U77" s="55"/>
      <c r="V77" s="55"/>
      <c r="W77" s="55"/>
      <c r="X77" s="55"/>
      <c r="Y77" s="55"/>
      <c r="Z77" s="55"/>
      <c r="AA77" s="55"/>
      <c r="AB77" s="55"/>
      <c r="AC77" s="55"/>
      <c r="AD77" s="55"/>
      <c r="AE77" s="55"/>
      <c r="AF77" s="55"/>
      <c r="AG77" s="55"/>
      <c r="AH77" s="55"/>
      <c r="AI77" s="55"/>
      <c r="AJ77" s="55"/>
      <c r="AK77" s="55"/>
      <c r="AL77" s="55"/>
      <c r="AM77" s="55"/>
      <c r="AN77" s="55"/>
      <c r="AO77" s="55"/>
    </row>
    <row r="78" spans="1:41" ht="15.75" customHeight="1">
      <c r="A78" s="43" t="s">
        <v>555</v>
      </c>
      <c r="B78" s="312">
        <f>('FTE Pivot Table'!$D$259)*100</f>
        <v>99.05961813222497</v>
      </c>
      <c r="C78" s="312">
        <f>('FTE Pivot Table'!$D$262)*100</f>
        <v>0.9403818677750357</v>
      </c>
      <c r="D78" s="130">
        <f>SUM(E78:G78)</f>
        <v>0</v>
      </c>
      <c r="E78" s="312">
        <f>('FTE Pivot Table'!$D$265)*100</f>
        <v>0</v>
      </c>
      <c r="F78" s="312">
        <f>('FTE Pivot Table'!$D$268)*100</f>
        <v>0</v>
      </c>
      <c r="G78" s="314">
        <f>('FTE Pivot Table'!$D$271)*100</f>
        <v>0</v>
      </c>
      <c r="H78" s="312">
        <f>('FTE Pivot Table'!$D$274)*100</f>
        <v>0</v>
      </c>
      <c r="I78" s="43" t="s">
        <v>555</v>
      </c>
      <c r="J78" s="312">
        <f>('FTE Pivot Table'!$D$277)*100</f>
        <v>84.89461358313818</v>
      </c>
      <c r="K78" s="312">
        <f>('FTE Pivot Table'!$D$280)*100</f>
        <v>2.4725274725274726</v>
      </c>
      <c r="L78" s="130">
        <f>SUM(M78:O78)</f>
        <v>12.632858944334352</v>
      </c>
      <c r="M78" s="312">
        <f>('FTE Pivot Table'!$D$283)*100</f>
        <v>12.605836786164653</v>
      </c>
      <c r="N78" s="315">
        <f>('FTE Pivot Table'!$D$286)*100</f>
        <v>0.027022158169699155</v>
      </c>
      <c r="O78" s="314">
        <f>('FTE Pivot Table'!$D$289)*100</f>
        <v>0</v>
      </c>
      <c r="P78" s="312">
        <f>('FTE Pivot Table'!$D$292)*100</f>
        <v>0</v>
      </c>
      <c r="Q78" s="42">
        <f t="shared" si="6"/>
        <v>100</v>
      </c>
      <c r="R78" s="42">
        <f t="shared" si="7"/>
        <v>100</v>
      </c>
      <c r="S78" s="55"/>
      <c r="U78" s="55"/>
      <c r="V78" s="55"/>
      <c r="W78" s="55"/>
      <c r="X78" s="55"/>
      <c r="Y78" s="55"/>
      <c r="Z78" s="55"/>
      <c r="AA78" s="55"/>
      <c r="AB78" s="55"/>
      <c r="AC78" s="55"/>
      <c r="AD78" s="55"/>
      <c r="AE78" s="55"/>
      <c r="AF78" s="55"/>
      <c r="AG78" s="55"/>
      <c r="AH78" s="55"/>
      <c r="AI78" s="55"/>
      <c r="AJ78" s="55"/>
      <c r="AK78" s="55"/>
      <c r="AL78" s="55"/>
      <c r="AM78" s="55"/>
      <c r="AN78" s="55"/>
      <c r="AO78" s="55"/>
    </row>
    <row r="79" spans="1:41" ht="15.75" customHeight="1">
      <c r="A79" s="43"/>
      <c r="B79" s="115"/>
      <c r="C79" s="116"/>
      <c r="D79" s="130"/>
      <c r="E79" s="115"/>
      <c r="F79" s="115"/>
      <c r="G79" s="116"/>
      <c r="H79" s="115"/>
      <c r="I79" s="43"/>
      <c r="J79" s="115"/>
      <c r="K79" s="116"/>
      <c r="L79" s="130"/>
      <c r="M79" s="115"/>
      <c r="N79" s="115"/>
      <c r="O79" s="116"/>
      <c r="P79" s="115"/>
      <c r="Q79" s="42">
        <f t="shared" si="6"/>
        <v>0</v>
      </c>
      <c r="R79" s="42">
        <f t="shared" si="7"/>
        <v>0</v>
      </c>
      <c r="S79" s="55"/>
      <c r="U79" s="55"/>
      <c r="V79" s="55"/>
      <c r="W79" s="55"/>
      <c r="X79" s="55"/>
      <c r="Y79" s="55"/>
      <c r="Z79" s="55"/>
      <c r="AA79" s="55"/>
      <c r="AB79" s="55"/>
      <c r="AC79" s="55"/>
      <c r="AD79" s="55"/>
      <c r="AE79" s="55"/>
      <c r="AF79" s="55"/>
      <c r="AG79" s="55"/>
      <c r="AH79" s="55"/>
      <c r="AI79" s="55"/>
      <c r="AJ79" s="55"/>
      <c r="AK79" s="55"/>
      <c r="AL79" s="55"/>
      <c r="AM79" s="55"/>
      <c r="AN79" s="55"/>
      <c r="AO79" s="55"/>
    </row>
    <row r="80" spans="1:41" ht="15.75" customHeight="1">
      <c r="A80" s="43" t="s">
        <v>206</v>
      </c>
      <c r="B80" s="312">
        <f>('FTE Pivot Table'!$D$295)*100</f>
        <v>92.31704777011153</v>
      </c>
      <c r="C80" s="312">
        <f>('FTE Pivot Table'!$D$298)*100</f>
        <v>3.4901588938459764</v>
      </c>
      <c r="D80" s="130">
        <f>SUM(E80:G80)</f>
        <v>3.8698786266001903</v>
      </c>
      <c r="E80" s="312">
        <f>('FTE Pivot Table'!$D$301)*100</f>
        <v>2.4717467835976223</v>
      </c>
      <c r="F80" s="312">
        <f>('FTE Pivot Table'!$D$304)*100</f>
        <v>0.9317480362212133</v>
      </c>
      <c r="G80" s="314">
        <f>('FTE Pivot Table'!$D$307)*100</f>
        <v>0.46638380678135455</v>
      </c>
      <c r="H80" s="312">
        <f>('FTE Pivot Table'!$D$310)*100</f>
        <v>0.3229147094423057</v>
      </c>
      <c r="I80" s="43" t="s">
        <v>206</v>
      </c>
      <c r="J80" s="312">
        <f>('FTE Pivot Table'!$D$313)*100</f>
        <v>84.74757141768228</v>
      </c>
      <c r="K80" s="312">
        <f>('FTE Pivot Table'!$D$316)*100</f>
        <v>7.89935040187003</v>
      </c>
      <c r="L80" s="130">
        <f>SUM(M80:O80)</f>
        <v>7.353078180447689</v>
      </c>
      <c r="M80" s="312">
        <f>('FTE Pivot Table'!$D$319)*100</f>
        <v>5.034173773851769</v>
      </c>
      <c r="N80" s="312">
        <f>('FTE Pivot Table'!$D$322)*100</f>
        <v>0.5445783540690928</v>
      </c>
      <c r="O80" s="314">
        <f>('FTE Pivot Table'!$D$325)*100</f>
        <v>1.7743260525268267</v>
      </c>
      <c r="P80" s="312">
        <f>('FTE Pivot Table'!$D$328)*100</f>
        <v>0</v>
      </c>
      <c r="Q80" s="42">
        <f t="shared" si="6"/>
        <v>100</v>
      </c>
      <c r="R80" s="42">
        <f t="shared" si="7"/>
        <v>100</v>
      </c>
      <c r="S80" s="55"/>
      <c r="T80" s="55"/>
      <c r="U80" s="55"/>
      <c r="V80" s="55"/>
      <c r="W80" s="55"/>
      <c r="X80" s="55"/>
      <c r="Y80" s="55"/>
      <c r="Z80" s="55"/>
      <c r="AA80" s="55"/>
      <c r="AB80" s="55"/>
      <c r="AC80" s="55"/>
      <c r="AD80" s="55"/>
      <c r="AE80" s="55"/>
      <c r="AF80" s="55"/>
      <c r="AG80" s="55"/>
      <c r="AH80" s="55"/>
      <c r="AI80" s="55"/>
      <c r="AJ80" s="55"/>
      <c r="AK80" s="55"/>
      <c r="AL80" s="55"/>
      <c r="AM80" s="55"/>
      <c r="AN80" s="55"/>
      <c r="AO80" s="55"/>
    </row>
    <row r="81" spans="1:41" ht="15.75" customHeight="1">
      <c r="A81" s="43" t="s">
        <v>214</v>
      </c>
      <c r="B81" s="312">
        <f>('FTE Pivot Table'!$D$331)*100</f>
        <v>95.5785336053979</v>
      </c>
      <c r="C81" s="312">
        <f>('FTE Pivot Table'!$D$334)*100</f>
        <v>2.4147816181164954</v>
      </c>
      <c r="D81" s="130">
        <f>SUM(E81:G81)</f>
        <v>2.00668477648561</v>
      </c>
      <c r="E81" s="312">
        <f>('FTE Pivot Table'!$D$337)*100</f>
        <v>1.9750760487212546</v>
      </c>
      <c r="F81" s="315">
        <f>('FTE Pivot Table'!$D$340)*100</f>
        <v>0.031608727764355374</v>
      </c>
      <c r="G81" s="314">
        <f>('FTE Pivot Table'!$D$343)*100</f>
        <v>0</v>
      </c>
      <c r="H81" s="312">
        <f>('FTE Pivot Table'!$D$346)*100</f>
        <v>0</v>
      </c>
      <c r="I81" s="43" t="s">
        <v>214</v>
      </c>
      <c r="J81" s="312">
        <f>('FTE Pivot Table'!$D$349)*100</f>
        <v>82.58858115426273</v>
      </c>
      <c r="K81" s="312">
        <f>('FTE Pivot Table'!$D$352)*100</f>
        <v>8.947857032337923</v>
      </c>
      <c r="L81" s="130">
        <f>SUM(M81:O81)</f>
        <v>8.46356181339935</v>
      </c>
      <c r="M81" s="312">
        <f>('FTE Pivot Table'!$D$355)*100</f>
        <v>7.437722419928826</v>
      </c>
      <c r="N81" s="312">
        <f>('FTE Pivot Table'!$D$358)*100</f>
        <v>0.9654958997369644</v>
      </c>
      <c r="O81" s="314">
        <f>('FTE Pivot Table'!$D$361)*100</f>
        <v>0.06034349373356027</v>
      </c>
      <c r="P81" s="312">
        <f>('FTE Pivot Table'!$D$364)*100</f>
        <v>0</v>
      </c>
      <c r="Q81" s="42">
        <f t="shared" si="6"/>
        <v>100</v>
      </c>
      <c r="R81" s="42">
        <f t="shared" si="7"/>
        <v>100</v>
      </c>
      <c r="S81" s="55"/>
      <c r="T81" s="55"/>
      <c r="U81" s="55"/>
      <c r="V81" s="55"/>
      <c r="W81" s="55"/>
      <c r="X81" s="55"/>
      <c r="Y81" s="55"/>
      <c r="Z81" s="55"/>
      <c r="AA81" s="55"/>
      <c r="AB81" s="55"/>
      <c r="AC81" s="55"/>
      <c r="AD81" s="55"/>
      <c r="AE81" s="55"/>
      <c r="AF81" s="55"/>
      <c r="AG81" s="55"/>
      <c r="AH81" s="55"/>
      <c r="AI81" s="55"/>
      <c r="AJ81" s="55"/>
      <c r="AK81" s="55"/>
      <c r="AL81" s="55"/>
      <c r="AM81" s="55"/>
      <c r="AN81" s="55"/>
      <c r="AO81" s="55"/>
    </row>
    <row r="82" spans="1:41" ht="15.75" customHeight="1">
      <c r="A82" s="43" t="s">
        <v>207</v>
      </c>
      <c r="B82" s="312">
        <f>('FTE Pivot Table'!$D$367)*100</f>
        <v>0</v>
      </c>
      <c r="C82" s="312">
        <f>('FTE Pivot Table'!$D$370)*100</f>
        <v>0</v>
      </c>
      <c r="D82" s="130">
        <f>SUM(E82:G82)</f>
        <v>0</v>
      </c>
      <c r="E82" s="312">
        <f>('FTE Pivot Table'!$D$373)*100</f>
        <v>0</v>
      </c>
      <c r="F82" s="312">
        <f>('FTE Pivot Table'!$D$376)*100</f>
        <v>0</v>
      </c>
      <c r="G82" s="314">
        <f>('FTE Pivot Table'!$D$379)*100</f>
        <v>0</v>
      </c>
      <c r="H82" s="312">
        <f>('FTE Pivot Table'!$D$382)*100</f>
        <v>0</v>
      </c>
      <c r="I82" s="43" t="s">
        <v>207</v>
      </c>
      <c r="J82" s="312">
        <f>('FTE Pivot Table'!$D$385)*100</f>
        <v>0</v>
      </c>
      <c r="K82" s="312">
        <f>('FTE Pivot Table'!$D$388)*100</f>
        <v>0</v>
      </c>
      <c r="L82" s="130">
        <f>SUM(M82:O82)</f>
        <v>0</v>
      </c>
      <c r="M82" s="312">
        <f>('FTE Pivot Table'!$D$391)*100</f>
        <v>0</v>
      </c>
      <c r="N82" s="312">
        <f>('FTE Pivot Table'!$D$394)*100</f>
        <v>0</v>
      </c>
      <c r="O82" s="314">
        <f>('FTE Pivot Table'!$D$397)*100</f>
        <v>0</v>
      </c>
      <c r="P82" s="312">
        <f>('FTE Pivot Table'!$D$400)*100</f>
        <v>0</v>
      </c>
      <c r="Q82" s="42">
        <f t="shared" si="6"/>
        <v>0</v>
      </c>
      <c r="R82" s="42">
        <f t="shared" si="7"/>
        <v>0</v>
      </c>
      <c r="S82" s="55"/>
      <c r="T82" s="71"/>
      <c r="U82" s="55"/>
      <c r="V82" s="55"/>
      <c r="W82" s="55"/>
      <c r="X82" s="55"/>
      <c r="Y82" s="55"/>
      <c r="Z82" s="55"/>
      <c r="AA82" s="55"/>
      <c r="AB82" s="55"/>
      <c r="AC82" s="55"/>
      <c r="AD82" s="55"/>
      <c r="AE82" s="55"/>
      <c r="AF82" s="55"/>
      <c r="AG82" s="55"/>
      <c r="AH82" s="55"/>
      <c r="AI82" s="55"/>
      <c r="AJ82" s="55"/>
      <c r="AK82" s="55"/>
      <c r="AL82" s="55"/>
      <c r="AM82" s="55"/>
      <c r="AN82" s="55"/>
      <c r="AO82" s="55"/>
    </row>
    <row r="83" spans="1:41" ht="15.75" customHeight="1">
      <c r="A83" s="43" t="s">
        <v>556</v>
      </c>
      <c r="B83" s="312">
        <f>('FTE Pivot Table'!$D$403)*100</f>
        <v>0</v>
      </c>
      <c r="C83" s="312">
        <f>('FTE Pivot Table'!$D$406)*100</f>
        <v>0</v>
      </c>
      <c r="D83" s="130">
        <f>SUM(E83:G83)</f>
        <v>0</v>
      </c>
      <c r="E83" s="312">
        <f>('FTE Pivot Table'!$D$409)*100</f>
        <v>0</v>
      </c>
      <c r="F83" s="312">
        <f>('FTE Pivot Table'!$D$412)*100</f>
        <v>0</v>
      </c>
      <c r="G83" s="314">
        <f>('FTE Pivot Table'!$D$415)*100</f>
        <v>0</v>
      </c>
      <c r="H83" s="312">
        <f>('FTE Pivot Table'!$D$418)*100</f>
        <v>0</v>
      </c>
      <c r="I83" s="43" t="s">
        <v>556</v>
      </c>
      <c r="J83" s="312">
        <f>('FTE Pivot Table'!$D$421)*100</f>
        <v>0</v>
      </c>
      <c r="K83" s="312">
        <f>('FTE Pivot Table'!$D$424)*100</f>
        <v>0</v>
      </c>
      <c r="L83" s="130">
        <f>SUM(M83:O83)</f>
        <v>0</v>
      </c>
      <c r="M83" s="312">
        <f>('FTE Pivot Table'!$D$427)*100</f>
        <v>0</v>
      </c>
      <c r="N83" s="312">
        <f>('FTE Pivot Table'!$D$430)*100</f>
        <v>0</v>
      </c>
      <c r="O83" s="314">
        <f>('FTE Pivot Table'!$D$433)*100</f>
        <v>0</v>
      </c>
      <c r="P83" s="312">
        <f>('FTE Pivot Table'!$D$436)*100</f>
        <v>0</v>
      </c>
      <c r="Q83" s="42">
        <f t="shared" si="6"/>
        <v>0</v>
      </c>
      <c r="R83" s="42">
        <f t="shared" si="7"/>
        <v>0</v>
      </c>
      <c r="S83" s="55"/>
      <c r="T83" s="55"/>
      <c r="U83" s="55"/>
      <c r="V83" s="55"/>
      <c r="W83" s="55"/>
      <c r="X83" s="55"/>
      <c r="Y83" s="55"/>
      <c r="Z83" s="55"/>
      <c r="AA83" s="55"/>
      <c r="AB83" s="55"/>
      <c r="AC83" s="55"/>
      <c r="AD83" s="55"/>
      <c r="AE83" s="55"/>
      <c r="AF83" s="55"/>
      <c r="AG83" s="55"/>
      <c r="AH83" s="55"/>
      <c r="AI83" s="55"/>
      <c r="AJ83" s="55"/>
      <c r="AK83" s="55"/>
      <c r="AL83" s="55"/>
      <c r="AM83" s="55"/>
      <c r="AN83" s="55"/>
      <c r="AO83" s="55"/>
    </row>
    <row r="84" spans="1:41" ht="15.75" customHeight="1">
      <c r="A84" s="43"/>
      <c r="B84" s="115"/>
      <c r="C84" s="116"/>
      <c r="D84" s="130"/>
      <c r="E84" s="115"/>
      <c r="F84" s="115"/>
      <c r="G84" s="116"/>
      <c r="H84" s="115"/>
      <c r="I84" s="43"/>
      <c r="J84" s="115"/>
      <c r="K84" s="116"/>
      <c r="L84" s="130"/>
      <c r="M84" s="115"/>
      <c r="N84" s="115"/>
      <c r="O84" s="116"/>
      <c r="P84" s="115"/>
      <c r="Q84" s="42">
        <f t="shared" si="6"/>
        <v>0</v>
      </c>
      <c r="R84" s="42">
        <f t="shared" si="7"/>
        <v>0</v>
      </c>
      <c r="S84" s="55"/>
      <c r="T84" s="55"/>
      <c r="U84" s="55"/>
      <c r="V84" s="55"/>
      <c r="W84" s="55"/>
      <c r="X84" s="55"/>
      <c r="Y84" s="55"/>
      <c r="Z84" s="55"/>
      <c r="AA84" s="55"/>
      <c r="AB84" s="55"/>
      <c r="AC84" s="55"/>
      <c r="AD84" s="55"/>
      <c r="AE84" s="55"/>
      <c r="AF84" s="55"/>
      <c r="AG84" s="55"/>
      <c r="AH84" s="55"/>
      <c r="AI84" s="55"/>
      <c r="AJ84" s="55"/>
      <c r="AK84" s="55"/>
      <c r="AL84" s="55"/>
      <c r="AM84" s="55"/>
      <c r="AN84" s="55"/>
      <c r="AO84" s="55"/>
    </row>
    <row r="85" spans="1:41" ht="15.75" customHeight="1">
      <c r="A85" s="43" t="s">
        <v>557</v>
      </c>
      <c r="B85" s="312">
        <f>('FTE Pivot Table'!$D$439)*100</f>
        <v>0</v>
      </c>
      <c r="C85" s="312">
        <f>('FTE Pivot Table'!$D$442)*100</f>
        <v>0</v>
      </c>
      <c r="D85" s="130">
        <f>SUM(E85:G85)</f>
        <v>0</v>
      </c>
      <c r="E85" s="312">
        <f>('FTE Pivot Table'!$D$445)*100</f>
        <v>0</v>
      </c>
      <c r="F85" s="312">
        <f>('FTE Pivot Table'!$D$448)*100</f>
        <v>0</v>
      </c>
      <c r="G85" s="314">
        <f>('FTE Pivot Table'!$D$451)*100</f>
        <v>0</v>
      </c>
      <c r="H85" s="312">
        <f>('FTE Pivot Table'!$D$454)*100</f>
        <v>0</v>
      </c>
      <c r="I85" s="43" t="s">
        <v>557</v>
      </c>
      <c r="J85" s="312">
        <f>('FTE Pivot Table'!$D$457)*100</f>
        <v>0</v>
      </c>
      <c r="K85" s="312">
        <f>('FTE Pivot Table'!$D$460)*100</f>
        <v>0</v>
      </c>
      <c r="L85" s="130">
        <f>SUM(M85:O85)</f>
        <v>0</v>
      </c>
      <c r="M85" s="312">
        <f>('FTE Pivot Table'!$D$463)*100</f>
        <v>0</v>
      </c>
      <c r="N85" s="312">
        <f>('FTE Pivot Table'!$D$466)*100</f>
        <v>0</v>
      </c>
      <c r="O85" s="314">
        <f>('FTE Pivot Table'!$D$469)*100</f>
        <v>0</v>
      </c>
      <c r="P85" s="312">
        <f>('FTE Pivot Table'!$D$472)*100</f>
        <v>0</v>
      </c>
      <c r="Q85" s="42">
        <f t="shared" si="6"/>
        <v>0</v>
      </c>
      <c r="R85" s="42">
        <f t="shared" si="7"/>
        <v>0</v>
      </c>
      <c r="S85" s="55"/>
      <c r="T85" s="55"/>
      <c r="U85" s="55"/>
      <c r="V85" s="55"/>
      <c r="W85" s="55"/>
      <c r="X85" s="55"/>
      <c r="Y85" s="55"/>
      <c r="Z85" s="55"/>
      <c r="AA85" s="55"/>
      <c r="AB85" s="55"/>
      <c r="AC85" s="55"/>
      <c r="AD85" s="55"/>
      <c r="AE85" s="55"/>
      <c r="AF85" s="55"/>
      <c r="AG85" s="55"/>
      <c r="AH85" s="55"/>
      <c r="AI85" s="55"/>
      <c r="AJ85" s="55"/>
      <c r="AK85" s="55"/>
      <c r="AL85" s="55"/>
      <c r="AM85" s="55"/>
      <c r="AN85" s="55"/>
      <c r="AO85" s="55"/>
    </row>
    <row r="86" spans="1:41" ht="15.75" customHeight="1">
      <c r="A86" s="43" t="s">
        <v>313</v>
      </c>
      <c r="B86" s="312">
        <f>('FTE Pivot Table'!$D$475)*100</f>
        <v>97.19327613706494</v>
      </c>
      <c r="C86" s="312">
        <f>('FTE Pivot Table'!$D$478)*100</f>
        <v>0.5916184147099673</v>
      </c>
      <c r="D86" s="130">
        <f>SUM(E86:G86)</f>
        <v>2.215105448225087</v>
      </c>
      <c r="E86" s="312">
        <f>('FTE Pivot Table'!$D$481)*100</f>
        <v>2.1477797993283465</v>
      </c>
      <c r="F86" s="315">
        <f>('FTE Pivot Table'!$D$484)*100</f>
        <v>0.010648444468362097</v>
      </c>
      <c r="G86" s="314">
        <f>('FTE Pivot Table'!$D$487)*100</f>
        <v>0.05667720442837891</v>
      </c>
      <c r="H86" s="312">
        <f>('FTE Pivot Table'!$D$490)*100</f>
        <v>0</v>
      </c>
      <c r="I86" s="43" t="s">
        <v>313</v>
      </c>
      <c r="J86" s="312">
        <f>('FTE Pivot Table'!$D$493)*100</f>
        <v>83.77794414136622</v>
      </c>
      <c r="K86" s="312">
        <f>('FTE Pivot Table'!$D$496)*100</f>
        <v>2.2132945920303606</v>
      </c>
      <c r="L86" s="130">
        <f>SUM(M86:O86)</f>
        <v>14.008761266603416</v>
      </c>
      <c r="M86" s="312">
        <f>('FTE Pivot Table'!$D$499)*100</f>
        <v>12.576346062618596</v>
      </c>
      <c r="N86" s="312">
        <f>('FTE Pivot Table'!$D$502)*100</f>
        <v>1.0562440702087288</v>
      </c>
      <c r="O86" s="314">
        <f>('FTE Pivot Table'!$D$505)*100</f>
        <v>0.37617113377609107</v>
      </c>
      <c r="P86" s="312">
        <f>('FTE Pivot Table'!$D$508)*100</f>
        <v>0</v>
      </c>
      <c r="Q86" s="42">
        <f t="shared" si="6"/>
        <v>100</v>
      </c>
      <c r="R86" s="42">
        <f t="shared" si="7"/>
        <v>100</v>
      </c>
      <c r="S86" s="55"/>
      <c r="T86" s="55"/>
      <c r="U86" s="55"/>
      <c r="V86" s="55"/>
      <c r="W86" s="55"/>
      <c r="X86" s="55"/>
      <c r="Y86" s="55"/>
      <c r="Z86" s="55"/>
      <c r="AA86" s="55"/>
      <c r="AB86" s="55"/>
      <c r="AC86" s="55"/>
      <c r="AD86" s="55"/>
      <c r="AE86" s="55"/>
      <c r="AF86" s="55"/>
      <c r="AG86" s="55"/>
      <c r="AH86" s="55"/>
      <c r="AI86" s="55"/>
      <c r="AJ86" s="55"/>
      <c r="AK86" s="55"/>
      <c r="AL86" s="55"/>
      <c r="AM86" s="55"/>
      <c r="AN86" s="55"/>
      <c r="AO86" s="55"/>
    </row>
    <row r="87" spans="1:41" ht="15.75" customHeight="1">
      <c r="A87" s="43" t="s">
        <v>558</v>
      </c>
      <c r="B87" s="312">
        <f>('FTE Pivot Table'!$D$511)*100</f>
        <v>0</v>
      </c>
      <c r="C87" s="312">
        <f>('FTE Pivot Table'!$D$514)*100</f>
        <v>0</v>
      </c>
      <c r="D87" s="130">
        <f>SUM(E87:G87)</f>
        <v>0</v>
      </c>
      <c r="E87" s="312">
        <f>('FTE Pivot Table'!$D$517)*100</f>
        <v>0</v>
      </c>
      <c r="F87" s="312">
        <f>('FTE Pivot Table'!$D$520)*100</f>
        <v>0</v>
      </c>
      <c r="G87" s="314">
        <f>('FTE Pivot Table'!$D$523)*100</f>
        <v>0</v>
      </c>
      <c r="H87" s="312">
        <f>('FTE Pivot Table'!$D$526)*100</f>
        <v>0</v>
      </c>
      <c r="I87" s="43" t="s">
        <v>558</v>
      </c>
      <c r="J87" s="312">
        <f>('FTE Pivot Table'!$D$529)*100</f>
        <v>0</v>
      </c>
      <c r="K87" s="312">
        <f>('FTE Pivot Table'!$D$532)*100</f>
        <v>0</v>
      </c>
      <c r="L87" s="130">
        <f>SUM(M87:O87)</f>
        <v>0</v>
      </c>
      <c r="M87" s="312">
        <f>('FTE Pivot Table'!$D$535)*100</f>
        <v>0</v>
      </c>
      <c r="N87" s="312">
        <f>('FTE Pivot Table'!$D$538)*100</f>
        <v>0</v>
      </c>
      <c r="O87" s="314">
        <f>('FTE Pivot Table'!$D$541)*100</f>
        <v>0</v>
      </c>
      <c r="P87" s="312">
        <f>('FTE Pivot Table'!$D$544)*100</f>
        <v>0</v>
      </c>
      <c r="Q87" s="42">
        <f t="shared" si="6"/>
        <v>0</v>
      </c>
      <c r="R87" s="42">
        <f t="shared" si="7"/>
        <v>0</v>
      </c>
      <c r="S87" s="55"/>
      <c r="T87" s="55"/>
      <c r="U87" s="55"/>
      <c r="V87" s="55"/>
      <c r="W87" s="55"/>
      <c r="X87" s="55"/>
      <c r="Y87" s="55"/>
      <c r="Z87" s="55"/>
      <c r="AA87" s="55"/>
      <c r="AB87" s="55"/>
      <c r="AC87" s="55"/>
      <c r="AD87" s="55"/>
      <c r="AE87" s="55"/>
      <c r="AF87" s="55"/>
      <c r="AG87" s="55"/>
      <c r="AH87" s="55"/>
      <c r="AI87" s="55"/>
      <c r="AJ87" s="55"/>
      <c r="AK87" s="55"/>
      <c r="AL87" s="55"/>
      <c r="AM87" s="55"/>
      <c r="AN87" s="55"/>
      <c r="AO87" s="55"/>
    </row>
    <row r="88" spans="1:41" ht="15.75" customHeight="1">
      <c r="A88" s="37" t="s">
        <v>208</v>
      </c>
      <c r="B88" s="316">
        <f>('FTE Pivot Table'!$D$547)*100</f>
        <v>0</v>
      </c>
      <c r="C88" s="316">
        <f>('FTE Pivot Table'!$D$550)*100</f>
        <v>0</v>
      </c>
      <c r="D88" s="132">
        <f>SUM(E88:G88)</f>
        <v>0</v>
      </c>
      <c r="E88" s="316">
        <f>('FTE Pivot Table'!$D$553)*100</f>
        <v>0</v>
      </c>
      <c r="F88" s="316">
        <f>('FTE Pivot Table'!$D$556)*100</f>
        <v>0</v>
      </c>
      <c r="G88" s="317">
        <f>('FTE Pivot Table'!$D$559)*100</f>
        <v>0</v>
      </c>
      <c r="H88" s="316">
        <f>('FTE Pivot Table'!$D$562)*100</f>
        <v>0</v>
      </c>
      <c r="I88" s="37" t="s">
        <v>208</v>
      </c>
      <c r="J88" s="316">
        <f>('FTE Pivot Table'!$D$565)*100</f>
        <v>0</v>
      </c>
      <c r="K88" s="316">
        <f>('FTE Pivot Table'!$D$568)*100</f>
        <v>0</v>
      </c>
      <c r="L88" s="132">
        <f>SUM(M88:O88)</f>
        <v>0</v>
      </c>
      <c r="M88" s="316">
        <f>('FTE Pivot Table'!$D$571)*100</f>
        <v>0</v>
      </c>
      <c r="N88" s="316">
        <f>('FTE Pivot Table'!$D$574)*100</f>
        <v>0</v>
      </c>
      <c r="O88" s="317">
        <f>('FTE Pivot Table'!$D$577)*100</f>
        <v>0</v>
      </c>
      <c r="P88" s="316">
        <f>('FTE Pivot Table'!$D$580)*100</f>
        <v>0</v>
      </c>
      <c r="Q88" s="42">
        <f t="shared" si="6"/>
        <v>0</v>
      </c>
      <c r="R88" s="42">
        <f t="shared" si="7"/>
        <v>0</v>
      </c>
      <c r="S88" s="55"/>
      <c r="T88" s="55"/>
      <c r="U88" s="55"/>
      <c r="V88" s="55"/>
      <c r="W88" s="55"/>
      <c r="X88" s="55"/>
      <c r="Y88" s="55"/>
      <c r="Z88" s="55"/>
      <c r="AA88" s="55"/>
      <c r="AB88" s="55"/>
      <c r="AC88" s="55"/>
      <c r="AD88" s="55"/>
      <c r="AE88" s="55"/>
      <c r="AF88" s="55"/>
      <c r="AG88" s="55"/>
      <c r="AH88" s="55"/>
      <c r="AI88" s="55"/>
      <c r="AJ88" s="55"/>
      <c r="AK88" s="55"/>
      <c r="AL88" s="55"/>
      <c r="AM88" s="55"/>
      <c r="AN88" s="55"/>
      <c r="AO88" s="55"/>
    </row>
    <row r="89" spans="1:41" s="76" customFormat="1" ht="18" customHeight="1">
      <c r="A89" s="133" t="s">
        <v>608</v>
      </c>
      <c r="B89" s="80"/>
      <c r="C89" s="80"/>
      <c r="D89" s="81"/>
      <c r="E89" s="80"/>
      <c r="F89" s="81"/>
      <c r="G89" s="81"/>
      <c r="H89" s="80"/>
      <c r="I89" s="133" t="s">
        <v>608</v>
      </c>
      <c r="J89" s="80"/>
      <c r="K89" s="80"/>
      <c r="L89" s="81"/>
      <c r="M89" s="80"/>
      <c r="N89" s="81"/>
      <c r="O89" s="81"/>
      <c r="P89" s="80"/>
      <c r="Q89" s="80"/>
      <c r="R89" s="80"/>
      <c r="S89" s="82"/>
      <c r="T89" s="82"/>
      <c r="U89" s="82"/>
      <c r="V89" s="82"/>
      <c r="W89" s="82"/>
      <c r="X89" s="82"/>
      <c r="Y89" s="82"/>
      <c r="Z89" s="82"/>
      <c r="AA89" s="82"/>
      <c r="AB89" s="82"/>
      <c r="AC89" s="82"/>
      <c r="AD89" s="82"/>
      <c r="AE89" s="82"/>
      <c r="AF89" s="82"/>
      <c r="AG89" s="82"/>
      <c r="AH89" s="82"/>
      <c r="AI89" s="82"/>
      <c r="AJ89" s="82"/>
      <c r="AK89" s="82"/>
      <c r="AL89" s="82"/>
      <c r="AM89" s="82"/>
      <c r="AN89" s="82"/>
      <c r="AO89" s="82"/>
    </row>
    <row r="90" spans="1:18" s="76" customFormat="1" ht="13.5" customHeight="1">
      <c r="A90" s="133"/>
      <c r="B90" s="75"/>
      <c r="H90" s="343" t="s">
        <v>439</v>
      </c>
      <c r="I90" s="133"/>
      <c r="P90" s="343" t="s">
        <v>439</v>
      </c>
      <c r="Q90" s="78"/>
      <c r="R90" s="79"/>
    </row>
    <row r="91" spans="1:41" s="76" customFormat="1" ht="11.25">
      <c r="A91" s="74"/>
      <c r="B91" s="80"/>
      <c r="C91" s="80"/>
      <c r="D91" s="81"/>
      <c r="E91" s="80"/>
      <c r="F91" s="81"/>
      <c r="G91" s="81"/>
      <c r="H91" s="80"/>
      <c r="I91" s="74"/>
      <c r="J91" s="80"/>
      <c r="K91" s="80"/>
      <c r="L91" s="81"/>
      <c r="M91" s="80"/>
      <c r="N91" s="81"/>
      <c r="O91" s="81"/>
      <c r="P91" s="80"/>
      <c r="Q91" s="80"/>
      <c r="R91" s="80"/>
      <c r="S91" s="82"/>
      <c r="T91" s="82"/>
      <c r="U91" s="82"/>
      <c r="V91" s="82"/>
      <c r="W91" s="82"/>
      <c r="X91" s="82"/>
      <c r="Y91" s="82"/>
      <c r="Z91" s="82"/>
      <c r="AA91" s="82"/>
      <c r="AB91" s="82"/>
      <c r="AC91" s="82"/>
      <c r="AD91" s="82"/>
      <c r="AE91" s="82"/>
      <c r="AF91" s="82"/>
      <c r="AG91" s="82"/>
      <c r="AH91" s="82"/>
      <c r="AI91" s="82"/>
      <c r="AJ91" s="82"/>
      <c r="AK91" s="82"/>
      <c r="AL91" s="82"/>
      <c r="AM91" s="82"/>
      <c r="AN91" s="82"/>
      <c r="AO91" s="82"/>
    </row>
    <row r="92" spans="1:18" ht="18">
      <c r="A92" s="34" t="s">
        <v>574</v>
      </c>
      <c r="B92" s="35"/>
      <c r="C92" s="35"/>
      <c r="D92" s="35"/>
      <c r="E92" s="35"/>
      <c r="F92" s="35"/>
      <c r="G92" s="35"/>
      <c r="H92" s="53"/>
      <c r="I92" s="34" t="s">
        <v>589</v>
      </c>
      <c r="J92" s="36"/>
      <c r="K92" s="36"/>
      <c r="L92" s="35"/>
      <c r="M92" s="36"/>
      <c r="N92" s="36"/>
      <c r="O92" s="36"/>
      <c r="P92" s="36"/>
      <c r="Q92" s="67"/>
      <c r="R92" s="68"/>
    </row>
    <row r="93" spans="1:18" ht="12.75">
      <c r="A93" s="90"/>
      <c r="B93" s="36"/>
      <c r="C93" s="36"/>
      <c r="D93" s="36"/>
      <c r="E93" s="36"/>
      <c r="F93" s="36"/>
      <c r="G93" s="36"/>
      <c r="H93" s="48"/>
      <c r="I93" s="90"/>
      <c r="J93" s="36"/>
      <c r="K93" s="36"/>
      <c r="L93" s="36"/>
      <c r="M93" s="36"/>
      <c r="N93" s="36"/>
      <c r="O93" s="36"/>
      <c r="P93" s="36"/>
      <c r="R93" s="70"/>
    </row>
    <row r="94" spans="1:18" ht="15.75">
      <c r="A94" s="45" t="s">
        <v>595</v>
      </c>
      <c r="B94" s="36"/>
      <c r="C94" s="36"/>
      <c r="D94" s="36"/>
      <c r="E94" s="36"/>
      <c r="F94" s="36"/>
      <c r="G94" s="36"/>
      <c r="H94" s="48"/>
      <c r="I94" s="45" t="s">
        <v>596</v>
      </c>
      <c r="J94" s="36"/>
      <c r="K94" s="36"/>
      <c r="L94" s="36"/>
      <c r="M94" s="36"/>
      <c r="N94" s="36"/>
      <c r="O94" s="36"/>
      <c r="P94" s="36"/>
      <c r="R94" s="70" t="s">
        <v>73</v>
      </c>
    </row>
    <row r="95" spans="1:18" ht="15.75">
      <c r="A95" s="45" t="s">
        <v>808</v>
      </c>
      <c r="B95" s="36"/>
      <c r="C95" s="36"/>
      <c r="D95" s="36"/>
      <c r="E95" s="36"/>
      <c r="F95" s="36"/>
      <c r="G95" s="36"/>
      <c r="H95" s="48"/>
      <c r="I95" s="45" t="s">
        <v>808</v>
      </c>
      <c r="J95" s="36"/>
      <c r="K95" s="36"/>
      <c r="L95" s="36"/>
      <c r="M95" s="36"/>
      <c r="N95" s="36"/>
      <c r="O95" s="36"/>
      <c r="P95" s="36"/>
      <c r="R95" s="70" t="s">
        <v>73</v>
      </c>
    </row>
    <row r="96" spans="1:16" ht="12.75">
      <c r="A96" s="37"/>
      <c r="B96" s="38"/>
      <c r="C96" s="38"/>
      <c r="D96" s="38"/>
      <c r="E96" s="38"/>
      <c r="F96" s="38"/>
      <c r="G96" s="38"/>
      <c r="H96" s="38"/>
      <c r="I96" s="39"/>
      <c r="L96" s="40"/>
      <c r="P96" s="37"/>
    </row>
    <row r="97" spans="1:18" s="102" customFormat="1" ht="12">
      <c r="A97" s="97"/>
      <c r="B97" s="422" t="s">
        <v>315</v>
      </c>
      <c r="C97" s="422"/>
      <c r="D97" s="422"/>
      <c r="E97" s="422"/>
      <c r="F97" s="422"/>
      <c r="G97" s="422"/>
      <c r="H97" s="422"/>
      <c r="I97" s="97"/>
      <c r="J97" s="98" t="s">
        <v>315</v>
      </c>
      <c r="K97" s="98"/>
      <c r="L97" s="98"/>
      <c r="M97" s="98"/>
      <c r="N97" s="98"/>
      <c r="O97" s="98"/>
      <c r="P97" s="99"/>
      <c r="Q97" s="100"/>
      <c r="R97" s="101"/>
    </row>
    <row r="98" spans="1:18" s="102" customFormat="1" ht="12">
      <c r="A98" s="97"/>
      <c r="B98" s="98" t="s">
        <v>211</v>
      </c>
      <c r="C98" s="98"/>
      <c r="D98" s="421" t="s">
        <v>603</v>
      </c>
      <c r="E98" s="422"/>
      <c r="F98" s="422"/>
      <c r="G98" s="422"/>
      <c r="H98" s="103" t="s">
        <v>73</v>
      </c>
      <c r="I98" s="97"/>
      <c r="J98" s="98" t="s">
        <v>211</v>
      </c>
      <c r="K98" s="98"/>
      <c r="L98" s="421" t="s">
        <v>603</v>
      </c>
      <c r="M98" s="422"/>
      <c r="N98" s="422"/>
      <c r="O98" s="422"/>
      <c r="P98" s="103" t="s">
        <v>73</v>
      </c>
      <c r="Q98" s="100"/>
      <c r="R98" s="101"/>
    </row>
    <row r="99" spans="1:20" s="102" customFormat="1" ht="40.5" customHeight="1">
      <c r="A99" s="97"/>
      <c r="B99" s="104" t="s">
        <v>594</v>
      </c>
      <c r="C99" s="105" t="s">
        <v>593</v>
      </c>
      <c r="D99" s="106" t="s">
        <v>601</v>
      </c>
      <c r="E99" s="107" t="s">
        <v>71</v>
      </c>
      <c r="F99" s="104" t="s">
        <v>212</v>
      </c>
      <c r="G99" s="108" t="s">
        <v>605</v>
      </c>
      <c r="H99" s="109" t="s">
        <v>604</v>
      </c>
      <c r="I99" s="97"/>
      <c r="J99" s="104" t="s">
        <v>594</v>
      </c>
      <c r="K99" s="105" t="s">
        <v>593</v>
      </c>
      <c r="L99" s="106" t="s">
        <v>601</v>
      </c>
      <c r="M99" s="107" t="s">
        <v>71</v>
      </c>
      <c r="N99" s="104" t="s">
        <v>212</v>
      </c>
      <c r="O99" s="108" t="s">
        <v>605</v>
      </c>
      <c r="P99" s="109" t="s">
        <v>604</v>
      </c>
      <c r="Q99" s="110"/>
      <c r="R99" s="111"/>
      <c r="T99" s="112"/>
    </row>
    <row r="100" spans="1:41" ht="15.75" customHeight="1">
      <c r="A100" s="44" t="s">
        <v>548</v>
      </c>
      <c r="B100" s="312">
        <f>('FTE Pivot Table'!$E$7)*100</f>
        <v>95.12102690028412</v>
      </c>
      <c r="C100" s="312">
        <f>('FTE Pivot Table'!$E$10)*100</f>
        <v>1.2178040964314683</v>
      </c>
      <c r="D100" s="130">
        <f>SUM(E100:G100)</f>
        <v>3.661169003284414</v>
      </c>
      <c r="E100" s="312">
        <f>('FTE Pivot Table'!$E$13)*100</f>
        <v>2.9258325170315276</v>
      </c>
      <c r="F100" s="312">
        <f>('FTE Pivot Table'!$E$16)*100</f>
        <v>0.058507785524641975</v>
      </c>
      <c r="G100" s="313">
        <f>('FTE Pivot Table'!$E$19)*100</f>
        <v>0.6768287007282446</v>
      </c>
      <c r="H100" s="312">
        <f>('FTE Pivot Table'!$E$22)*100</f>
        <v>0</v>
      </c>
      <c r="I100" s="44" t="s">
        <v>548</v>
      </c>
      <c r="J100" s="312">
        <f>('FTE Pivot Table'!$E$25)*100</f>
        <v>82.66146683115126</v>
      </c>
      <c r="K100" s="312">
        <f>('FTE Pivot Table'!$E$28)*100</f>
        <v>1.2893469696366748</v>
      </c>
      <c r="L100" s="130">
        <f>SUM(M100:O100)</f>
        <v>16.049186199212066</v>
      </c>
      <c r="M100" s="312">
        <f>('FTE Pivot Table'!$E$31)*100</f>
        <v>13.689362887500497</v>
      </c>
      <c r="N100" s="312">
        <f>('FTE Pivot Table'!$E$34)*100</f>
        <v>2.2086036053961555</v>
      </c>
      <c r="O100" s="313">
        <f>('FTE Pivot Table'!$E$37)*100</f>
        <v>0.15121970631541248</v>
      </c>
      <c r="P100" s="312">
        <f>('FTE Pivot Table'!$E$40)*100</f>
        <v>0</v>
      </c>
      <c r="Q100" s="42">
        <f aca="true" t="shared" si="8" ref="Q100:Q118">SUM(B100,C100,D100,H100)</f>
        <v>100</v>
      </c>
      <c r="R100" s="42">
        <f aca="true" t="shared" si="9" ref="R100:R118">SUM(J100,K100,L100,P100)</f>
        <v>100</v>
      </c>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row>
    <row r="101" spans="1:41" ht="15.75" customHeight="1">
      <c r="A101" s="43" t="s">
        <v>549</v>
      </c>
      <c r="B101" s="312">
        <f>('FTE Pivot Table'!$E$43)*100</f>
        <v>88.50756688025132</v>
      </c>
      <c r="C101" s="312">
        <f>('FTE Pivot Table'!$E$46)*100</f>
        <v>4.557719104329591</v>
      </c>
      <c r="D101" s="130">
        <f>SUM(E101:G101)</f>
        <v>6.934714015419094</v>
      </c>
      <c r="E101" s="312">
        <f>('FTE Pivot Table'!$E$49)*100</f>
        <v>4.911061801036619</v>
      </c>
      <c r="F101" s="312">
        <f>('FTE Pivot Table'!$E$52)*100</f>
        <v>0.6065416185339395</v>
      </c>
      <c r="G101" s="314">
        <f>('FTE Pivot Table'!$E$55)*100</f>
        <v>1.417110595848535</v>
      </c>
      <c r="H101" s="312">
        <f>('FTE Pivot Table'!$E$58)*100</f>
        <v>0</v>
      </c>
      <c r="I101" s="43" t="s">
        <v>549</v>
      </c>
      <c r="J101" s="312">
        <f>('FTE Pivot Table'!$E$61)*100</f>
        <v>71.44355903432667</v>
      </c>
      <c r="K101" s="312">
        <f>('FTE Pivot Table'!$E$64)*100</f>
        <v>17.122076574877404</v>
      </c>
      <c r="L101" s="130">
        <f>SUM(M101:O101)</f>
        <v>11.434364390795926</v>
      </c>
      <c r="M101" s="312">
        <f>('FTE Pivot Table'!$E$67)*100</f>
        <v>7.780082987551867</v>
      </c>
      <c r="N101" s="312">
        <f>('FTE Pivot Table'!$E$70)*100</f>
        <v>2.150132025650698</v>
      </c>
      <c r="O101" s="314">
        <f>('FTE Pivot Table'!$E$73)*100</f>
        <v>1.504149377593361</v>
      </c>
      <c r="P101" s="312">
        <f>('FTE Pivot Table'!$E$76)*100</f>
        <v>0</v>
      </c>
      <c r="Q101" s="42">
        <f t="shared" si="8"/>
        <v>100</v>
      </c>
      <c r="R101" s="42">
        <f t="shared" si="9"/>
        <v>99.99999999999999</v>
      </c>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row>
    <row r="102" spans="1:41" ht="15.75" customHeight="1">
      <c r="A102" s="43" t="s">
        <v>550</v>
      </c>
      <c r="B102" s="312">
        <f>('FTE Pivot Table'!$E$79)*100</f>
        <v>0</v>
      </c>
      <c r="C102" s="312">
        <f>('FTE Pivot Table'!$E$82)*100</f>
        <v>0</v>
      </c>
      <c r="D102" s="130">
        <f>SUM(E102:G102)</f>
        <v>0</v>
      </c>
      <c r="E102" s="312">
        <f>('FTE Pivot Table'!$E$85)*100</f>
        <v>0</v>
      </c>
      <c r="F102" s="312">
        <f>('FTE Pivot Table'!$E$88)*100</f>
        <v>0</v>
      </c>
      <c r="G102" s="314">
        <f>('FTE Pivot Table'!$E$91)*100</f>
        <v>0</v>
      </c>
      <c r="H102" s="312">
        <f>('FTE Pivot Table'!$E$94)*100</f>
        <v>0</v>
      </c>
      <c r="I102" s="43" t="s">
        <v>550</v>
      </c>
      <c r="J102" s="312">
        <f>('FTE Pivot Table'!$E$97)*100</f>
        <v>0</v>
      </c>
      <c r="K102" s="312">
        <f>('FTE Pivot Table'!$E$100)*100</f>
        <v>0</v>
      </c>
      <c r="L102" s="130">
        <f>SUM(M102:O102)</f>
        <v>0</v>
      </c>
      <c r="M102" s="312">
        <f>('FTE Pivot Table'!$E$103)*100</f>
        <v>0</v>
      </c>
      <c r="N102" s="312">
        <f>('FTE Pivot Table'!$E$106)*100</f>
        <v>0</v>
      </c>
      <c r="O102" s="314">
        <f>('FTE Pivot Table'!$E$109)*100</f>
        <v>0</v>
      </c>
      <c r="P102" s="312">
        <f>('FTE Pivot Table'!$E$112)*100</f>
        <v>0</v>
      </c>
      <c r="Q102" s="42">
        <f t="shared" si="8"/>
        <v>0</v>
      </c>
      <c r="R102" s="42">
        <f t="shared" si="9"/>
        <v>0</v>
      </c>
      <c r="S102" s="55"/>
      <c r="T102" s="71"/>
      <c r="U102" s="55"/>
      <c r="V102" s="55"/>
      <c r="W102" s="55"/>
      <c r="X102" s="55"/>
      <c r="Y102" s="55"/>
      <c r="Z102" s="55"/>
      <c r="AA102" s="55"/>
      <c r="AB102" s="55"/>
      <c r="AC102" s="55"/>
      <c r="AD102" s="55"/>
      <c r="AE102" s="55"/>
      <c r="AF102" s="55"/>
      <c r="AG102" s="55"/>
      <c r="AH102" s="55"/>
      <c r="AI102" s="55"/>
      <c r="AJ102" s="55"/>
      <c r="AK102" s="55"/>
      <c r="AL102" s="55"/>
      <c r="AM102" s="55"/>
      <c r="AN102" s="55"/>
      <c r="AO102" s="55"/>
    </row>
    <row r="103" spans="1:41" ht="15.75" customHeight="1">
      <c r="A103" s="43" t="s">
        <v>551</v>
      </c>
      <c r="B103" s="312">
        <f>('FTE Pivot Table'!$E$115)*100</f>
        <v>94.93133964175577</v>
      </c>
      <c r="C103" s="312">
        <f>('FTE Pivot Table'!$E$118)*100</f>
        <v>3.1745648654698644</v>
      </c>
      <c r="D103" s="130">
        <f>SUM(E103:G103)</f>
        <v>1.8940954927743565</v>
      </c>
      <c r="E103" s="312">
        <f>('FTE Pivot Table'!$E$121)*100</f>
        <v>1.369285267361788</v>
      </c>
      <c r="F103" s="312">
        <f>('FTE Pivot Table'!$E$124)*100</f>
        <v>0</v>
      </c>
      <c r="G103" s="314">
        <f>('FTE Pivot Table'!$E$127)*100</f>
        <v>0.5248102254125685</v>
      </c>
      <c r="H103" s="312">
        <f>('FTE Pivot Table'!$E$130)*100</f>
        <v>0</v>
      </c>
      <c r="I103" s="43" t="s">
        <v>551</v>
      </c>
      <c r="J103" s="312">
        <f>('FTE Pivot Table'!$E$133)*100</f>
        <v>80.91662091237019</v>
      </c>
      <c r="K103" s="312">
        <f>('FTE Pivot Table'!$E$136)*100</f>
        <v>16.101970091449555</v>
      </c>
      <c r="L103" s="130">
        <f>SUM(M103:O103)</f>
        <v>2.9814089961802543</v>
      </c>
      <c r="M103" s="312">
        <f>('FTE Pivot Table'!$E$139)*100</f>
        <v>2.712196619495463</v>
      </c>
      <c r="N103" s="312">
        <f>('FTE Pivot Table'!$E$142)*100</f>
        <v>0</v>
      </c>
      <c r="O103" s="314">
        <f>('FTE Pivot Table'!$E$145)*100</f>
        <v>0.26921237668479125</v>
      </c>
      <c r="P103" s="312">
        <f>('FTE Pivot Table'!$E$148)*100</f>
        <v>0</v>
      </c>
      <c r="Q103" s="42">
        <f t="shared" si="8"/>
        <v>99.99999999999999</v>
      </c>
      <c r="R103" s="42">
        <f t="shared" si="9"/>
        <v>100</v>
      </c>
      <c r="S103" s="55"/>
      <c r="U103" s="55"/>
      <c r="V103" s="55"/>
      <c r="W103" s="55"/>
      <c r="X103" s="55"/>
      <c r="Y103" s="55"/>
      <c r="Z103" s="55"/>
      <c r="AA103" s="55"/>
      <c r="AB103" s="55"/>
      <c r="AC103" s="55"/>
      <c r="AD103" s="55"/>
      <c r="AE103" s="55"/>
      <c r="AF103" s="55"/>
      <c r="AG103" s="55"/>
      <c r="AH103" s="55"/>
      <c r="AI103" s="55"/>
      <c r="AJ103" s="55"/>
      <c r="AK103" s="55"/>
      <c r="AL103" s="55"/>
      <c r="AM103" s="55"/>
      <c r="AN103" s="55"/>
      <c r="AO103" s="55"/>
    </row>
    <row r="104" spans="1:41" ht="15.75" customHeight="1">
      <c r="A104" s="43"/>
      <c r="B104" s="115"/>
      <c r="C104" s="116"/>
      <c r="D104" s="130"/>
      <c r="E104" s="115"/>
      <c r="F104" s="115"/>
      <c r="G104" s="116"/>
      <c r="H104" s="115"/>
      <c r="I104" s="43"/>
      <c r="J104" s="115"/>
      <c r="K104" s="116"/>
      <c r="L104" s="130"/>
      <c r="M104" s="115"/>
      <c r="N104" s="115"/>
      <c r="O104" s="116"/>
      <c r="P104" s="115"/>
      <c r="Q104" s="42">
        <f t="shared" si="8"/>
        <v>0</v>
      </c>
      <c r="R104" s="42">
        <f t="shared" si="9"/>
        <v>0</v>
      </c>
      <c r="S104" s="55"/>
      <c r="U104" s="55"/>
      <c r="V104" s="55"/>
      <c r="W104" s="55"/>
      <c r="X104" s="55"/>
      <c r="Y104" s="55"/>
      <c r="Z104" s="55"/>
      <c r="AA104" s="55"/>
      <c r="AB104" s="55"/>
      <c r="AC104" s="55"/>
      <c r="AD104" s="55"/>
      <c r="AE104" s="55"/>
      <c r="AF104" s="55"/>
      <c r="AG104" s="55"/>
      <c r="AH104" s="55"/>
      <c r="AI104" s="55"/>
      <c r="AJ104" s="55"/>
      <c r="AK104" s="55"/>
      <c r="AL104" s="55"/>
      <c r="AM104" s="55"/>
      <c r="AN104" s="55"/>
      <c r="AO104" s="55"/>
    </row>
    <row r="105" spans="1:41" ht="15.75" customHeight="1">
      <c r="A105" s="43" t="s">
        <v>552</v>
      </c>
      <c r="B105" s="312">
        <f>('FTE Pivot Table'!$E$151)*100</f>
        <v>96.51698759635822</v>
      </c>
      <c r="C105" s="312">
        <f>('FTE Pivot Table'!$E$154)*100</f>
        <v>1.5057259778574374</v>
      </c>
      <c r="D105" s="130">
        <f>SUM(E105:G105)</f>
        <v>1.9772864257843479</v>
      </c>
      <c r="E105" s="312">
        <f>('FTE Pivot Table'!$E$157)*100</f>
        <v>1.8126447355898867</v>
      </c>
      <c r="F105" s="312">
        <f>('FTE Pivot Table'!$E$160)*100</f>
        <v>0.16464169019446118</v>
      </c>
      <c r="G105" s="314">
        <f>('FTE Pivot Table'!$E$163)*100</f>
        <v>0</v>
      </c>
      <c r="H105" s="312">
        <f>('FTE Pivot Table'!$E$166)*100</f>
        <v>0</v>
      </c>
      <c r="I105" s="43" t="s">
        <v>552</v>
      </c>
      <c r="J105" s="312">
        <f>('FTE Pivot Table'!$E$169)*100</f>
        <v>62.498085855750084</v>
      </c>
      <c r="K105" s="312">
        <f>('FTE Pivot Table'!$E$172)*100</f>
        <v>14.314396066220883</v>
      </c>
      <c r="L105" s="130">
        <f>SUM(M105:O105)</f>
        <v>23.11265376958808</v>
      </c>
      <c r="M105" s="312">
        <f>('FTE Pivot Table'!$E$175)*100</f>
        <v>22.24490837629524</v>
      </c>
      <c r="N105" s="312">
        <f>('FTE Pivot Table'!$E$178)*100</f>
        <v>0.8677453932928385</v>
      </c>
      <c r="O105" s="314">
        <f>('FTE Pivot Table'!$E$181)*100</f>
        <v>0</v>
      </c>
      <c r="P105" s="312">
        <f>('FTE Pivot Table'!$E$184)*100</f>
        <v>0.07486430844095078</v>
      </c>
      <c r="Q105" s="42">
        <f t="shared" si="8"/>
        <v>100</v>
      </c>
      <c r="R105" s="42">
        <f t="shared" si="9"/>
        <v>100</v>
      </c>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row>
    <row r="106" spans="1:41" ht="15.75" customHeight="1">
      <c r="A106" s="43" t="s">
        <v>553</v>
      </c>
      <c r="B106" s="312">
        <f>('FTE Pivot Table'!$E$187)*100</f>
        <v>87.43336971706923</v>
      </c>
      <c r="C106" s="312">
        <f>('FTE Pivot Table'!$E$190)*100</f>
        <v>8.387149231629703</v>
      </c>
      <c r="D106" s="130">
        <f>SUM(E106:G106)</f>
        <v>4.179481051301067</v>
      </c>
      <c r="E106" s="312">
        <f>('FTE Pivot Table'!$E$193)*100</f>
        <v>2.238905629787685</v>
      </c>
      <c r="F106" s="312">
        <f>('FTE Pivot Table'!$E$196)*100</f>
        <v>1.1616842302375947</v>
      </c>
      <c r="G106" s="314">
        <f>('FTE Pivot Table'!$E$199)*100</f>
        <v>0.7788911912757879</v>
      </c>
      <c r="H106" s="312">
        <f>('FTE Pivot Table'!$E$202)*100</f>
        <v>0</v>
      </c>
      <c r="I106" s="43" t="s">
        <v>553</v>
      </c>
      <c r="J106" s="312">
        <f>('FTE Pivot Table'!$E$205)*100</f>
        <v>60.18995420746784</v>
      </c>
      <c r="K106" s="312">
        <f>('FTE Pivot Table'!$E$208)*100</f>
        <v>19.598846706597516</v>
      </c>
      <c r="L106" s="130">
        <f>SUM(M106:O106)</f>
        <v>20.21119908593464</v>
      </c>
      <c r="M106" s="312">
        <f>('FTE Pivot Table'!$E$211)*100</f>
        <v>15.45073955385755</v>
      </c>
      <c r="N106" s="312">
        <f>('FTE Pivot Table'!$E$214)*100</f>
        <v>3.6964303248324066</v>
      </c>
      <c r="O106" s="314">
        <f>('FTE Pivot Table'!$E$217)*100</f>
        <v>1.064029207244682</v>
      </c>
      <c r="P106" s="312">
        <f>('FTE Pivot Table'!$E$220)*100</f>
        <v>0</v>
      </c>
      <c r="Q106" s="42">
        <f t="shared" si="8"/>
        <v>100</v>
      </c>
      <c r="R106" s="42">
        <f t="shared" si="9"/>
        <v>100</v>
      </c>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row>
    <row r="107" spans="1:41" ht="15.75" customHeight="1">
      <c r="A107" s="43" t="s">
        <v>554</v>
      </c>
      <c r="B107" s="312">
        <f>('FTE Pivot Table'!$E$223)*100</f>
        <v>96.26981474407945</v>
      </c>
      <c r="C107" s="312">
        <f>('FTE Pivot Table'!$E$226)*100</f>
        <v>2.645812112723877</v>
      </c>
      <c r="D107" s="130">
        <f>SUM(E107:G107)</f>
        <v>1.0843731431966726</v>
      </c>
      <c r="E107" s="312">
        <f>('FTE Pivot Table'!$E$229)*100</f>
        <v>1.0095704948646125</v>
      </c>
      <c r="F107" s="315">
        <f>('FTE Pivot Table'!$E$232)*100</f>
        <v>0.03899286987522282</v>
      </c>
      <c r="G107" s="318">
        <f>('FTE Pivot Table'!$E$235)*100</f>
        <v>0.035809778456837284</v>
      </c>
      <c r="H107" s="312">
        <f>('FTE Pivot Table'!$E$238)*100</f>
        <v>0</v>
      </c>
      <c r="I107" s="43" t="s">
        <v>554</v>
      </c>
      <c r="J107" s="312">
        <f>('FTE Pivot Table'!$E$241)*100</f>
        <v>84.50057706431645</v>
      </c>
      <c r="K107" s="312">
        <f>('FTE Pivot Table'!$E$244)*100</f>
        <v>10.075018361137342</v>
      </c>
      <c r="L107" s="130">
        <f>SUM(M107:O107)</f>
        <v>5.424404574546218</v>
      </c>
      <c r="M107" s="312">
        <f>('FTE Pivot Table'!$E$247)*100</f>
        <v>2.2964536774735076</v>
      </c>
      <c r="N107" s="312">
        <f>('FTE Pivot Table'!$E$250)*100</f>
        <v>3.12795089707271</v>
      </c>
      <c r="O107" s="314">
        <f>('FTE Pivot Table'!$E$253)*100</f>
        <v>0</v>
      </c>
      <c r="P107" s="312">
        <f>('FTE Pivot Table'!$E$256)*100</f>
        <v>0</v>
      </c>
      <c r="Q107" s="42">
        <f t="shared" si="8"/>
        <v>100</v>
      </c>
      <c r="R107" s="42">
        <f t="shared" si="9"/>
        <v>100</v>
      </c>
      <c r="S107" s="55"/>
      <c r="T107" s="71"/>
      <c r="U107" s="55"/>
      <c r="V107" s="55"/>
      <c r="W107" s="55"/>
      <c r="X107" s="55"/>
      <c r="Y107" s="55"/>
      <c r="Z107" s="55"/>
      <c r="AA107" s="55"/>
      <c r="AB107" s="55"/>
      <c r="AC107" s="55"/>
      <c r="AD107" s="55"/>
      <c r="AE107" s="55"/>
      <c r="AF107" s="55"/>
      <c r="AG107" s="55"/>
      <c r="AH107" s="55"/>
      <c r="AI107" s="55"/>
      <c r="AJ107" s="55"/>
      <c r="AK107" s="55"/>
      <c r="AL107" s="55"/>
      <c r="AM107" s="55"/>
      <c r="AN107" s="55"/>
      <c r="AO107" s="55"/>
    </row>
    <row r="108" spans="1:41" ht="15.75" customHeight="1">
      <c r="A108" s="43" t="s">
        <v>555</v>
      </c>
      <c r="B108" s="312">
        <f>('FTE Pivot Table'!$E$259)*100</f>
        <v>98.64595637252168</v>
      </c>
      <c r="C108" s="312">
        <f>('FTE Pivot Table'!$E$262)*100</f>
        <v>1.1320027780453308</v>
      </c>
      <c r="D108" s="130">
        <f>SUM(E108:G108)</f>
        <v>0.2220408494329847</v>
      </c>
      <c r="E108" s="312">
        <f>('FTE Pivot Table'!$E$265)*100</f>
        <v>0.20455133047079754</v>
      </c>
      <c r="F108" s="315">
        <f>('FTE Pivot Table'!$E$268)*100</f>
        <v>0.017489518962187152</v>
      </c>
      <c r="G108" s="314">
        <f>('FTE Pivot Table'!$E$271)*100</f>
        <v>0</v>
      </c>
      <c r="H108" s="312">
        <f>('FTE Pivot Table'!$E$274)*100</f>
        <v>0</v>
      </c>
      <c r="I108" s="43" t="s">
        <v>555</v>
      </c>
      <c r="J108" s="312">
        <f>('FTE Pivot Table'!$E$277)*100</f>
        <v>75.20155872077399</v>
      </c>
      <c r="K108" s="312">
        <f>('FTE Pivot Table'!$E$280)*100</f>
        <v>24.18704649287826</v>
      </c>
      <c r="L108" s="130">
        <f>SUM(M108:O108)</f>
        <v>0.611394786347756</v>
      </c>
      <c r="M108" s="312">
        <f>('FTE Pivot Table'!$E$283)*100</f>
        <v>0.611394786347756</v>
      </c>
      <c r="N108" s="312">
        <f>('FTE Pivot Table'!$E$286)*100</f>
        <v>0</v>
      </c>
      <c r="O108" s="314">
        <f>('FTE Pivot Table'!$E$289)*100</f>
        <v>0</v>
      </c>
      <c r="P108" s="312">
        <f>('FTE Pivot Table'!$E$292)*100</f>
        <v>0</v>
      </c>
      <c r="Q108" s="42">
        <f t="shared" si="8"/>
        <v>100</v>
      </c>
      <c r="R108" s="42">
        <f t="shared" si="9"/>
        <v>100.00000000000001</v>
      </c>
      <c r="S108" s="55"/>
      <c r="U108" s="55"/>
      <c r="V108" s="55"/>
      <c r="W108" s="55"/>
      <c r="X108" s="55"/>
      <c r="Y108" s="55"/>
      <c r="Z108" s="55"/>
      <c r="AA108" s="55"/>
      <c r="AB108" s="55"/>
      <c r="AC108" s="55"/>
      <c r="AD108" s="55"/>
      <c r="AE108" s="55"/>
      <c r="AF108" s="55"/>
      <c r="AG108" s="55"/>
      <c r="AH108" s="55"/>
      <c r="AI108" s="55"/>
      <c r="AJ108" s="55"/>
      <c r="AK108" s="55"/>
      <c r="AL108" s="55"/>
      <c r="AM108" s="55"/>
      <c r="AN108" s="55"/>
      <c r="AO108" s="55"/>
    </row>
    <row r="109" spans="1:41" ht="15.75" customHeight="1">
      <c r="A109" s="43"/>
      <c r="B109" s="115"/>
      <c r="C109" s="116"/>
      <c r="D109" s="130"/>
      <c r="E109" s="115"/>
      <c r="F109" s="115"/>
      <c r="G109" s="116"/>
      <c r="H109" s="115"/>
      <c r="I109" s="43"/>
      <c r="J109" s="115"/>
      <c r="K109" s="116"/>
      <c r="L109" s="130"/>
      <c r="M109" s="115"/>
      <c r="N109" s="115"/>
      <c r="O109" s="116"/>
      <c r="P109" s="115"/>
      <c r="Q109" s="42">
        <f t="shared" si="8"/>
        <v>0</v>
      </c>
      <c r="R109" s="42">
        <f t="shared" si="9"/>
        <v>0</v>
      </c>
      <c r="S109" s="55"/>
      <c r="U109" s="55"/>
      <c r="V109" s="55"/>
      <c r="W109" s="55"/>
      <c r="X109" s="55"/>
      <c r="Y109" s="55"/>
      <c r="Z109" s="55"/>
      <c r="AA109" s="55"/>
      <c r="AB109" s="55"/>
      <c r="AC109" s="55"/>
      <c r="AD109" s="55"/>
      <c r="AE109" s="55"/>
      <c r="AF109" s="55"/>
      <c r="AG109" s="55"/>
      <c r="AH109" s="55"/>
      <c r="AI109" s="55"/>
      <c r="AJ109" s="55"/>
      <c r="AK109" s="55"/>
      <c r="AL109" s="55"/>
      <c r="AM109" s="55"/>
      <c r="AN109" s="55"/>
      <c r="AO109" s="55"/>
    </row>
    <row r="110" spans="1:41" ht="15.75" customHeight="1">
      <c r="A110" s="43" t="s">
        <v>206</v>
      </c>
      <c r="B110" s="312">
        <f>('FTE Pivot Table'!$E$295)*100</f>
        <v>94.99710011841184</v>
      </c>
      <c r="C110" s="312">
        <f>('FTE Pivot Table'!$E$298)*100</f>
        <v>3.079311761436408</v>
      </c>
      <c r="D110" s="130">
        <f>SUM(E110:G110)</f>
        <v>1.9235881201517604</v>
      </c>
      <c r="E110" s="312">
        <f>('FTE Pivot Table'!$E$301)*100</f>
        <v>0.4168579782992195</v>
      </c>
      <c r="F110" s="312">
        <f>('FTE Pivot Table'!$E$304)*100</f>
        <v>1.4620236340349435</v>
      </c>
      <c r="G110" s="314">
        <f>('FTE Pivot Table'!$E$307)*100</f>
        <v>0.04470650781759745</v>
      </c>
      <c r="H110" s="312">
        <f>('FTE Pivot Table'!$E$310)*100</f>
        <v>0</v>
      </c>
      <c r="I110" s="43" t="s">
        <v>206</v>
      </c>
      <c r="J110" s="312">
        <f>('FTE Pivot Table'!$E$313)*100</f>
        <v>80.89668615984405</v>
      </c>
      <c r="K110" s="312">
        <f>('FTE Pivot Table'!$E$316)*100</f>
        <v>16.28849902534113</v>
      </c>
      <c r="L110" s="130">
        <f>SUM(M110:O110)</f>
        <v>2.814814814814815</v>
      </c>
      <c r="M110" s="312">
        <f>('FTE Pivot Table'!$E$319)*100</f>
        <v>0.5263157894736842</v>
      </c>
      <c r="N110" s="312">
        <f>('FTE Pivot Table'!$E$322)*100</f>
        <v>2.280701754385965</v>
      </c>
      <c r="O110" s="318">
        <f>('FTE Pivot Table'!$E$325)*100</f>
        <v>0.0077972709551656924</v>
      </c>
      <c r="P110" s="312">
        <f>('FTE Pivot Table'!$E$328)*100</f>
        <v>0</v>
      </c>
      <c r="Q110" s="42">
        <f t="shared" si="8"/>
        <v>100.00000000000001</v>
      </c>
      <c r="R110" s="42">
        <f t="shared" si="9"/>
        <v>100</v>
      </c>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row>
    <row r="111" spans="1:41" ht="15.75" customHeight="1">
      <c r="A111" s="43" t="s">
        <v>214</v>
      </c>
      <c r="B111" s="312">
        <f>('FTE Pivot Table'!$E$331)*100</f>
        <v>95.75785820771759</v>
      </c>
      <c r="C111" s="312">
        <f>('FTE Pivot Table'!$E$334)*100</f>
        <v>2.2911033284585827</v>
      </c>
      <c r="D111" s="130">
        <f>SUM(E111:G111)</f>
        <v>1.9510384638238207</v>
      </c>
      <c r="E111" s="312">
        <f>('FTE Pivot Table'!$E$337)*100</f>
        <v>1.716154699582025</v>
      </c>
      <c r="F111" s="315">
        <f>('FTE Pivot Table'!$E$340)*100</f>
        <v>0.04305685011870565</v>
      </c>
      <c r="G111" s="314">
        <f>('FTE Pivot Table'!$E$343)*100</f>
        <v>0.19182691412309028</v>
      </c>
      <c r="H111" s="312">
        <f>('FTE Pivot Table'!$E$346)*100</f>
        <v>0</v>
      </c>
      <c r="I111" s="43" t="s">
        <v>214</v>
      </c>
      <c r="J111" s="312">
        <f>('FTE Pivot Table'!$E$349)*100</f>
        <v>70.85965233302836</v>
      </c>
      <c r="K111" s="312">
        <f>('FTE Pivot Table'!$E$352)*100</f>
        <v>19.125343092406222</v>
      </c>
      <c r="L111" s="130">
        <f>SUM(M111:O111)</f>
        <v>10.015004574565415</v>
      </c>
      <c r="M111" s="312">
        <f>('FTE Pivot Table'!$E$355)*100</f>
        <v>9.720402561756632</v>
      </c>
      <c r="N111" s="312">
        <f>('FTE Pivot Table'!$E$358)*100</f>
        <v>0.1778591033851784</v>
      </c>
      <c r="O111" s="314">
        <f>('FTE Pivot Table'!$E$361)*100</f>
        <v>0.11674290942360475</v>
      </c>
      <c r="P111" s="312">
        <f>('FTE Pivot Table'!$E$364)*100</f>
        <v>0</v>
      </c>
      <c r="Q111" s="42">
        <f t="shared" si="8"/>
        <v>99.99999999999999</v>
      </c>
      <c r="R111" s="42">
        <f t="shared" si="9"/>
        <v>100</v>
      </c>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row>
    <row r="112" spans="1:41" ht="15.75" customHeight="1">
      <c r="A112" s="43" t="s">
        <v>207</v>
      </c>
      <c r="B112" s="312">
        <f>('FTE Pivot Table'!$E$367)*100</f>
        <v>99.14590791413247</v>
      </c>
      <c r="C112" s="312">
        <f>('FTE Pivot Table'!$E$370)*100</f>
        <v>0.138426092234513</v>
      </c>
      <c r="D112" s="130">
        <f>SUM(E112:G112)</f>
        <v>0.7156659936330192</v>
      </c>
      <c r="E112" s="312">
        <f>('FTE Pivot Table'!$E$373)*100</f>
        <v>0.26136828153451674</v>
      </c>
      <c r="F112" s="315">
        <f>('FTE Pivot Table'!$E$376)*100</f>
        <v>0.03437426451461061</v>
      </c>
      <c r="G112" s="314">
        <f>('FTE Pivot Table'!$E$379)*100</f>
        <v>0.41992344758389183</v>
      </c>
      <c r="H112" s="312">
        <f>('FTE Pivot Table'!$E$382)*100</f>
        <v>0</v>
      </c>
      <c r="I112" s="43" t="s">
        <v>207</v>
      </c>
      <c r="J112" s="312">
        <f>('FTE Pivot Table'!$E$385)*100</f>
        <v>94.68149954282231</v>
      </c>
      <c r="K112" s="312">
        <f>('FTE Pivot Table'!$E$388)*100</f>
        <v>0.9600731484303565</v>
      </c>
      <c r="L112" s="130">
        <f>SUM(M112:O112)</f>
        <v>4.358427308747333</v>
      </c>
      <c r="M112" s="312">
        <f>('FTE Pivot Table'!$E$391)*100</f>
        <v>1.4172508381590978</v>
      </c>
      <c r="N112" s="312">
        <f>('FTE Pivot Table'!$E$394)*100</f>
        <v>0.6629076501066749</v>
      </c>
      <c r="O112" s="314">
        <f>('FTE Pivot Table'!$E$397)*100</f>
        <v>2.2782688204815607</v>
      </c>
      <c r="P112" s="312">
        <f>('FTE Pivot Table'!$E$400)*100</f>
        <v>0</v>
      </c>
      <c r="Q112" s="42">
        <f t="shared" si="8"/>
        <v>100</v>
      </c>
      <c r="R112" s="42">
        <f t="shared" si="9"/>
        <v>100</v>
      </c>
      <c r="S112" s="55"/>
      <c r="T112" s="71"/>
      <c r="U112" s="55"/>
      <c r="V112" s="55"/>
      <c r="W112" s="55"/>
      <c r="X112" s="55"/>
      <c r="Y112" s="55"/>
      <c r="Z112" s="55"/>
      <c r="AA112" s="55"/>
      <c r="AB112" s="55"/>
      <c r="AC112" s="55"/>
      <c r="AD112" s="55"/>
      <c r="AE112" s="55"/>
      <c r="AF112" s="55"/>
      <c r="AG112" s="55"/>
      <c r="AH112" s="55"/>
      <c r="AI112" s="55"/>
      <c r="AJ112" s="55"/>
      <c r="AK112" s="55"/>
      <c r="AL112" s="55"/>
      <c r="AM112" s="55"/>
      <c r="AN112" s="55"/>
      <c r="AO112" s="55"/>
    </row>
    <row r="113" spans="1:41" ht="15.75" customHeight="1">
      <c r="A113" s="43" t="s">
        <v>556</v>
      </c>
      <c r="B113" s="312">
        <f>('FTE Pivot Table'!$E$403)*100</f>
        <v>0</v>
      </c>
      <c r="C113" s="312">
        <f>('FTE Pivot Table'!$E$406)*100</f>
        <v>0</v>
      </c>
      <c r="D113" s="130">
        <f>SUM(E113:G113)</f>
        <v>0</v>
      </c>
      <c r="E113" s="312">
        <f>('FTE Pivot Table'!$E$409)*100</f>
        <v>0</v>
      </c>
      <c r="F113" s="312">
        <f>('FTE Pivot Table'!$E$412)*100</f>
        <v>0</v>
      </c>
      <c r="G113" s="314">
        <f>('FTE Pivot Table'!$E$415)*100</f>
        <v>0</v>
      </c>
      <c r="H113" s="312">
        <f>('FTE Pivot Table'!$E$418)*100</f>
        <v>0</v>
      </c>
      <c r="I113" s="43" t="s">
        <v>556</v>
      </c>
      <c r="J113" s="312">
        <f>('FTE Pivot Table'!$E$421)*100</f>
        <v>0</v>
      </c>
      <c r="K113" s="312">
        <f>('FTE Pivot Table'!$E$424)*100</f>
        <v>0</v>
      </c>
      <c r="L113" s="130">
        <f>SUM(M113:O113)</f>
        <v>0</v>
      </c>
      <c r="M113" s="312">
        <f>('FTE Pivot Table'!$E$427)*100</f>
        <v>0</v>
      </c>
      <c r="N113" s="312">
        <f>('FTE Pivot Table'!$E$430)*100</f>
        <v>0</v>
      </c>
      <c r="O113" s="314">
        <f>('FTE Pivot Table'!$E$433)*100</f>
        <v>0</v>
      </c>
      <c r="P113" s="312">
        <f>('FTE Pivot Table'!$E$436)*100</f>
        <v>0</v>
      </c>
      <c r="Q113" s="42">
        <f t="shared" si="8"/>
        <v>0</v>
      </c>
      <c r="R113" s="42">
        <f t="shared" si="9"/>
        <v>0</v>
      </c>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row>
    <row r="114" spans="1:41" ht="15.75" customHeight="1">
      <c r="A114" s="43"/>
      <c r="B114" s="115"/>
      <c r="C114" s="116"/>
      <c r="D114" s="130"/>
      <c r="E114" s="115"/>
      <c r="F114" s="115"/>
      <c r="G114" s="116"/>
      <c r="H114" s="115"/>
      <c r="I114" s="43"/>
      <c r="J114" s="115"/>
      <c r="K114" s="116"/>
      <c r="L114" s="130"/>
      <c r="M114" s="115"/>
      <c r="N114" s="115"/>
      <c r="O114" s="116"/>
      <c r="P114" s="115"/>
      <c r="Q114" s="42">
        <f t="shared" si="8"/>
        <v>0</v>
      </c>
      <c r="R114" s="42">
        <f t="shared" si="9"/>
        <v>0</v>
      </c>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row>
    <row r="115" spans="1:41" ht="15.75" customHeight="1">
      <c r="A115" s="43" t="s">
        <v>557</v>
      </c>
      <c r="B115" s="312">
        <f>('FTE Pivot Table'!$E$439)*100</f>
        <v>0</v>
      </c>
      <c r="C115" s="312">
        <f>('FTE Pivot Table'!$E$442)*100</f>
        <v>0</v>
      </c>
      <c r="D115" s="130">
        <f>SUM(E115:G115)</f>
        <v>0</v>
      </c>
      <c r="E115" s="312">
        <f>('FTE Pivot Table'!$E$445)*100</f>
        <v>0</v>
      </c>
      <c r="F115" s="312">
        <f>('FTE Pivot Table'!$E$448)*100</f>
        <v>0</v>
      </c>
      <c r="G115" s="314">
        <f>('FTE Pivot Table'!$E$451)*100</f>
        <v>0</v>
      </c>
      <c r="H115" s="312">
        <f>('FTE Pivot Table'!$E$454)*100</f>
        <v>0</v>
      </c>
      <c r="I115" s="43" t="s">
        <v>557</v>
      </c>
      <c r="J115" s="312">
        <f>('FTE Pivot Table'!$E$457)*100</f>
        <v>0</v>
      </c>
      <c r="K115" s="312">
        <f>('FTE Pivot Table'!$E$460)*100</f>
        <v>0</v>
      </c>
      <c r="L115" s="130">
        <f>SUM(M115:O115)</f>
        <v>0</v>
      </c>
      <c r="M115" s="312">
        <f>('FTE Pivot Table'!$E$463)*100</f>
        <v>0</v>
      </c>
      <c r="N115" s="312">
        <f>('FTE Pivot Table'!$E$466)*100</f>
        <v>0</v>
      </c>
      <c r="O115" s="314">
        <f>('FTE Pivot Table'!$E$469)*100</f>
        <v>0</v>
      </c>
      <c r="P115" s="312">
        <f>('FTE Pivot Table'!$E$472)*100</f>
        <v>0</v>
      </c>
      <c r="Q115" s="42">
        <f t="shared" si="8"/>
        <v>0</v>
      </c>
      <c r="R115" s="42">
        <f t="shared" si="9"/>
        <v>0</v>
      </c>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row>
    <row r="116" spans="1:41" ht="15.75" customHeight="1">
      <c r="A116" s="43" t="s">
        <v>313</v>
      </c>
      <c r="B116" s="312">
        <f>('FTE Pivot Table'!$E$475)*100</f>
        <v>95.20336657149744</v>
      </c>
      <c r="C116" s="312">
        <f>('FTE Pivot Table'!$E$478)*100</f>
        <v>2.4793744414500414</v>
      </c>
      <c r="D116" s="130">
        <f>SUM(E116:G116)</f>
        <v>2.317258987052518</v>
      </c>
      <c r="E116" s="312">
        <f>('FTE Pivot Table'!$E$481)*100</f>
        <v>1.7669540307401532</v>
      </c>
      <c r="F116" s="312">
        <f>('FTE Pivot Table'!$E$484)*100</f>
        <v>0.38253329980220696</v>
      </c>
      <c r="G116" s="314">
        <f>('FTE Pivot Table'!$E$487)*100</f>
        <v>0.1677716565101581</v>
      </c>
      <c r="H116" s="312">
        <f>('FTE Pivot Table'!$E$490)*100</f>
        <v>0</v>
      </c>
      <c r="I116" s="43" t="s">
        <v>313</v>
      </c>
      <c r="J116" s="312">
        <f>('FTE Pivot Table'!$E$493)*100</f>
        <v>78.17575186110763</v>
      </c>
      <c r="K116" s="312">
        <f>('FTE Pivot Table'!$E$496)*100</f>
        <v>13.87703831672788</v>
      </c>
      <c r="L116" s="130">
        <f>SUM(M116:O116)</f>
        <v>7.94720982216449</v>
      </c>
      <c r="M116" s="312">
        <f>('FTE Pivot Table'!$E$499)*100</f>
        <v>6.62811475896266</v>
      </c>
      <c r="N116" s="312">
        <f>('FTE Pivot Table'!$E$502)*100</f>
        <v>1.0861681293972583</v>
      </c>
      <c r="O116" s="314">
        <f>('FTE Pivot Table'!$E$505)*100</f>
        <v>0.2329269338045722</v>
      </c>
      <c r="P116" s="312">
        <f>('FTE Pivot Table'!$E$508)*100</f>
        <v>0</v>
      </c>
      <c r="Q116" s="42">
        <f t="shared" si="8"/>
        <v>100</v>
      </c>
      <c r="R116" s="42">
        <f t="shared" si="9"/>
        <v>100</v>
      </c>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row>
    <row r="117" spans="1:41" ht="15.75" customHeight="1">
      <c r="A117" s="43" t="s">
        <v>558</v>
      </c>
      <c r="B117" s="312">
        <f>('FTE Pivot Table'!$E$511)*100</f>
        <v>0</v>
      </c>
      <c r="C117" s="312">
        <f>('FTE Pivot Table'!$E$514)*100</f>
        <v>0</v>
      </c>
      <c r="D117" s="130">
        <f>SUM(E117:G117)</f>
        <v>0</v>
      </c>
      <c r="E117" s="312">
        <f>('FTE Pivot Table'!$E$517)*100</f>
        <v>0</v>
      </c>
      <c r="F117" s="312">
        <f>('FTE Pivot Table'!$E$520)*100</f>
        <v>0</v>
      </c>
      <c r="G117" s="314">
        <f>('FTE Pivot Table'!$E$523)*100</f>
        <v>0</v>
      </c>
      <c r="H117" s="312">
        <f>('FTE Pivot Table'!$E$526)*100</f>
        <v>0</v>
      </c>
      <c r="I117" s="43" t="s">
        <v>558</v>
      </c>
      <c r="J117" s="312">
        <f>('FTE Pivot Table'!$E$529)*100</f>
        <v>0</v>
      </c>
      <c r="K117" s="312">
        <f>('FTE Pivot Table'!$E$532)*100</f>
        <v>0</v>
      </c>
      <c r="L117" s="130">
        <f>SUM(M117:O117)</f>
        <v>0</v>
      </c>
      <c r="M117" s="312">
        <f>('FTE Pivot Table'!$E$535)*100</f>
        <v>0</v>
      </c>
      <c r="N117" s="312">
        <f>('FTE Pivot Table'!$E$538)*100</f>
        <v>0</v>
      </c>
      <c r="O117" s="314">
        <f>('FTE Pivot Table'!$E$541)*100</f>
        <v>0</v>
      </c>
      <c r="P117" s="312">
        <f>('FTE Pivot Table'!$E$544)*100</f>
        <v>0</v>
      </c>
      <c r="Q117" s="42">
        <f t="shared" si="8"/>
        <v>0</v>
      </c>
      <c r="R117" s="42">
        <f t="shared" si="9"/>
        <v>0</v>
      </c>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row>
    <row r="118" spans="1:41" ht="15.75" customHeight="1">
      <c r="A118" s="37" t="s">
        <v>610</v>
      </c>
      <c r="B118" s="316">
        <f>('FTE Pivot Table'!$E$547)*100</f>
        <v>91.65617104429535</v>
      </c>
      <c r="C118" s="316">
        <f>('FTE Pivot Table'!$E$550)*100</f>
        <v>4.215041944323586</v>
      </c>
      <c r="D118" s="132">
        <f>SUM(E118:G118)</f>
        <v>4.128787011381071</v>
      </c>
      <c r="E118" s="316">
        <f>('FTE Pivot Table'!$E$553)*100</f>
        <v>4.046348668391765</v>
      </c>
      <c r="F118" s="316">
        <f>('FTE Pivot Table'!$E$556)*100</f>
        <v>0.08243834298930591</v>
      </c>
      <c r="G118" s="317">
        <f>('FTE Pivot Table'!$E$559)*100</f>
        <v>0</v>
      </c>
      <c r="H118" s="316">
        <f>('FTE Pivot Table'!$E$562)*100</f>
        <v>0</v>
      </c>
      <c r="I118" s="37" t="s">
        <v>610</v>
      </c>
      <c r="J118" s="316">
        <f>('FTE Pivot Table'!$E$565)*100</f>
        <v>34.89903181189488</v>
      </c>
      <c r="K118" s="316">
        <f>('FTE Pivot Table'!$E$568)*100</f>
        <v>37.3222683264177</v>
      </c>
      <c r="L118" s="132">
        <f>SUM(M118:O118)</f>
        <v>27.778699861687414</v>
      </c>
      <c r="M118" s="316">
        <f>('FTE Pivot Table'!$E$571)*100</f>
        <v>24.260027662517288</v>
      </c>
      <c r="N118" s="316">
        <f>('FTE Pivot Table'!$E$574)*100</f>
        <v>3.5186721991701244</v>
      </c>
      <c r="O118" s="317">
        <f>('FTE Pivot Table'!$E$577)*100</f>
        <v>0</v>
      </c>
      <c r="P118" s="316">
        <f>('FTE Pivot Table'!$E$580)*100</f>
        <v>0</v>
      </c>
      <c r="Q118" s="42">
        <f t="shared" si="8"/>
        <v>100</v>
      </c>
      <c r="R118" s="42">
        <f t="shared" si="9"/>
        <v>100</v>
      </c>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row>
    <row r="119" spans="1:41" s="76" customFormat="1" ht="18" customHeight="1">
      <c r="A119" s="133" t="s">
        <v>608</v>
      </c>
      <c r="B119" s="80"/>
      <c r="C119" s="80"/>
      <c r="D119" s="81"/>
      <c r="E119" s="80"/>
      <c r="F119" s="81"/>
      <c r="G119" s="81"/>
      <c r="H119" s="80"/>
      <c r="I119" s="133" t="s">
        <v>608</v>
      </c>
      <c r="J119" s="80"/>
      <c r="K119" s="80"/>
      <c r="L119" s="81"/>
      <c r="M119" s="80"/>
      <c r="N119" s="81"/>
      <c r="O119" s="81"/>
      <c r="P119" s="80"/>
      <c r="Q119" s="80"/>
      <c r="R119" s="80"/>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row>
    <row r="120" spans="1:18" s="76" customFormat="1" ht="13.5" customHeight="1">
      <c r="A120" s="134" t="s">
        <v>758</v>
      </c>
      <c r="B120" s="75"/>
      <c r="H120" s="74"/>
      <c r="I120" s="134" t="s">
        <v>758</v>
      </c>
      <c r="P120" s="77"/>
      <c r="Q120" s="78"/>
      <c r="R120" s="79"/>
    </row>
    <row r="121" spans="8:18" s="76" customFormat="1" ht="13.5" customHeight="1">
      <c r="H121" s="343" t="s">
        <v>60</v>
      </c>
      <c r="I121" s="134"/>
      <c r="P121" s="343" t="s">
        <v>60</v>
      </c>
      <c r="Q121" s="78"/>
      <c r="R121" s="79"/>
    </row>
    <row r="122" spans="8:18" s="76" customFormat="1" ht="11.25">
      <c r="H122" s="74"/>
      <c r="Q122" s="78"/>
      <c r="R122" s="79"/>
    </row>
    <row r="123" spans="1:18" ht="18">
      <c r="A123" s="34" t="s">
        <v>575</v>
      </c>
      <c r="B123" s="35"/>
      <c r="C123" s="35"/>
      <c r="D123" s="35"/>
      <c r="E123" s="35"/>
      <c r="F123" s="35"/>
      <c r="G123" s="35"/>
      <c r="H123" s="53"/>
      <c r="I123" s="34" t="s">
        <v>590</v>
      </c>
      <c r="J123" s="36"/>
      <c r="K123" s="36"/>
      <c r="L123" s="35"/>
      <c r="M123" s="36"/>
      <c r="N123" s="36"/>
      <c r="O123" s="36"/>
      <c r="P123" s="36"/>
      <c r="Q123" s="67"/>
      <c r="R123" s="68"/>
    </row>
    <row r="124" spans="1:18" ht="12.75">
      <c r="A124" s="90"/>
      <c r="B124" s="36"/>
      <c r="C124" s="36"/>
      <c r="D124" s="36"/>
      <c r="E124" s="36"/>
      <c r="F124" s="36"/>
      <c r="G124" s="36"/>
      <c r="H124" s="48"/>
      <c r="I124" s="90"/>
      <c r="J124" s="36"/>
      <c r="K124" s="36"/>
      <c r="L124" s="36"/>
      <c r="M124" s="36"/>
      <c r="N124" s="36"/>
      <c r="O124" s="36"/>
      <c r="P124" s="36"/>
      <c r="R124" s="70"/>
    </row>
    <row r="125" spans="1:18" ht="15.75">
      <c r="A125" s="45" t="s">
        <v>595</v>
      </c>
      <c r="B125" s="36"/>
      <c r="C125" s="36"/>
      <c r="D125" s="36"/>
      <c r="E125" s="36"/>
      <c r="F125" s="36"/>
      <c r="G125" s="36"/>
      <c r="H125" s="48"/>
      <c r="I125" s="45" t="s">
        <v>596</v>
      </c>
      <c r="J125" s="36"/>
      <c r="K125" s="36"/>
      <c r="L125" s="36"/>
      <c r="M125" s="36"/>
      <c r="N125" s="36"/>
      <c r="O125" s="36"/>
      <c r="P125" s="36"/>
      <c r="R125" s="70" t="s">
        <v>73</v>
      </c>
    </row>
    <row r="126" spans="1:18" ht="15.75">
      <c r="A126" s="45" t="s">
        <v>809</v>
      </c>
      <c r="B126" s="36"/>
      <c r="C126" s="36"/>
      <c r="D126" s="36"/>
      <c r="E126" s="36"/>
      <c r="F126" s="36"/>
      <c r="G126" s="36"/>
      <c r="H126" s="48"/>
      <c r="I126" s="45" t="s">
        <v>809</v>
      </c>
      <c r="J126" s="36"/>
      <c r="K126" s="36"/>
      <c r="L126" s="36"/>
      <c r="M126" s="36"/>
      <c r="N126" s="36"/>
      <c r="O126" s="36"/>
      <c r="P126" s="36"/>
      <c r="R126" s="70" t="s">
        <v>73</v>
      </c>
    </row>
    <row r="127" spans="1:16" ht="12.75">
      <c r="A127" s="37"/>
      <c r="B127" s="38"/>
      <c r="C127" s="38"/>
      <c r="D127" s="38"/>
      <c r="E127" s="38"/>
      <c r="F127" s="38"/>
      <c r="G127" s="38"/>
      <c r="H127" s="38"/>
      <c r="I127" s="39"/>
      <c r="L127" s="40"/>
      <c r="P127" s="37"/>
    </row>
    <row r="128" spans="1:18" s="102" customFormat="1" ht="12">
      <c r="A128" s="97"/>
      <c r="B128" s="98" t="s">
        <v>315</v>
      </c>
      <c r="C128" s="98"/>
      <c r="D128" s="98"/>
      <c r="E128" s="98"/>
      <c r="F128" s="98"/>
      <c r="G128" s="98"/>
      <c r="H128" s="99"/>
      <c r="I128" s="97"/>
      <c r="J128" s="98" t="s">
        <v>315</v>
      </c>
      <c r="K128" s="98"/>
      <c r="L128" s="98"/>
      <c r="M128" s="98"/>
      <c r="N128" s="98"/>
      <c r="O128" s="98"/>
      <c r="P128" s="99"/>
      <c r="Q128" s="100"/>
      <c r="R128" s="101"/>
    </row>
    <row r="129" spans="1:18" s="102" customFormat="1" ht="12">
      <c r="A129" s="97"/>
      <c r="B129" s="98" t="s">
        <v>211</v>
      </c>
      <c r="C129" s="98"/>
      <c r="D129" s="421" t="s">
        <v>603</v>
      </c>
      <c r="E129" s="422"/>
      <c r="F129" s="422"/>
      <c r="G129" s="422"/>
      <c r="H129" s="103" t="s">
        <v>73</v>
      </c>
      <c r="I129" s="97"/>
      <c r="J129" s="98" t="s">
        <v>211</v>
      </c>
      <c r="K129" s="98"/>
      <c r="L129" s="421" t="s">
        <v>603</v>
      </c>
      <c r="M129" s="422"/>
      <c r="N129" s="422"/>
      <c r="O129" s="422"/>
      <c r="P129" s="103" t="s">
        <v>73</v>
      </c>
      <c r="Q129" s="100"/>
      <c r="R129" s="101"/>
    </row>
    <row r="130" spans="1:20" s="102" customFormat="1" ht="40.5" customHeight="1">
      <c r="A130" s="97"/>
      <c r="B130" s="104" t="s">
        <v>594</v>
      </c>
      <c r="C130" s="105" t="s">
        <v>593</v>
      </c>
      <c r="D130" s="106" t="s">
        <v>601</v>
      </c>
      <c r="E130" s="107" t="s">
        <v>71</v>
      </c>
      <c r="F130" s="104" t="s">
        <v>212</v>
      </c>
      <c r="G130" s="108" t="s">
        <v>605</v>
      </c>
      <c r="H130" s="109" t="s">
        <v>604</v>
      </c>
      <c r="I130" s="97"/>
      <c r="J130" s="104" t="s">
        <v>594</v>
      </c>
      <c r="K130" s="105" t="s">
        <v>593</v>
      </c>
      <c r="L130" s="106" t="s">
        <v>601</v>
      </c>
      <c r="M130" s="107" t="s">
        <v>71</v>
      </c>
      <c r="N130" s="104" t="s">
        <v>212</v>
      </c>
      <c r="O130" s="108" t="s">
        <v>605</v>
      </c>
      <c r="P130" s="109" t="s">
        <v>604</v>
      </c>
      <c r="Q130" s="110"/>
      <c r="R130" s="111"/>
      <c r="T130" s="112"/>
    </row>
    <row r="131" spans="1:41" ht="15.75" customHeight="1">
      <c r="A131" s="44" t="s">
        <v>548</v>
      </c>
      <c r="B131" s="312">
        <f>('FTE Pivot Table'!$F$7)*100</f>
        <v>96.2375157930531</v>
      </c>
      <c r="C131" s="312">
        <f>('FTE Pivot Table'!$F$10)*100</f>
        <v>0.07504448437696956</v>
      </c>
      <c r="D131" s="130">
        <f>SUM(E131:G131)</f>
        <v>3.687439722569922</v>
      </c>
      <c r="E131" s="312">
        <f>('FTE Pivot Table'!$F$13)*100</f>
        <v>2.8906783610988156</v>
      </c>
      <c r="F131" s="312">
        <f>('FTE Pivot Table'!$F$16)*100</f>
        <v>0.7967613614711063</v>
      </c>
      <c r="G131" s="313">
        <f>('FTE Pivot Table'!$F$19)*100</f>
        <v>0</v>
      </c>
      <c r="H131" s="312">
        <f>('FTE Pivot Table'!$F$22)*100</f>
        <v>0</v>
      </c>
      <c r="I131" s="44" t="s">
        <v>548</v>
      </c>
      <c r="J131" s="312">
        <f>('FTE Pivot Table'!$F$25)*100</f>
        <v>70.23832568520058</v>
      </c>
      <c r="K131" s="312">
        <f>('FTE Pivot Table'!$F$28)*100</f>
        <v>0</v>
      </c>
      <c r="L131" s="130">
        <f>SUM(M131:O131)</f>
        <v>29.76167431479942</v>
      </c>
      <c r="M131" s="312">
        <f>('FTE Pivot Table'!$F$31)*100</f>
        <v>22.934150146320356</v>
      </c>
      <c r="N131" s="312">
        <f>('FTE Pivot Table'!$F$34)*100</f>
        <v>6.827524168479066</v>
      </c>
      <c r="O131" s="313">
        <f>('FTE Pivot Table'!$F$37)*100</f>
        <v>0</v>
      </c>
      <c r="P131" s="312">
        <f>('FTE Pivot Table'!$F$40)*100</f>
        <v>0</v>
      </c>
      <c r="Q131" s="42">
        <f>SUM(B131,C131,D131,H131)</f>
        <v>100</v>
      </c>
      <c r="R131" s="42">
        <f aca="true" t="shared" si="10" ref="R131:R149">SUM(J131,K131,L131,P131)</f>
        <v>100</v>
      </c>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row>
    <row r="132" spans="1:41" ht="15.75" customHeight="1">
      <c r="A132" s="43" t="s">
        <v>549</v>
      </c>
      <c r="B132" s="312">
        <f>('FTE Pivot Table'!$F$43)*100</f>
        <v>0</v>
      </c>
      <c r="C132" s="312">
        <f>('FTE Pivot Table'!$F$46)*100</f>
        <v>0</v>
      </c>
      <c r="D132" s="130">
        <f>SUM(E132:G132)</f>
        <v>0</v>
      </c>
      <c r="E132" s="312">
        <f>('FTE Pivot Table'!$F$49)*100</f>
        <v>0</v>
      </c>
      <c r="F132" s="312">
        <f>('FTE Pivot Table'!$F$52)*100</f>
        <v>0</v>
      </c>
      <c r="G132" s="314">
        <f>('FTE Pivot Table'!$F$55)*100</f>
        <v>0</v>
      </c>
      <c r="H132" s="312">
        <f>('FTE Pivot Table'!$F$58)*100</f>
        <v>0</v>
      </c>
      <c r="I132" s="43" t="s">
        <v>549</v>
      </c>
      <c r="J132" s="312">
        <f>('FTE Pivot Table'!$F$61)*100</f>
        <v>0</v>
      </c>
      <c r="K132" s="312">
        <f>('FTE Pivot Table'!$F$64)*100</f>
        <v>0</v>
      </c>
      <c r="L132" s="130">
        <f>SUM(M132:O132)</f>
        <v>0</v>
      </c>
      <c r="M132" s="312">
        <f>('FTE Pivot Table'!$F$67)*100</f>
        <v>0</v>
      </c>
      <c r="N132" s="312">
        <f>('FTE Pivot Table'!$F$70)*100</f>
        <v>0</v>
      </c>
      <c r="O132" s="314">
        <f>('FTE Pivot Table'!$F$73)*100</f>
        <v>0</v>
      </c>
      <c r="P132" s="312">
        <f>('FTE Pivot Table'!$F$76)*100</f>
        <v>0</v>
      </c>
      <c r="Q132" s="42">
        <f>SUM(B132,C132,D132,H132)</f>
        <v>0</v>
      </c>
      <c r="R132" s="42">
        <f t="shared" si="10"/>
        <v>0</v>
      </c>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row>
    <row r="133" spans="1:41" ht="15.75" customHeight="1">
      <c r="A133" s="43" t="s">
        <v>550</v>
      </c>
      <c r="B133" s="312">
        <f>('FTE Pivot Table'!$F$79)*100</f>
        <v>0</v>
      </c>
      <c r="C133" s="312">
        <f>('FTE Pivot Table'!$F$82)*100</f>
        <v>0</v>
      </c>
      <c r="D133" s="130">
        <f>SUM(E133:G133)</f>
        <v>0</v>
      </c>
      <c r="E133" s="312">
        <f>('FTE Pivot Table'!$F$85)*100</f>
        <v>0</v>
      </c>
      <c r="F133" s="312">
        <f>('FTE Pivot Table'!$F$88)*100</f>
        <v>0</v>
      </c>
      <c r="G133" s="314">
        <f>('FTE Pivot Table'!$F$91)*100</f>
        <v>0</v>
      </c>
      <c r="H133" s="312">
        <f>('FTE Pivot Table'!$F$94)*100</f>
        <v>0</v>
      </c>
      <c r="I133" s="43" t="s">
        <v>550</v>
      </c>
      <c r="J133" s="312">
        <f>('FTE Pivot Table'!$F$97)*100</f>
        <v>0</v>
      </c>
      <c r="K133" s="312">
        <f>('FTE Pivot Table'!$F$100)*100</f>
        <v>0</v>
      </c>
      <c r="L133" s="130">
        <f>SUM(M133:O133)</f>
        <v>0</v>
      </c>
      <c r="M133" s="312">
        <f>('FTE Pivot Table'!$F$103)*100</f>
        <v>0</v>
      </c>
      <c r="N133" s="312">
        <f>('FTE Pivot Table'!$F$106)*100</f>
        <v>0</v>
      </c>
      <c r="O133" s="314">
        <f>('FTE Pivot Table'!$F$109)*100</f>
        <v>0</v>
      </c>
      <c r="P133" s="312">
        <f>('FTE Pivot Table'!$F$112)*100</f>
        <v>0</v>
      </c>
      <c r="Q133" s="42">
        <f aca="true" t="shared" si="11" ref="Q133:Q149">SUM(B133,C133,D133,H133)</f>
        <v>0</v>
      </c>
      <c r="R133" s="42">
        <f t="shared" si="10"/>
        <v>0</v>
      </c>
      <c r="S133" s="55"/>
      <c r="T133" s="71"/>
      <c r="U133" s="55"/>
      <c r="V133" s="55"/>
      <c r="W133" s="55"/>
      <c r="X133" s="55"/>
      <c r="Y133" s="55"/>
      <c r="Z133" s="55"/>
      <c r="AA133" s="55"/>
      <c r="AB133" s="55"/>
      <c r="AC133" s="55"/>
      <c r="AD133" s="55"/>
      <c r="AE133" s="55"/>
      <c r="AF133" s="55"/>
      <c r="AG133" s="55"/>
      <c r="AH133" s="55"/>
      <c r="AI133" s="55"/>
      <c r="AJ133" s="55"/>
      <c r="AK133" s="55"/>
      <c r="AL133" s="55"/>
      <c r="AM133" s="55"/>
      <c r="AN133" s="55"/>
      <c r="AO133" s="55"/>
    </row>
    <row r="134" spans="1:41" ht="15.75" customHeight="1">
      <c r="A134" s="43" t="s">
        <v>551</v>
      </c>
      <c r="B134" s="312">
        <f>('FTE Pivot Table'!$F$115)*100</f>
        <v>0</v>
      </c>
      <c r="C134" s="312">
        <f>('FTE Pivot Table'!$F$118)*100</f>
        <v>0</v>
      </c>
      <c r="D134" s="130">
        <f>SUM(E134:G134)</f>
        <v>0</v>
      </c>
      <c r="E134" s="312">
        <f>('FTE Pivot Table'!$F$121)*100</f>
        <v>0</v>
      </c>
      <c r="F134" s="312">
        <f>('FTE Pivot Table'!$F$124)*100</f>
        <v>0</v>
      </c>
      <c r="G134" s="314">
        <f>('FTE Pivot Table'!$F$127)*100</f>
        <v>0</v>
      </c>
      <c r="H134" s="312">
        <f>('FTE Pivot Table'!$F$130)*100</f>
        <v>0</v>
      </c>
      <c r="I134" s="43" t="s">
        <v>551</v>
      </c>
      <c r="J134" s="312">
        <f>('FTE Pivot Table'!$F$133)*100</f>
        <v>0</v>
      </c>
      <c r="K134" s="312">
        <f>('FTE Pivot Table'!$F$136)*100</f>
        <v>0</v>
      </c>
      <c r="L134" s="130">
        <f>SUM(M134:O134)</f>
        <v>0</v>
      </c>
      <c r="M134" s="312">
        <f>('FTE Pivot Table'!$F$139)*100</f>
        <v>0</v>
      </c>
      <c r="N134" s="312">
        <f>('FTE Pivot Table'!$F$142)*100</f>
        <v>0</v>
      </c>
      <c r="O134" s="314">
        <f>('FTE Pivot Table'!$F$145)*100</f>
        <v>0</v>
      </c>
      <c r="P134" s="312">
        <f>('FTE Pivot Table'!$F$148)*100</f>
        <v>0</v>
      </c>
      <c r="Q134" s="42">
        <f t="shared" si="11"/>
        <v>0</v>
      </c>
      <c r="R134" s="42">
        <f t="shared" si="10"/>
        <v>0</v>
      </c>
      <c r="S134" s="55"/>
      <c r="U134" s="55"/>
      <c r="V134" s="55"/>
      <c r="W134" s="55"/>
      <c r="X134" s="55"/>
      <c r="Y134" s="55"/>
      <c r="Z134" s="55"/>
      <c r="AA134" s="55"/>
      <c r="AB134" s="55"/>
      <c r="AC134" s="55"/>
      <c r="AD134" s="55"/>
      <c r="AE134" s="55"/>
      <c r="AF134" s="55"/>
      <c r="AG134" s="55"/>
      <c r="AH134" s="55"/>
      <c r="AI134" s="55"/>
      <c r="AJ134" s="55"/>
      <c r="AK134" s="55"/>
      <c r="AL134" s="55"/>
      <c r="AM134" s="55"/>
      <c r="AN134" s="55"/>
      <c r="AO134" s="55"/>
    </row>
    <row r="135" spans="1:41" ht="15.75" customHeight="1">
      <c r="A135" s="43"/>
      <c r="B135" s="115"/>
      <c r="C135" s="116"/>
      <c r="D135" s="130"/>
      <c r="E135" s="115"/>
      <c r="F135" s="115"/>
      <c r="G135" s="116"/>
      <c r="H135" s="115"/>
      <c r="I135" s="43"/>
      <c r="J135" s="115"/>
      <c r="K135" s="116"/>
      <c r="L135" s="130"/>
      <c r="M135" s="115"/>
      <c r="N135" s="115"/>
      <c r="O135" s="116"/>
      <c r="P135" s="115"/>
      <c r="Q135" s="42">
        <f t="shared" si="11"/>
        <v>0</v>
      </c>
      <c r="R135" s="42">
        <f t="shared" si="10"/>
        <v>0</v>
      </c>
      <c r="S135" s="55"/>
      <c r="U135" s="55"/>
      <c r="V135" s="55"/>
      <c r="W135" s="55"/>
      <c r="X135" s="55"/>
      <c r="Y135" s="55"/>
      <c r="Z135" s="55"/>
      <c r="AA135" s="55"/>
      <c r="AB135" s="55"/>
      <c r="AC135" s="55"/>
      <c r="AD135" s="55"/>
      <c r="AE135" s="55"/>
      <c r="AF135" s="55"/>
      <c r="AG135" s="55"/>
      <c r="AH135" s="55"/>
      <c r="AI135" s="55"/>
      <c r="AJ135" s="55"/>
      <c r="AK135" s="55"/>
      <c r="AL135" s="55"/>
      <c r="AM135" s="55"/>
      <c r="AN135" s="55"/>
      <c r="AO135" s="55"/>
    </row>
    <row r="136" spans="1:41" ht="15.75" customHeight="1">
      <c r="A136" s="43" t="s">
        <v>552</v>
      </c>
      <c r="B136" s="312">
        <f>('FTE Pivot Table'!$F$151)*100</f>
        <v>94.78642700379943</v>
      </c>
      <c r="C136" s="312">
        <f>('FTE Pivot Table'!$F$154)*100</f>
        <v>2.386979863613242</v>
      </c>
      <c r="D136" s="130">
        <f>SUM(E136:G136)</f>
        <v>2.755158092345871</v>
      </c>
      <c r="E136" s="312">
        <f>('FTE Pivot Table'!$F$157)*100</f>
        <v>2.285836649053359</v>
      </c>
      <c r="F136" s="315">
        <f>('FTE Pivot Table'!$F$160)*100</f>
        <v>0.0462973542797122</v>
      </c>
      <c r="G136" s="314">
        <f>('FTE Pivot Table'!$F$163)*100</f>
        <v>0.42302408901279986</v>
      </c>
      <c r="H136" s="312">
        <f>('FTE Pivot Table'!$F$166)*100</f>
        <v>0.0714350402414572</v>
      </c>
      <c r="I136" s="43" t="s">
        <v>552</v>
      </c>
      <c r="J136" s="312">
        <f>('FTE Pivot Table'!$F$169)*100</f>
        <v>68.52257819512532</v>
      </c>
      <c r="K136" s="312">
        <f>('FTE Pivot Table'!$F$172)*100</f>
        <v>18.813436442725955</v>
      </c>
      <c r="L136" s="130">
        <f>SUM(M136:O136)</f>
        <v>12.358454740040047</v>
      </c>
      <c r="M136" s="312">
        <f>('FTE Pivot Table'!$F$175)*100</f>
        <v>10.291376096112684</v>
      </c>
      <c r="N136" s="312">
        <f>('FTE Pivot Table'!$F$178)*100</f>
        <v>1.273044258786163</v>
      </c>
      <c r="O136" s="314">
        <f>('FTE Pivot Table'!$F$181)*100</f>
        <v>0.7940343851412001</v>
      </c>
      <c r="P136" s="312">
        <f>('FTE Pivot Table'!$F$184)*100</f>
        <v>0.30553062210867915</v>
      </c>
      <c r="Q136" s="42">
        <f t="shared" si="11"/>
        <v>100</v>
      </c>
      <c r="R136" s="42">
        <f t="shared" si="10"/>
        <v>100</v>
      </c>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row>
    <row r="137" spans="1:41" ht="15.75" customHeight="1">
      <c r="A137" s="43" t="s">
        <v>553</v>
      </c>
      <c r="B137" s="312">
        <f>('FTE Pivot Table'!$F$187)*100</f>
        <v>92.03420070000293</v>
      </c>
      <c r="C137" s="312">
        <f>('FTE Pivot Table'!$F$190)*100</f>
        <v>4.868627584794923</v>
      </c>
      <c r="D137" s="130">
        <f>SUM(E137:G137)</f>
        <v>3.097171715202153</v>
      </c>
      <c r="E137" s="312">
        <f>('FTE Pivot Table'!$F$193)*100</f>
        <v>1.6564136061849841</v>
      </c>
      <c r="F137" s="312">
        <f>('FTE Pivot Table'!$F$196)*100</f>
        <v>1.0728178529993857</v>
      </c>
      <c r="G137" s="314">
        <f>('FTE Pivot Table'!$F$199)*100</f>
        <v>0.3679402560177828</v>
      </c>
      <c r="H137" s="312">
        <f>('FTE Pivot Table'!$F$202)*100</f>
        <v>0</v>
      </c>
      <c r="I137" s="43" t="s">
        <v>553</v>
      </c>
      <c r="J137" s="312">
        <f>('FTE Pivot Table'!$F$205)*100</f>
        <v>77.7106082473291</v>
      </c>
      <c r="K137" s="312">
        <f>('FTE Pivot Table'!$F$208)*100</f>
        <v>8.523268796122322</v>
      </c>
      <c r="L137" s="130">
        <f>SUM(M137:O137)</f>
        <v>13.766122956548577</v>
      </c>
      <c r="M137" s="312">
        <f>('FTE Pivot Table'!$F$211)*100</f>
        <v>11.952545634434369</v>
      </c>
      <c r="N137" s="312">
        <f>('FTE Pivot Table'!$F$214)*100</f>
        <v>1.797238787680745</v>
      </c>
      <c r="O137" s="318">
        <f>('FTE Pivot Table'!$F$217)*100</f>
        <v>0.016338534433461317</v>
      </c>
      <c r="P137" s="312">
        <f>('FTE Pivot Table'!$F$220)*100</f>
        <v>0</v>
      </c>
      <c r="Q137" s="42">
        <f t="shared" si="11"/>
        <v>100</v>
      </c>
      <c r="R137" s="42">
        <f t="shared" si="10"/>
        <v>100</v>
      </c>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row>
    <row r="138" spans="1:41" ht="15.75" customHeight="1">
      <c r="A138" s="43" t="s">
        <v>554</v>
      </c>
      <c r="B138" s="312">
        <f>('FTE Pivot Table'!$F$223)*100</f>
        <v>92.168766687181</v>
      </c>
      <c r="C138" s="312">
        <f>('FTE Pivot Table'!$F$226)*100</f>
        <v>3.6280765724703734</v>
      </c>
      <c r="D138" s="130">
        <f>SUM(E138:G138)</f>
        <v>4.2031567403486205</v>
      </c>
      <c r="E138" s="312">
        <f>('FTE Pivot Table'!$F$229)*100</f>
        <v>3.422994877584922</v>
      </c>
      <c r="F138" s="312">
        <f>('FTE Pivot Table'!$F$232)*100</f>
        <v>0.6768806481914219</v>
      </c>
      <c r="G138" s="314">
        <f>('FTE Pivot Table'!$F$235)*100</f>
        <v>0.10328121457227601</v>
      </c>
      <c r="H138" s="312">
        <f>('FTE Pivot Table'!$F$238)*100</f>
        <v>0</v>
      </c>
      <c r="I138" s="43" t="s">
        <v>554</v>
      </c>
      <c r="J138" s="312">
        <f>('FTE Pivot Table'!$F$241)*100</f>
        <v>82.33409610983982</v>
      </c>
      <c r="K138" s="312">
        <f>('FTE Pivot Table'!$F$244)*100</f>
        <v>2.6640973142237745</v>
      </c>
      <c r="L138" s="130">
        <f>SUM(M138:O138)</f>
        <v>15.001806575936408</v>
      </c>
      <c r="M138" s="312">
        <f>('FTE Pivot Table'!$F$247)*100</f>
        <v>13.567385282428038</v>
      </c>
      <c r="N138" s="312">
        <f>('FTE Pivot Table'!$F$250)*100</f>
        <v>1.4344212935083704</v>
      </c>
      <c r="O138" s="314">
        <f>('FTE Pivot Table'!$F$253)*100</f>
        <v>0</v>
      </c>
      <c r="P138" s="312">
        <f>('FTE Pivot Table'!$F$256)*100</f>
        <v>0</v>
      </c>
      <c r="Q138" s="42">
        <f t="shared" si="11"/>
        <v>100</v>
      </c>
      <c r="R138" s="42">
        <f t="shared" si="10"/>
        <v>100.00000000000001</v>
      </c>
      <c r="S138" s="55"/>
      <c r="T138" s="71"/>
      <c r="U138" s="55"/>
      <c r="V138" s="55"/>
      <c r="W138" s="55"/>
      <c r="X138" s="55"/>
      <c r="Y138" s="55"/>
      <c r="Z138" s="55"/>
      <c r="AA138" s="55"/>
      <c r="AB138" s="55"/>
      <c r="AC138" s="55"/>
      <c r="AD138" s="55"/>
      <c r="AE138" s="55"/>
      <c r="AF138" s="55"/>
      <c r="AG138" s="55"/>
      <c r="AH138" s="55"/>
      <c r="AI138" s="55"/>
      <c r="AJ138" s="55"/>
      <c r="AK138" s="55"/>
      <c r="AL138" s="55"/>
      <c r="AM138" s="55"/>
      <c r="AN138" s="55"/>
      <c r="AO138" s="55"/>
    </row>
    <row r="139" spans="1:41" ht="15.75" customHeight="1">
      <c r="A139" s="43" t="s">
        <v>555</v>
      </c>
      <c r="B139" s="312">
        <f>('FTE Pivot Table'!$F$259)*100</f>
        <v>96.62718103766618</v>
      </c>
      <c r="C139" s="312">
        <f>('FTE Pivot Table'!$F$262)*100</f>
        <v>0.5804560561299852</v>
      </c>
      <c r="D139" s="130">
        <f>SUM(E139:G139)</f>
        <v>2.7923629062038406</v>
      </c>
      <c r="E139" s="312">
        <f>('FTE Pivot Table'!$F$265)*100</f>
        <v>2.632247045790251</v>
      </c>
      <c r="F139" s="312">
        <f>('FTE Pivot Table'!$F$268)*100</f>
        <v>0.16011586041358938</v>
      </c>
      <c r="G139" s="314">
        <f>('FTE Pivot Table'!$F$271)*100</f>
        <v>0</v>
      </c>
      <c r="H139" s="312">
        <f>('FTE Pivot Table'!$F$274)*100</f>
        <v>0</v>
      </c>
      <c r="I139" s="43" t="s">
        <v>555</v>
      </c>
      <c r="J139" s="312">
        <f>('FTE Pivot Table'!$F$277)*100</f>
        <v>85.11382346137623</v>
      </c>
      <c r="K139" s="312">
        <f>('FTE Pivot Table'!$F$280)*100</f>
        <v>7.930222748363745</v>
      </c>
      <c r="L139" s="130">
        <f>SUM(M139:O139)</f>
        <v>6.955953790260032</v>
      </c>
      <c r="M139" s="312">
        <f>('FTE Pivot Table'!$F$283)*100</f>
        <v>5.996652651345062</v>
      </c>
      <c r="N139" s="312">
        <f>('FTE Pivot Table'!$F$286)*100</f>
        <v>0.9593011389149692</v>
      </c>
      <c r="O139" s="314">
        <f>('FTE Pivot Table'!$F$289)*100</f>
        <v>0</v>
      </c>
      <c r="P139" s="312">
        <f>('FTE Pivot Table'!$F$292)*100</f>
        <v>0</v>
      </c>
      <c r="Q139" s="42">
        <f t="shared" si="11"/>
        <v>100</v>
      </c>
      <c r="R139" s="42">
        <f t="shared" si="10"/>
        <v>100</v>
      </c>
      <c r="S139" s="55"/>
      <c r="U139" s="55"/>
      <c r="V139" s="55"/>
      <c r="W139" s="55"/>
      <c r="X139" s="55"/>
      <c r="Y139" s="55"/>
      <c r="Z139" s="55"/>
      <c r="AA139" s="55"/>
      <c r="AB139" s="55"/>
      <c r="AC139" s="55"/>
      <c r="AD139" s="55"/>
      <c r="AE139" s="55"/>
      <c r="AF139" s="55"/>
      <c r="AG139" s="55"/>
      <c r="AH139" s="55"/>
      <c r="AI139" s="55"/>
      <c r="AJ139" s="55"/>
      <c r="AK139" s="55"/>
      <c r="AL139" s="55"/>
      <c r="AM139" s="55"/>
      <c r="AN139" s="55"/>
      <c r="AO139" s="55"/>
    </row>
    <row r="140" spans="1:41" ht="15.75" customHeight="1">
      <c r="A140" s="43"/>
      <c r="B140" s="115"/>
      <c r="C140" s="116"/>
      <c r="D140" s="130"/>
      <c r="E140" s="115"/>
      <c r="F140" s="115"/>
      <c r="G140" s="116"/>
      <c r="H140" s="115"/>
      <c r="I140" s="43"/>
      <c r="J140" s="115"/>
      <c r="K140" s="116"/>
      <c r="L140" s="130"/>
      <c r="M140" s="115"/>
      <c r="N140" s="115"/>
      <c r="O140" s="116"/>
      <c r="P140" s="115"/>
      <c r="Q140" s="42">
        <f t="shared" si="11"/>
        <v>0</v>
      </c>
      <c r="R140" s="42">
        <f t="shared" si="10"/>
        <v>0</v>
      </c>
      <c r="S140" s="55"/>
      <c r="U140" s="55"/>
      <c r="V140" s="55"/>
      <c r="W140" s="55"/>
      <c r="X140" s="55"/>
      <c r="Y140" s="55"/>
      <c r="Z140" s="55"/>
      <c r="AA140" s="55"/>
      <c r="AB140" s="55"/>
      <c r="AC140" s="55"/>
      <c r="AD140" s="55"/>
      <c r="AE140" s="55"/>
      <c r="AF140" s="55"/>
      <c r="AG140" s="55"/>
      <c r="AH140" s="55"/>
      <c r="AI140" s="55"/>
      <c r="AJ140" s="55"/>
      <c r="AK140" s="55"/>
      <c r="AL140" s="55"/>
      <c r="AM140" s="55"/>
      <c r="AN140" s="55"/>
      <c r="AO140" s="55"/>
    </row>
    <row r="141" spans="1:41" ht="15.75" customHeight="1">
      <c r="A141" s="43" t="s">
        <v>206</v>
      </c>
      <c r="B141" s="312">
        <f>('FTE Pivot Table'!$F$295)*100</f>
        <v>96.90280980958016</v>
      </c>
      <c r="C141" s="312">
        <f>('FTE Pivot Table'!$F$298)*100</f>
        <v>0.8669717570064118</v>
      </c>
      <c r="D141" s="130">
        <f>SUM(E141:G141)</f>
        <v>2.2302184334134294</v>
      </c>
      <c r="E141" s="312">
        <f>('FTE Pivot Table'!$F$301)*100</f>
        <v>1.4471666445295048</v>
      </c>
      <c r="F141" s="315">
        <f>('FTE Pivot Table'!$F$304)*100</f>
        <v>0.012678556335051983</v>
      </c>
      <c r="G141" s="314">
        <f>('FTE Pivot Table'!$F$307)*100</f>
        <v>0.7703732325488728</v>
      </c>
      <c r="H141" s="312">
        <f>('FTE Pivot Table'!$F$310)*100</f>
        <v>0</v>
      </c>
      <c r="I141" s="43" t="s">
        <v>206</v>
      </c>
      <c r="J141" s="312">
        <f>('FTE Pivot Table'!$F$313)*100</f>
        <v>86.98587061339147</v>
      </c>
      <c r="K141" s="312">
        <f>('FTE Pivot Table'!$F$316)*100</f>
        <v>4.96834514276131</v>
      </c>
      <c r="L141" s="130">
        <f>SUM(M141:O141)</f>
        <v>8.04578424384722</v>
      </c>
      <c r="M141" s="312">
        <f>('FTE Pivot Table'!$F$319)*100</f>
        <v>7.211437675569159</v>
      </c>
      <c r="N141" s="312">
        <f>('FTE Pivot Table'!$F$322)*100</f>
        <v>0.2012494235042556</v>
      </c>
      <c r="O141" s="314">
        <f>('FTE Pivot Table'!$F$325)*100</f>
        <v>0.6330971447738041</v>
      </c>
      <c r="P141" s="312">
        <f>('FTE Pivot Table'!$F$328)*100</f>
        <v>0</v>
      </c>
      <c r="Q141" s="42">
        <f t="shared" si="11"/>
        <v>100</v>
      </c>
      <c r="R141" s="42">
        <f t="shared" si="10"/>
        <v>100</v>
      </c>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row>
    <row r="142" spans="1:41" ht="15.75" customHeight="1">
      <c r="A142" s="43" t="s">
        <v>214</v>
      </c>
      <c r="B142" s="312">
        <f>('FTE Pivot Table'!$F$331)*100</f>
        <v>95.11325103122293</v>
      </c>
      <c r="C142" s="312">
        <f>('FTE Pivot Table'!$F$334)*100</f>
        <v>2.6510870043891197</v>
      </c>
      <c r="D142" s="130">
        <f>SUM(E142:G142)</f>
        <v>2.2356619643879454</v>
      </c>
      <c r="E142" s="312">
        <f>('FTE Pivot Table'!$F$337)*100</f>
        <v>2.2356619643879454</v>
      </c>
      <c r="F142" s="312">
        <f>('FTE Pivot Table'!$F$340)*100</f>
        <v>0</v>
      </c>
      <c r="G142" s="314">
        <f>('FTE Pivot Table'!$F$343)*100</f>
        <v>0</v>
      </c>
      <c r="H142" s="312">
        <f>('FTE Pivot Table'!$F$346)*100</f>
        <v>0</v>
      </c>
      <c r="I142" s="43" t="s">
        <v>214</v>
      </c>
      <c r="J142" s="312">
        <f>('FTE Pivot Table'!$F$349)*100</f>
        <v>75.36130536130537</v>
      </c>
      <c r="K142" s="312">
        <f>('FTE Pivot Table'!$F$352)*100</f>
        <v>6.923076923076923</v>
      </c>
      <c r="L142" s="130">
        <f>SUM(M142:O142)</f>
        <v>17.715617715617714</v>
      </c>
      <c r="M142" s="312">
        <f>('FTE Pivot Table'!$F$355)*100</f>
        <v>17.715617715617714</v>
      </c>
      <c r="N142" s="312">
        <f>('FTE Pivot Table'!$F$358)*100</f>
        <v>0</v>
      </c>
      <c r="O142" s="314">
        <f>('FTE Pivot Table'!$F$361)*100</f>
        <v>0</v>
      </c>
      <c r="P142" s="312">
        <f>('FTE Pivot Table'!$F$364)*100</f>
        <v>0</v>
      </c>
      <c r="Q142" s="42">
        <f t="shared" si="11"/>
        <v>100</v>
      </c>
      <c r="R142" s="42">
        <f t="shared" si="10"/>
        <v>100</v>
      </c>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row>
    <row r="143" spans="1:41" ht="15.75" customHeight="1">
      <c r="A143" s="43" t="s">
        <v>207</v>
      </c>
      <c r="B143" s="312">
        <f>('FTE Pivot Table'!$F$367)*100</f>
        <v>96.89823606662699</v>
      </c>
      <c r="C143" s="312">
        <f>('FTE Pivot Table'!$F$370)*100</f>
        <v>0</v>
      </c>
      <c r="D143" s="130">
        <f>SUM(E143:G143)</f>
        <v>3.1017639333730145</v>
      </c>
      <c r="E143" s="312">
        <f>('FTE Pivot Table'!$F$373)*100</f>
        <v>2.456940940827452</v>
      </c>
      <c r="F143" s="312">
        <f>('FTE Pivot Table'!$F$376)*100</f>
        <v>0.6448229925455627</v>
      </c>
      <c r="G143" s="314">
        <f>('FTE Pivot Table'!$F$379)*100</f>
        <v>0</v>
      </c>
      <c r="H143" s="312">
        <f>('FTE Pivot Table'!$F$382)*100</f>
        <v>0</v>
      </c>
      <c r="I143" s="43" t="s">
        <v>207</v>
      </c>
      <c r="J143" s="312">
        <f>('FTE Pivot Table'!$F$385)*100</f>
        <v>95.03610621481776</v>
      </c>
      <c r="K143" s="312">
        <f>('FTE Pivot Table'!$F$388)*100</f>
        <v>0</v>
      </c>
      <c r="L143" s="130">
        <f>SUM(M143:O143)</f>
        <v>4.963893785182236</v>
      </c>
      <c r="M143" s="312">
        <f>('FTE Pivot Table'!$F$391)*100</f>
        <v>2.780462841871837</v>
      </c>
      <c r="N143" s="312">
        <f>('FTE Pivot Table'!$F$394)*100</f>
        <v>2.1834309433103996</v>
      </c>
      <c r="O143" s="314">
        <f>('FTE Pivot Table'!$F$397)*100</f>
        <v>0</v>
      </c>
      <c r="P143" s="312">
        <f>('FTE Pivot Table'!$F$400)*100</f>
        <v>0</v>
      </c>
      <c r="Q143" s="42">
        <f t="shared" si="11"/>
        <v>100</v>
      </c>
      <c r="R143" s="42">
        <f t="shared" si="10"/>
        <v>100</v>
      </c>
      <c r="S143" s="55"/>
      <c r="T143" s="71"/>
      <c r="U143" s="55"/>
      <c r="V143" s="55"/>
      <c r="W143" s="55"/>
      <c r="X143" s="55"/>
      <c r="Y143" s="55"/>
      <c r="Z143" s="55"/>
      <c r="AA143" s="55"/>
      <c r="AB143" s="55"/>
      <c r="AC143" s="55"/>
      <c r="AD143" s="55"/>
      <c r="AE143" s="55"/>
      <c r="AF143" s="55"/>
      <c r="AG143" s="55"/>
      <c r="AH143" s="55"/>
      <c r="AI143" s="55"/>
      <c r="AJ143" s="55"/>
      <c r="AK143" s="55"/>
      <c r="AL143" s="55"/>
      <c r="AM143" s="55"/>
      <c r="AN143" s="55"/>
      <c r="AO143" s="55"/>
    </row>
    <row r="144" spans="1:41" ht="15.75" customHeight="1">
      <c r="A144" s="43" t="s">
        <v>556</v>
      </c>
      <c r="B144" s="312">
        <f>('FTE Pivot Table'!$F$403)*100</f>
        <v>0</v>
      </c>
      <c r="C144" s="312">
        <f>('FTE Pivot Table'!$F$406)*100</f>
        <v>0</v>
      </c>
      <c r="D144" s="130">
        <f>SUM(E144:G144)</f>
        <v>0</v>
      </c>
      <c r="E144" s="312">
        <f>('FTE Pivot Table'!$F$409)*100</f>
        <v>0</v>
      </c>
      <c r="F144" s="312">
        <f>('FTE Pivot Table'!$F$412)*100</f>
        <v>0</v>
      </c>
      <c r="G144" s="314">
        <f>('FTE Pivot Table'!$F$415)*100</f>
        <v>0</v>
      </c>
      <c r="H144" s="312">
        <f>('FTE Pivot Table'!$F$418)*100</f>
        <v>0</v>
      </c>
      <c r="I144" s="43" t="s">
        <v>556</v>
      </c>
      <c r="J144" s="312">
        <f>('FTE Pivot Table'!$F$421)*100</f>
        <v>0</v>
      </c>
      <c r="K144" s="312">
        <f>('FTE Pivot Table'!$F$424)*100</f>
        <v>0</v>
      </c>
      <c r="L144" s="130">
        <f>SUM(M144:O144)</f>
        <v>0</v>
      </c>
      <c r="M144" s="312">
        <f>('FTE Pivot Table'!$F$427)*100</f>
        <v>0</v>
      </c>
      <c r="N144" s="312">
        <f>('FTE Pivot Table'!$F$430)*100</f>
        <v>0</v>
      </c>
      <c r="O144" s="314">
        <f>('FTE Pivot Table'!$F$433)*100</f>
        <v>0</v>
      </c>
      <c r="P144" s="312">
        <f>('FTE Pivot Table'!$F$436)*100</f>
        <v>0</v>
      </c>
      <c r="Q144" s="42">
        <f t="shared" si="11"/>
        <v>0</v>
      </c>
      <c r="R144" s="42">
        <f t="shared" si="10"/>
        <v>0</v>
      </c>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row>
    <row r="145" spans="1:41" ht="15.75" customHeight="1">
      <c r="A145" s="43"/>
      <c r="B145" s="115"/>
      <c r="C145" s="116"/>
      <c r="D145" s="130"/>
      <c r="E145" s="115"/>
      <c r="F145" s="115"/>
      <c r="G145" s="116"/>
      <c r="H145" s="115"/>
      <c r="I145" s="43"/>
      <c r="J145" s="115"/>
      <c r="K145" s="116"/>
      <c r="L145" s="130"/>
      <c r="M145" s="115"/>
      <c r="N145" s="115"/>
      <c r="O145" s="116"/>
      <c r="P145" s="115"/>
      <c r="Q145" s="42">
        <f t="shared" si="11"/>
        <v>0</v>
      </c>
      <c r="R145" s="42">
        <f t="shared" si="10"/>
        <v>0</v>
      </c>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row>
    <row r="146" spans="1:41" ht="15.75" customHeight="1">
      <c r="A146" s="43" t="s">
        <v>557</v>
      </c>
      <c r="B146" s="312">
        <f>('FTE Pivot Table'!$F$439)*100</f>
        <v>0</v>
      </c>
      <c r="C146" s="312">
        <f>('FTE Pivot Table'!$F$442)*100</f>
        <v>0</v>
      </c>
      <c r="D146" s="130">
        <f>SUM(E146:G146)</f>
        <v>0</v>
      </c>
      <c r="E146" s="312">
        <f>('FTE Pivot Table'!$F$445)*100</f>
        <v>0</v>
      </c>
      <c r="F146" s="312">
        <f>('FTE Pivot Table'!$F$448)*100</f>
        <v>0</v>
      </c>
      <c r="G146" s="314">
        <f>('FTE Pivot Table'!$F$451)*100</f>
        <v>0</v>
      </c>
      <c r="H146" s="312">
        <f>('FTE Pivot Table'!$F$454)*100</f>
        <v>0</v>
      </c>
      <c r="I146" s="43" t="s">
        <v>557</v>
      </c>
      <c r="J146" s="312">
        <f>('FTE Pivot Table'!$F$457)*100</f>
        <v>0</v>
      </c>
      <c r="K146" s="312">
        <f>('FTE Pivot Table'!$F$460)*100</f>
        <v>0</v>
      </c>
      <c r="L146" s="130">
        <f>SUM(M146:O146)</f>
        <v>0</v>
      </c>
      <c r="M146" s="312">
        <f>('FTE Pivot Table'!$F$463)*100</f>
        <v>0</v>
      </c>
      <c r="N146" s="312">
        <f>('FTE Pivot Table'!$F$466)*100</f>
        <v>0</v>
      </c>
      <c r="O146" s="314">
        <f>('FTE Pivot Table'!$F$469)*100</f>
        <v>0</v>
      </c>
      <c r="P146" s="312">
        <f>('FTE Pivot Table'!$F$472)*100</f>
        <v>0</v>
      </c>
      <c r="Q146" s="42">
        <f t="shared" si="11"/>
        <v>0</v>
      </c>
      <c r="R146" s="42">
        <f t="shared" si="10"/>
        <v>0</v>
      </c>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row>
    <row r="147" spans="1:41" ht="15.75" customHeight="1">
      <c r="A147" s="43" t="s">
        <v>313</v>
      </c>
      <c r="B147" s="312">
        <f>('FTE Pivot Table'!$F$475)*100</f>
        <v>91.93545562793304</v>
      </c>
      <c r="C147" s="312">
        <f>('FTE Pivot Table'!$F$478)*100</f>
        <v>1.9266127337675982</v>
      </c>
      <c r="D147" s="130">
        <f>SUM(E147:G147)</f>
        <v>6.137931638299363</v>
      </c>
      <c r="E147" s="312">
        <f>('FTE Pivot Table'!$F$481)*100</f>
        <v>5.761014218673391</v>
      </c>
      <c r="F147" s="312">
        <f>('FTE Pivot Table'!$F$484)*100</f>
        <v>0.3769174196259718</v>
      </c>
      <c r="G147" s="314">
        <f>('FTE Pivot Table'!$F$487)*100</f>
        <v>0</v>
      </c>
      <c r="H147" s="312">
        <f>('FTE Pivot Table'!$F$490)*100</f>
        <v>0</v>
      </c>
      <c r="I147" s="43" t="s">
        <v>313</v>
      </c>
      <c r="J147" s="312">
        <f>('FTE Pivot Table'!$F$493)*100</f>
        <v>85.25626144600066</v>
      </c>
      <c r="K147" s="312">
        <f>('FTE Pivot Table'!$F$496)*100</f>
        <v>2.0738218679873093</v>
      </c>
      <c r="L147" s="130">
        <f>SUM(M147:O147)</f>
        <v>12.66991668601202</v>
      </c>
      <c r="M147" s="312">
        <f>('FTE Pivot Table'!$F$499)*100</f>
        <v>12.577058990430498</v>
      </c>
      <c r="N147" s="312">
        <f>('FTE Pivot Table'!$F$502)*100</f>
        <v>0.06190513038768088</v>
      </c>
      <c r="O147" s="318">
        <f>('FTE Pivot Table'!$F$505)*100</f>
        <v>0.03095256519384044</v>
      </c>
      <c r="P147" s="312">
        <f>('FTE Pivot Table'!$F$508)*100</f>
        <v>0</v>
      </c>
      <c r="Q147" s="42">
        <f t="shared" si="11"/>
        <v>100</v>
      </c>
      <c r="R147" s="42">
        <f t="shared" si="10"/>
        <v>99.99999999999999</v>
      </c>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row>
    <row r="148" spans="1:41" ht="15.75" customHeight="1">
      <c r="A148" s="43" t="s">
        <v>558</v>
      </c>
      <c r="B148" s="312">
        <f>('FTE Pivot Table'!$F$511)*100</f>
        <v>0</v>
      </c>
      <c r="C148" s="312">
        <f>('FTE Pivot Table'!$F$514)*100</f>
        <v>0</v>
      </c>
      <c r="D148" s="130">
        <f>SUM(E148:G148)</f>
        <v>0</v>
      </c>
      <c r="E148" s="312">
        <f>('FTE Pivot Table'!$F$517)*100</f>
        <v>0</v>
      </c>
      <c r="F148" s="312">
        <f>('FTE Pivot Table'!$F$520)*100</f>
        <v>0</v>
      </c>
      <c r="G148" s="314">
        <f>('FTE Pivot Table'!$F$523)*100</f>
        <v>0</v>
      </c>
      <c r="H148" s="312">
        <f>('FTE Pivot Table'!$F$526)*100</f>
        <v>0</v>
      </c>
      <c r="I148" s="43" t="s">
        <v>558</v>
      </c>
      <c r="J148" s="312">
        <f>('FTE Pivot Table'!$F$529)*100</f>
        <v>0</v>
      </c>
      <c r="K148" s="312">
        <f>('FTE Pivot Table'!$F$532)*100</f>
        <v>0</v>
      </c>
      <c r="L148" s="130">
        <f>SUM(M148:O148)</f>
        <v>0</v>
      </c>
      <c r="M148" s="312">
        <f>('FTE Pivot Table'!$F$535)*100</f>
        <v>0</v>
      </c>
      <c r="N148" s="312">
        <f>('FTE Pivot Table'!$F$538)*100</f>
        <v>0</v>
      </c>
      <c r="O148" s="314">
        <f>('FTE Pivot Table'!$F$541)*100</f>
        <v>0</v>
      </c>
      <c r="P148" s="312">
        <f>('FTE Pivot Table'!$F$544)*100</f>
        <v>0</v>
      </c>
      <c r="Q148" s="42">
        <f t="shared" si="11"/>
        <v>0</v>
      </c>
      <c r="R148" s="42">
        <f t="shared" si="10"/>
        <v>0</v>
      </c>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row>
    <row r="149" spans="1:41" ht="15.75" customHeight="1">
      <c r="A149" s="37" t="s">
        <v>208</v>
      </c>
      <c r="B149" s="316">
        <f>('FTE Pivot Table'!$F$547)*100</f>
        <v>0</v>
      </c>
      <c r="C149" s="316">
        <f>('FTE Pivot Table'!$F$550)*100</f>
        <v>0</v>
      </c>
      <c r="D149" s="132">
        <f>SUM(E149:G149)</f>
        <v>0</v>
      </c>
      <c r="E149" s="316">
        <f>('FTE Pivot Table'!$F$553)*100</f>
        <v>0</v>
      </c>
      <c r="F149" s="316">
        <f>('FTE Pivot Table'!$F$556)*100</f>
        <v>0</v>
      </c>
      <c r="G149" s="317">
        <f>('FTE Pivot Table'!$F$559)*100</f>
        <v>0</v>
      </c>
      <c r="H149" s="316">
        <f>('FTE Pivot Table'!$F$562)*100</f>
        <v>0</v>
      </c>
      <c r="I149" s="37" t="s">
        <v>208</v>
      </c>
      <c r="J149" s="316">
        <f>('FTE Pivot Table'!$F$565)*100</f>
        <v>0</v>
      </c>
      <c r="K149" s="316">
        <f>('FTE Pivot Table'!$F$568)*100</f>
        <v>0</v>
      </c>
      <c r="L149" s="132">
        <f>SUM(M149:O149)</f>
        <v>0</v>
      </c>
      <c r="M149" s="316">
        <f>('FTE Pivot Table'!$F$571)*100</f>
        <v>0</v>
      </c>
      <c r="N149" s="316">
        <f>('FTE Pivot Table'!$F$574)*100</f>
        <v>0</v>
      </c>
      <c r="O149" s="317">
        <f>('FTE Pivot Table'!$F$577)*100</f>
        <v>0</v>
      </c>
      <c r="P149" s="316">
        <f>('FTE Pivot Table'!$F$580)*100</f>
        <v>0</v>
      </c>
      <c r="Q149" s="42">
        <f t="shared" si="11"/>
        <v>0</v>
      </c>
      <c r="R149" s="42">
        <f t="shared" si="10"/>
        <v>0</v>
      </c>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row>
    <row r="150" spans="1:41" s="76" customFormat="1" ht="18" customHeight="1">
      <c r="A150" s="133" t="s">
        <v>608</v>
      </c>
      <c r="B150" s="80"/>
      <c r="C150" s="80"/>
      <c r="D150" s="81"/>
      <c r="E150" s="80"/>
      <c r="F150" s="81"/>
      <c r="G150" s="81"/>
      <c r="H150" s="80"/>
      <c r="I150" s="133" t="s">
        <v>608</v>
      </c>
      <c r="J150" s="80"/>
      <c r="K150" s="80"/>
      <c r="L150" s="81"/>
      <c r="M150" s="80"/>
      <c r="N150" s="81"/>
      <c r="O150" s="81"/>
      <c r="P150" s="80"/>
      <c r="Q150" s="80"/>
      <c r="R150" s="80"/>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row>
    <row r="151" spans="1:18" s="76" customFormat="1" ht="13.5" customHeight="1">
      <c r="A151" s="133"/>
      <c r="B151" s="75"/>
      <c r="H151" s="343" t="s">
        <v>439</v>
      </c>
      <c r="I151" s="133"/>
      <c r="P151" s="343" t="s">
        <v>439</v>
      </c>
      <c r="Q151" s="78"/>
      <c r="R151" s="79"/>
    </row>
    <row r="152" spans="1:18" ht="18">
      <c r="A152" s="34" t="s">
        <v>576</v>
      </c>
      <c r="B152" s="35"/>
      <c r="C152" s="35"/>
      <c r="D152" s="35"/>
      <c r="E152" s="35"/>
      <c r="F152" s="35"/>
      <c r="G152" s="35"/>
      <c r="H152" s="53"/>
      <c r="I152" s="34" t="s">
        <v>592</v>
      </c>
      <c r="J152" s="36"/>
      <c r="K152" s="36"/>
      <c r="L152" s="35"/>
      <c r="M152" s="36"/>
      <c r="N152" s="36"/>
      <c r="O152" s="36"/>
      <c r="P152" s="36"/>
      <c r="Q152" s="67"/>
      <c r="R152" s="68"/>
    </row>
    <row r="153" spans="1:18" ht="12.75">
      <c r="A153" s="90"/>
      <c r="B153" s="36"/>
      <c r="C153" s="36"/>
      <c r="D153" s="36"/>
      <c r="E153" s="36"/>
      <c r="F153" s="36"/>
      <c r="G153" s="36"/>
      <c r="H153" s="48"/>
      <c r="I153" s="90"/>
      <c r="J153" s="36"/>
      <c r="K153" s="36"/>
      <c r="L153" s="36"/>
      <c r="M153" s="36"/>
      <c r="N153" s="36"/>
      <c r="O153" s="36"/>
      <c r="P153" s="36"/>
      <c r="R153" s="70"/>
    </row>
    <row r="154" spans="1:18" ht="15.75">
      <c r="A154" s="45" t="s">
        <v>595</v>
      </c>
      <c r="B154" s="36"/>
      <c r="C154" s="36"/>
      <c r="D154" s="36"/>
      <c r="E154" s="36"/>
      <c r="F154" s="36"/>
      <c r="G154" s="36"/>
      <c r="H154" s="48"/>
      <c r="I154" s="45" t="s">
        <v>596</v>
      </c>
      <c r="J154" s="36"/>
      <c r="K154" s="36"/>
      <c r="L154" s="36"/>
      <c r="M154" s="36"/>
      <c r="N154" s="36"/>
      <c r="O154" s="36"/>
      <c r="P154" s="36"/>
      <c r="R154" s="70" t="s">
        <v>73</v>
      </c>
    </row>
    <row r="155" spans="1:18" ht="15.75">
      <c r="A155" s="45" t="s">
        <v>812</v>
      </c>
      <c r="B155" s="36"/>
      <c r="C155" s="36"/>
      <c r="D155" s="36"/>
      <c r="E155" s="36"/>
      <c r="F155" s="36"/>
      <c r="G155" s="36"/>
      <c r="H155" s="48"/>
      <c r="I155" s="45" t="s">
        <v>812</v>
      </c>
      <c r="J155" s="36"/>
      <c r="K155" s="36"/>
      <c r="L155" s="36"/>
      <c r="M155" s="36"/>
      <c r="N155" s="36"/>
      <c r="O155" s="36"/>
      <c r="P155" s="36"/>
      <c r="R155" s="70" t="s">
        <v>73</v>
      </c>
    </row>
    <row r="156" spans="1:16" ht="12.75">
      <c r="A156" s="37"/>
      <c r="B156" s="38"/>
      <c r="C156" s="38"/>
      <c r="D156" s="38"/>
      <c r="E156" s="38"/>
      <c r="F156" s="38"/>
      <c r="G156" s="38"/>
      <c r="H156" s="38"/>
      <c r="I156" s="39"/>
      <c r="L156" s="40"/>
      <c r="P156" s="37"/>
    </row>
    <row r="157" spans="1:18" s="102" customFormat="1" ht="12">
      <c r="A157" s="97"/>
      <c r="B157" s="98" t="s">
        <v>315</v>
      </c>
      <c r="C157" s="98"/>
      <c r="D157" s="98"/>
      <c r="E157" s="98"/>
      <c r="F157" s="98"/>
      <c r="G157" s="98"/>
      <c r="H157" s="99"/>
      <c r="I157" s="97"/>
      <c r="J157" s="98" t="s">
        <v>315</v>
      </c>
      <c r="K157" s="98"/>
      <c r="L157" s="98"/>
      <c r="M157" s="98"/>
      <c r="N157" s="98"/>
      <c r="O157" s="98"/>
      <c r="P157" s="99"/>
      <c r="Q157" s="100"/>
      <c r="R157" s="101"/>
    </row>
    <row r="158" spans="1:18" s="102" customFormat="1" ht="12">
      <c r="A158" s="97"/>
      <c r="B158" s="98" t="s">
        <v>211</v>
      </c>
      <c r="C158" s="98"/>
      <c r="D158" s="421" t="s">
        <v>603</v>
      </c>
      <c r="E158" s="422"/>
      <c r="F158" s="422"/>
      <c r="G158" s="422"/>
      <c r="H158" s="103" t="s">
        <v>73</v>
      </c>
      <c r="I158" s="97"/>
      <c r="J158" s="98" t="s">
        <v>211</v>
      </c>
      <c r="K158" s="98"/>
      <c r="L158" s="421" t="s">
        <v>603</v>
      </c>
      <c r="M158" s="422"/>
      <c r="N158" s="422"/>
      <c r="O158" s="422"/>
      <c r="P158" s="103" t="s">
        <v>73</v>
      </c>
      <c r="Q158" s="100"/>
      <c r="R158" s="101"/>
    </row>
    <row r="159" spans="1:20" s="102" customFormat="1" ht="40.5" customHeight="1">
      <c r="A159" s="97"/>
      <c r="B159" s="104" t="s">
        <v>594</v>
      </c>
      <c r="C159" s="105" t="s">
        <v>593</v>
      </c>
      <c r="D159" s="106" t="s">
        <v>601</v>
      </c>
      <c r="E159" s="107" t="s">
        <v>71</v>
      </c>
      <c r="F159" s="104" t="s">
        <v>212</v>
      </c>
      <c r="G159" s="108" t="s">
        <v>605</v>
      </c>
      <c r="H159" s="109" t="s">
        <v>604</v>
      </c>
      <c r="I159" s="97"/>
      <c r="J159" s="104" t="s">
        <v>594</v>
      </c>
      <c r="K159" s="105" t="s">
        <v>593</v>
      </c>
      <c r="L159" s="106" t="s">
        <v>601</v>
      </c>
      <c r="M159" s="107" t="s">
        <v>71</v>
      </c>
      <c r="N159" s="104" t="s">
        <v>212</v>
      </c>
      <c r="O159" s="108" t="s">
        <v>605</v>
      </c>
      <c r="P159" s="109" t="s">
        <v>604</v>
      </c>
      <c r="Q159" s="110"/>
      <c r="R159" s="111"/>
      <c r="T159" s="112"/>
    </row>
    <row r="160" spans="1:41" ht="15.75" customHeight="1">
      <c r="A160" s="44" t="s">
        <v>548</v>
      </c>
      <c r="B160" s="312">
        <f>('FTE Pivot Table'!$G$7)*100</f>
        <v>81.6300190587638</v>
      </c>
      <c r="C160" s="312">
        <f>('FTE Pivot Table'!$G$10)*100</f>
        <v>4.197230241052491</v>
      </c>
      <c r="D160" s="130">
        <f>SUM(E160:G160)</f>
        <v>12.41874212158889</v>
      </c>
      <c r="E160" s="312">
        <f>('FTE Pivot Table'!$G$13)*100</f>
        <v>9.004943232417968</v>
      </c>
      <c r="F160" s="312">
        <f>('FTE Pivot Table'!$G$16)*100</f>
        <v>3.413798889170922</v>
      </c>
      <c r="G160" s="313">
        <f>('FTE Pivot Table'!$G$19)*100</f>
        <v>0</v>
      </c>
      <c r="H160" s="312">
        <f>('FTE Pivot Table'!$G$22)*100</f>
        <v>1.754008578594814</v>
      </c>
      <c r="I160" s="44" t="s">
        <v>548</v>
      </c>
      <c r="J160" s="312">
        <f>('FTE Pivot Table'!$G$25)*100</f>
        <v>66.41840875237557</v>
      </c>
      <c r="K160" s="312">
        <f>('FTE Pivot Table'!$G$28)*100</f>
        <v>13.482972931326726</v>
      </c>
      <c r="L160" s="130">
        <f>SUM(M160:O160)</f>
        <v>20.098618316297703</v>
      </c>
      <c r="M160" s="312">
        <f>('FTE Pivot Table'!$G$31)*100</f>
        <v>20.021572756690123</v>
      </c>
      <c r="N160" s="312">
        <f>('FTE Pivot Table'!$G$34)*100</f>
        <v>0.07704555960758128</v>
      </c>
      <c r="O160" s="313">
        <f>('FTE Pivot Table'!$G$37)*100</f>
        <v>0</v>
      </c>
      <c r="P160" s="312">
        <f>('FTE Pivot Table'!$G$40)*100</f>
        <v>0</v>
      </c>
      <c r="Q160" s="42">
        <f aca="true" t="shared" si="12" ref="Q160:Q178">SUM(B160,C160,D160,H160)</f>
        <v>100.00000000000001</v>
      </c>
      <c r="R160" s="42">
        <f aca="true" t="shared" si="13" ref="R160:R178">SUM(J160,K160,L160,P160)</f>
        <v>100</v>
      </c>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row>
    <row r="161" spans="1:41" ht="15.75" customHeight="1">
      <c r="A161" s="43" t="s">
        <v>549</v>
      </c>
      <c r="B161" s="312">
        <f>('FTE Pivot Table'!$G$43)*100</f>
        <v>93.45566354726562</v>
      </c>
      <c r="C161" s="312">
        <f>('FTE Pivot Table'!$G$46)*100</f>
        <v>4.011157633603345</v>
      </c>
      <c r="D161" s="130">
        <f>SUM(E161:G161)</f>
        <v>2.533178819131032</v>
      </c>
      <c r="E161" s="312">
        <f>('FTE Pivot Table'!$G$49)*100</f>
        <v>2.22395630120952</v>
      </c>
      <c r="F161" s="312">
        <f>('FTE Pivot Table'!$G$52)*100</f>
        <v>0.2681675508528369</v>
      </c>
      <c r="G161" s="318">
        <f>('FTE Pivot Table'!$G$55)*100</f>
        <v>0.04105496706867535</v>
      </c>
      <c r="H161" s="312">
        <f>('FTE Pivot Table'!$G$58)*100</f>
        <v>0</v>
      </c>
      <c r="I161" s="43" t="s">
        <v>549</v>
      </c>
      <c r="J161" s="312">
        <f>('FTE Pivot Table'!$G$61)*100</f>
        <v>78.3811475409836</v>
      </c>
      <c r="K161" s="312">
        <f>('FTE Pivot Table'!$G$64)*100</f>
        <v>16.164129586260735</v>
      </c>
      <c r="L161" s="130">
        <f>SUM(M161:O161)</f>
        <v>5.45472287275566</v>
      </c>
      <c r="M161" s="312">
        <f>('FTE Pivot Table'!$G$67)*100</f>
        <v>4.415495706479313</v>
      </c>
      <c r="N161" s="312">
        <f>('FTE Pivot Table'!$G$70)*100</f>
        <v>0.8050351288056207</v>
      </c>
      <c r="O161" s="314">
        <f>('FTE Pivot Table'!$G$73)*100</f>
        <v>0.234192037470726</v>
      </c>
      <c r="P161" s="312">
        <f>('FTE Pivot Table'!$G$76)*100</f>
        <v>0</v>
      </c>
      <c r="Q161" s="42">
        <f t="shared" si="12"/>
        <v>100</v>
      </c>
      <c r="R161" s="42">
        <f t="shared" si="13"/>
        <v>100</v>
      </c>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row>
    <row r="162" spans="1:41" ht="15.75" customHeight="1">
      <c r="A162" s="43" t="s">
        <v>550</v>
      </c>
      <c r="B162" s="312">
        <f>('FTE Pivot Table'!$G$79)*100</f>
        <v>0</v>
      </c>
      <c r="C162" s="312">
        <f>('FTE Pivot Table'!$G$82)*100</f>
        <v>0</v>
      </c>
      <c r="D162" s="130">
        <f>SUM(E162:G162)</f>
        <v>0</v>
      </c>
      <c r="E162" s="312">
        <f>('FTE Pivot Table'!$G$85)*100</f>
        <v>0</v>
      </c>
      <c r="F162" s="312">
        <f>('FTE Pivot Table'!$G$88)*100</f>
        <v>0</v>
      </c>
      <c r="G162" s="314">
        <f>('FTE Pivot Table'!$G$91)*100</f>
        <v>0</v>
      </c>
      <c r="H162" s="312">
        <f>('FTE Pivot Table'!$G$94)*100</f>
        <v>0</v>
      </c>
      <c r="I162" s="43" t="s">
        <v>550</v>
      </c>
      <c r="J162" s="312">
        <f>('FTE Pivot Table'!$G$97)*100</f>
        <v>0</v>
      </c>
      <c r="K162" s="312">
        <f>('FTE Pivot Table'!$G$100)*100</f>
        <v>0</v>
      </c>
      <c r="L162" s="130">
        <f>SUM(M162:O162)</f>
        <v>0</v>
      </c>
      <c r="M162" s="312">
        <f>('FTE Pivot Table'!$G$103)*100</f>
        <v>0</v>
      </c>
      <c r="N162" s="312">
        <f>('FTE Pivot Table'!$G$106)*100</f>
        <v>0</v>
      </c>
      <c r="O162" s="314">
        <f>('FTE Pivot Table'!$G$109)*100</f>
        <v>0</v>
      </c>
      <c r="P162" s="312">
        <f>('FTE Pivot Table'!$G$112)*100</f>
        <v>0</v>
      </c>
      <c r="Q162" s="42">
        <f t="shared" si="12"/>
        <v>0</v>
      </c>
      <c r="R162" s="42">
        <f t="shared" si="13"/>
        <v>0</v>
      </c>
      <c r="S162" s="55"/>
      <c r="T162" s="71"/>
      <c r="U162" s="55"/>
      <c r="V162" s="55"/>
      <c r="W162" s="55"/>
      <c r="X162" s="55"/>
      <c r="Y162" s="55"/>
      <c r="Z162" s="55"/>
      <c r="AA162" s="55"/>
      <c r="AB162" s="55"/>
      <c r="AC162" s="55"/>
      <c r="AD162" s="55"/>
      <c r="AE162" s="55"/>
      <c r="AF162" s="55"/>
      <c r="AG162" s="55"/>
      <c r="AH162" s="55"/>
      <c r="AI162" s="55"/>
      <c r="AJ162" s="55"/>
      <c r="AK162" s="55"/>
      <c r="AL162" s="55"/>
      <c r="AM162" s="55"/>
      <c r="AN162" s="55"/>
      <c r="AO162" s="55"/>
    </row>
    <row r="163" spans="1:41" ht="15.75" customHeight="1">
      <c r="A163" s="43" t="s">
        <v>551</v>
      </c>
      <c r="B163" s="312">
        <f>('FTE Pivot Table'!$G$115)*100</f>
        <v>84.59792344442715</v>
      </c>
      <c r="C163" s="312">
        <f>('FTE Pivot Table'!$G$118)*100</f>
        <v>2.4895721508821675</v>
      </c>
      <c r="D163" s="130">
        <f>SUM(E163:G163)</f>
        <v>12.912504404690688</v>
      </c>
      <c r="E163" s="312">
        <f>('FTE Pivot Table'!$G$121)*100</f>
        <v>12.890378516582125</v>
      </c>
      <c r="F163" s="315">
        <f>('FTE Pivot Table'!$G$124)*100</f>
        <v>0.02212588810856436</v>
      </c>
      <c r="G163" s="314">
        <f>('FTE Pivot Table'!$G$127)*100</f>
        <v>0</v>
      </c>
      <c r="H163" s="312">
        <f>('FTE Pivot Table'!$G$130)*100</f>
        <v>0</v>
      </c>
      <c r="I163" s="43" t="s">
        <v>551</v>
      </c>
      <c r="J163" s="312">
        <f>('FTE Pivot Table'!$G$133)*100</f>
        <v>68.77401091864932</v>
      </c>
      <c r="K163" s="312">
        <f>('FTE Pivot Table'!$G$136)*100</f>
        <v>4.980791265080542</v>
      </c>
      <c r="L163" s="130">
        <f>SUM(M163:O163)</f>
        <v>26.24519781627013</v>
      </c>
      <c r="M163" s="312">
        <f>('FTE Pivot Table'!$G$139)*100</f>
        <v>26.24519781627013</v>
      </c>
      <c r="N163" s="312">
        <f>('FTE Pivot Table'!$G$142)*100</f>
        <v>0</v>
      </c>
      <c r="O163" s="314">
        <f>('FTE Pivot Table'!$G$145)*100</f>
        <v>0</v>
      </c>
      <c r="P163" s="312">
        <f>('FTE Pivot Table'!$G$148)*100</f>
        <v>0</v>
      </c>
      <c r="Q163" s="42">
        <f t="shared" si="12"/>
        <v>100.00000000000001</v>
      </c>
      <c r="R163" s="42">
        <f t="shared" si="13"/>
        <v>100</v>
      </c>
      <c r="S163" s="55"/>
      <c r="U163" s="55"/>
      <c r="V163" s="55"/>
      <c r="W163" s="55"/>
      <c r="X163" s="55"/>
      <c r="Y163" s="55"/>
      <c r="Z163" s="55"/>
      <c r="AA163" s="55"/>
      <c r="AB163" s="55"/>
      <c r="AC163" s="55"/>
      <c r="AD163" s="55"/>
      <c r="AE163" s="55"/>
      <c r="AF163" s="55"/>
      <c r="AG163" s="55"/>
      <c r="AH163" s="55"/>
      <c r="AI163" s="55"/>
      <c r="AJ163" s="55"/>
      <c r="AK163" s="55"/>
      <c r="AL163" s="55"/>
      <c r="AM163" s="55"/>
      <c r="AN163" s="55"/>
      <c r="AO163" s="55"/>
    </row>
    <row r="164" spans="1:41" ht="15.75" customHeight="1">
      <c r="A164" s="43"/>
      <c r="B164" s="115"/>
      <c r="C164" s="116"/>
      <c r="D164" s="130"/>
      <c r="E164" s="115"/>
      <c r="F164" s="115"/>
      <c r="G164" s="116"/>
      <c r="H164" s="115"/>
      <c r="I164" s="43"/>
      <c r="J164" s="115"/>
      <c r="K164" s="116"/>
      <c r="L164" s="130"/>
      <c r="M164" s="115"/>
      <c r="N164" s="115"/>
      <c r="O164" s="116"/>
      <c r="P164" s="115"/>
      <c r="Q164" s="42">
        <f t="shared" si="12"/>
        <v>0</v>
      </c>
      <c r="R164" s="42">
        <f t="shared" si="13"/>
        <v>0</v>
      </c>
      <c r="S164" s="55"/>
      <c r="U164" s="55"/>
      <c r="V164" s="55"/>
      <c r="W164" s="55"/>
      <c r="X164" s="55"/>
      <c r="Y164" s="55"/>
      <c r="Z164" s="55"/>
      <c r="AA164" s="55"/>
      <c r="AB164" s="55"/>
      <c r="AC164" s="55"/>
      <c r="AD164" s="55"/>
      <c r="AE164" s="55"/>
      <c r="AF164" s="55"/>
      <c r="AG164" s="55"/>
      <c r="AH164" s="55"/>
      <c r="AI164" s="55"/>
      <c r="AJ164" s="55"/>
      <c r="AK164" s="55"/>
      <c r="AL164" s="55"/>
      <c r="AM164" s="55"/>
      <c r="AN164" s="55"/>
      <c r="AO164" s="55"/>
    </row>
    <row r="165" spans="1:41" ht="15.75" customHeight="1">
      <c r="A165" s="43" t="s">
        <v>552</v>
      </c>
      <c r="B165" s="312">
        <f>('FTE Pivot Table'!$G$151)*100</f>
        <v>95.95282171314958</v>
      </c>
      <c r="C165" s="312">
        <f>('FTE Pivot Table'!$G$154)*100</f>
        <v>1.6438874664729184</v>
      </c>
      <c r="D165" s="130">
        <f>SUM(E165:G165)</f>
        <v>2.4032908203775043</v>
      </c>
      <c r="E165" s="312">
        <f>('FTE Pivot Table'!$G$157)*100</f>
        <v>1.6954424922178013</v>
      </c>
      <c r="F165" s="312">
        <f>('FTE Pivot Table'!$G$160)*100</f>
        <v>0.700669780271175</v>
      </c>
      <c r="G165" s="318">
        <f>('FTE Pivot Table'!$G$163)*100</f>
        <v>0.0071785478885280285</v>
      </c>
      <c r="H165" s="312">
        <f>('FTE Pivot Table'!$G$166)*100</f>
        <v>0</v>
      </c>
      <c r="I165" s="43" t="s">
        <v>552</v>
      </c>
      <c r="J165" s="312">
        <f>('FTE Pivot Table'!$G$169)*100</f>
        <v>86.42652906957636</v>
      </c>
      <c r="K165" s="312">
        <f>('FTE Pivot Table'!$G$172)*100</f>
        <v>6.45479344003681</v>
      </c>
      <c r="L165" s="130">
        <f>SUM(M165:O165)</f>
        <v>7.115390935682125</v>
      </c>
      <c r="M165" s="312">
        <f>('FTE Pivot Table'!$G$175)*100</f>
        <v>6.504091760607356</v>
      </c>
      <c r="N165" s="312">
        <f>('FTE Pivot Table'!$G$178)*100</f>
        <v>0.6112991750747692</v>
      </c>
      <c r="O165" s="314">
        <f>('FTE Pivot Table'!$G$181)*100</f>
        <v>0</v>
      </c>
      <c r="P165" s="320">
        <f>('FTE Pivot Table'!$G$184)*100</f>
        <v>0.00328655470470306</v>
      </c>
      <c r="Q165" s="42">
        <f t="shared" si="12"/>
        <v>100</v>
      </c>
      <c r="R165" s="42">
        <f t="shared" si="13"/>
        <v>100</v>
      </c>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row>
    <row r="166" spans="1:41" ht="15.75" customHeight="1">
      <c r="A166" s="43" t="s">
        <v>553</v>
      </c>
      <c r="B166" s="312">
        <f>('FTE Pivot Table'!$G$187)*100</f>
        <v>90.80117417166666</v>
      </c>
      <c r="C166" s="312">
        <f>('FTE Pivot Table'!$G$190)*100</f>
        <v>0</v>
      </c>
      <c r="D166" s="130">
        <f>SUM(E166:G166)</f>
        <v>9.198825828333348</v>
      </c>
      <c r="E166" s="312">
        <f>('FTE Pivot Table'!$G$193)*100</f>
        <v>6.451057529246689</v>
      </c>
      <c r="F166" s="312">
        <f>('FTE Pivot Table'!$G$196)*100</f>
        <v>0.7265402394828135</v>
      </c>
      <c r="G166" s="314">
        <f>('FTE Pivot Table'!$G$199)*100</f>
        <v>2.021228059603846</v>
      </c>
      <c r="H166" s="312">
        <f>('FTE Pivot Table'!$G$202)*100</f>
        <v>0</v>
      </c>
      <c r="I166" s="43" t="s">
        <v>553</v>
      </c>
      <c r="J166" s="312">
        <f>('FTE Pivot Table'!$G$205)*100</f>
        <v>96.14065180102916</v>
      </c>
      <c r="K166" s="312">
        <f>('FTE Pivot Table'!$G$208)*100</f>
        <v>0</v>
      </c>
      <c r="L166" s="130">
        <f>SUM(M166:O166)</f>
        <v>3.859348198970841</v>
      </c>
      <c r="M166" s="312">
        <f>('FTE Pivot Table'!$G$211)*100</f>
        <v>2.0583190394511153</v>
      </c>
      <c r="N166" s="312">
        <f>('FTE Pivot Table'!$G$214)*100</f>
        <v>1.8010291595197256</v>
      </c>
      <c r="O166" s="314">
        <f>('FTE Pivot Table'!$G$217)*100</f>
        <v>0</v>
      </c>
      <c r="P166" s="312">
        <f>('FTE Pivot Table'!$G$220)*100</f>
        <v>0</v>
      </c>
      <c r="Q166" s="42">
        <f t="shared" si="12"/>
        <v>100</v>
      </c>
      <c r="R166" s="42">
        <f t="shared" si="13"/>
        <v>100</v>
      </c>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row>
    <row r="167" spans="1:41" ht="15.75" customHeight="1">
      <c r="A167" s="43" t="s">
        <v>554</v>
      </c>
      <c r="B167" s="312">
        <f>('FTE Pivot Table'!$G$223)*100</f>
        <v>97.76763460780155</v>
      </c>
      <c r="C167" s="312">
        <f>('FTE Pivot Table'!$G$226)*100</f>
        <v>0.8987493397019545</v>
      </c>
      <c r="D167" s="130">
        <f>SUM(E167:G167)</f>
        <v>1.3336160524964846</v>
      </c>
      <c r="E167" s="312">
        <f>('FTE Pivot Table'!$G$229)*100</f>
        <v>1.235408343191304</v>
      </c>
      <c r="F167" s="315">
        <f>('FTE Pivot Table'!$G$232)*100</f>
        <v>0.04352387116934134</v>
      </c>
      <c r="G167" s="314">
        <f>('FTE Pivot Table'!$G$235)*100</f>
        <v>0.054683838135839116</v>
      </c>
      <c r="H167" s="312">
        <f>('FTE Pivot Table'!$G$238)*100</f>
        <v>0</v>
      </c>
      <c r="I167" s="43" t="s">
        <v>554</v>
      </c>
      <c r="J167" s="312">
        <f>('FTE Pivot Table'!$G$241)*100</f>
        <v>95.8103687771654</v>
      </c>
      <c r="K167" s="312">
        <f>('FTE Pivot Table'!$G$244)*100</f>
        <v>2.011919164762289</v>
      </c>
      <c r="L167" s="130">
        <f>SUM(M167:O167)</f>
        <v>2.1777120580723217</v>
      </c>
      <c r="M167" s="312">
        <f>('FTE Pivot Table'!$G$247)*100</f>
        <v>2.1777120580723217</v>
      </c>
      <c r="N167" s="312">
        <f>('FTE Pivot Table'!$G$250)*100</f>
        <v>0</v>
      </c>
      <c r="O167" s="314">
        <f>('FTE Pivot Table'!$G$253)*100</f>
        <v>0</v>
      </c>
      <c r="P167" s="312">
        <f>('FTE Pivot Table'!$G$256)*100</f>
        <v>0</v>
      </c>
      <c r="Q167" s="42">
        <f t="shared" si="12"/>
        <v>99.99999999999999</v>
      </c>
      <c r="R167" s="42">
        <f t="shared" si="13"/>
        <v>100</v>
      </c>
      <c r="S167" s="55"/>
      <c r="T167" s="71"/>
      <c r="U167" s="55"/>
      <c r="V167" s="55"/>
      <c r="W167" s="55"/>
      <c r="X167" s="55"/>
      <c r="Y167" s="55"/>
      <c r="Z167" s="55"/>
      <c r="AA167" s="55"/>
      <c r="AB167" s="55"/>
      <c r="AC167" s="55"/>
      <c r="AD167" s="55"/>
      <c r="AE167" s="55"/>
      <c r="AF167" s="55"/>
      <c r="AG167" s="55"/>
      <c r="AH167" s="55"/>
      <c r="AI167" s="55"/>
      <c r="AJ167" s="55"/>
      <c r="AK167" s="55"/>
      <c r="AL167" s="55"/>
      <c r="AM167" s="55"/>
      <c r="AN167" s="55"/>
      <c r="AO167" s="55"/>
    </row>
    <row r="168" spans="1:41" ht="15.75" customHeight="1">
      <c r="A168" s="43" t="s">
        <v>555</v>
      </c>
      <c r="B168" s="312">
        <f>('FTE Pivot Table'!$G$259)*100</f>
        <v>0</v>
      </c>
      <c r="C168" s="312">
        <f>('FTE Pivot Table'!$G$262)*100</f>
        <v>0</v>
      </c>
      <c r="D168" s="130">
        <f>SUM(E168:G168)</f>
        <v>0</v>
      </c>
      <c r="E168" s="312">
        <f>('FTE Pivot Table'!$G$265)*100</f>
        <v>0</v>
      </c>
      <c r="F168" s="312">
        <f>('FTE Pivot Table'!$G$268)*100</f>
        <v>0</v>
      </c>
      <c r="G168" s="314">
        <f>('FTE Pivot Table'!$G$271)*100</f>
        <v>0</v>
      </c>
      <c r="H168" s="312">
        <f>('FTE Pivot Table'!$G$274)*100</f>
        <v>0</v>
      </c>
      <c r="I168" s="43" t="s">
        <v>555</v>
      </c>
      <c r="J168" s="312">
        <f>('FTE Pivot Table'!$G$277)*100</f>
        <v>0</v>
      </c>
      <c r="K168" s="312">
        <f>('FTE Pivot Table'!$G$280)*100</f>
        <v>0</v>
      </c>
      <c r="L168" s="130">
        <f>SUM(M168:O168)</f>
        <v>0</v>
      </c>
      <c r="M168" s="312">
        <f>('FTE Pivot Table'!$G$283)*100</f>
        <v>0</v>
      </c>
      <c r="N168" s="312">
        <f>('FTE Pivot Table'!$G$286)*100</f>
        <v>0</v>
      </c>
      <c r="O168" s="314">
        <f>('FTE Pivot Table'!$G$289)*100</f>
        <v>0</v>
      </c>
      <c r="P168" s="312">
        <f>('FTE Pivot Table'!$G$292)*100</f>
        <v>0</v>
      </c>
      <c r="Q168" s="42">
        <f t="shared" si="12"/>
        <v>0</v>
      </c>
      <c r="R168" s="42">
        <f t="shared" si="13"/>
        <v>0</v>
      </c>
      <c r="S168" s="55"/>
      <c r="U168" s="55"/>
      <c r="V168" s="55"/>
      <c r="W168" s="55"/>
      <c r="X168" s="55"/>
      <c r="Y168" s="55"/>
      <c r="Z168" s="55"/>
      <c r="AA168" s="55"/>
      <c r="AB168" s="55"/>
      <c r="AC168" s="55"/>
      <c r="AD168" s="55"/>
      <c r="AE168" s="55"/>
      <c r="AF168" s="55"/>
      <c r="AG168" s="55"/>
      <c r="AH168" s="55"/>
      <c r="AI168" s="55"/>
      <c r="AJ168" s="55"/>
      <c r="AK168" s="55"/>
      <c r="AL168" s="55"/>
      <c r="AM168" s="55"/>
      <c r="AN168" s="55"/>
      <c r="AO168" s="55"/>
    </row>
    <row r="169" spans="1:41" ht="15.75" customHeight="1">
      <c r="A169" s="43"/>
      <c r="B169" s="115"/>
      <c r="C169" s="116"/>
      <c r="D169" s="130"/>
      <c r="E169" s="115"/>
      <c r="F169" s="115"/>
      <c r="G169" s="116"/>
      <c r="H169" s="115"/>
      <c r="I169" s="43"/>
      <c r="J169" s="115"/>
      <c r="K169" s="116"/>
      <c r="L169" s="130"/>
      <c r="M169" s="115"/>
      <c r="N169" s="115"/>
      <c r="O169" s="116"/>
      <c r="P169" s="115"/>
      <c r="Q169" s="42">
        <f t="shared" si="12"/>
        <v>0</v>
      </c>
      <c r="R169" s="42">
        <f t="shared" si="13"/>
        <v>0</v>
      </c>
      <c r="S169" s="55"/>
      <c r="U169" s="55"/>
      <c r="V169" s="55"/>
      <c r="W169" s="55"/>
      <c r="X169" s="55"/>
      <c r="Y169" s="55"/>
      <c r="Z169" s="55"/>
      <c r="AA169" s="55"/>
      <c r="AB169" s="55"/>
      <c r="AC169" s="55"/>
      <c r="AD169" s="55"/>
      <c r="AE169" s="55"/>
      <c r="AF169" s="55"/>
      <c r="AG169" s="55"/>
      <c r="AH169" s="55"/>
      <c r="AI169" s="55"/>
      <c r="AJ169" s="55"/>
      <c r="AK169" s="55"/>
      <c r="AL169" s="55"/>
      <c r="AM169" s="55"/>
      <c r="AN169" s="55"/>
      <c r="AO169" s="55"/>
    </row>
    <row r="170" spans="1:41" ht="15.75" customHeight="1">
      <c r="A170" s="43" t="s">
        <v>206</v>
      </c>
      <c r="B170" s="312">
        <f>('FTE Pivot Table'!$G$295)*100</f>
        <v>94.37561267835748</v>
      </c>
      <c r="C170" s="312">
        <f>('FTE Pivot Table'!$G$298)*100</f>
        <v>3.1273826380568566</v>
      </c>
      <c r="D170" s="130">
        <f>SUM(E170:G170)</f>
        <v>1.6474240278836727</v>
      </c>
      <c r="E170" s="312">
        <f>('FTE Pivot Table'!$G$301)*100</f>
        <v>1.2641596775950332</v>
      </c>
      <c r="F170" s="312">
        <f>('FTE Pivot Table'!$G$304)*100</f>
        <v>0</v>
      </c>
      <c r="G170" s="314">
        <f>('FTE Pivot Table'!$G$307)*100</f>
        <v>0.3832643502886396</v>
      </c>
      <c r="H170" s="312">
        <f>('FTE Pivot Table'!$G$310)*100</f>
        <v>0.8495806557019931</v>
      </c>
      <c r="I170" s="43" t="s">
        <v>206</v>
      </c>
      <c r="J170" s="312">
        <f>('FTE Pivot Table'!$G$313)*100</f>
        <v>59.50801100501699</v>
      </c>
      <c r="K170" s="312">
        <f>('FTE Pivot Table'!$G$316)*100</f>
        <v>36.802071532610455</v>
      </c>
      <c r="L170" s="130">
        <f>SUM(M170:O170)</f>
        <v>3.689917462372552</v>
      </c>
      <c r="M170" s="312">
        <f>('FTE Pivot Table'!$G$319)*100</f>
        <v>1.505097912283541</v>
      </c>
      <c r="N170" s="312">
        <f>('FTE Pivot Table'!$G$322)*100</f>
        <v>0</v>
      </c>
      <c r="O170" s="314">
        <f>('FTE Pivot Table'!$G$325)*100</f>
        <v>2.1848195500890113</v>
      </c>
      <c r="P170" s="312">
        <f>('FTE Pivot Table'!$G$328)*100</f>
        <v>0</v>
      </c>
      <c r="Q170" s="42">
        <f t="shared" si="12"/>
        <v>100.00000000000001</v>
      </c>
      <c r="R170" s="42">
        <f t="shared" si="13"/>
        <v>99.99999999999999</v>
      </c>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row>
    <row r="171" spans="1:41" ht="15.75" customHeight="1">
      <c r="A171" s="43" t="s">
        <v>214</v>
      </c>
      <c r="B171" s="312">
        <f>('FTE Pivot Table'!$G$331)*100</f>
        <v>87.16478483080317</v>
      </c>
      <c r="C171" s="312">
        <f>('FTE Pivot Table'!$G$334)*100</f>
        <v>6.101863312199517</v>
      </c>
      <c r="D171" s="130">
        <f>SUM(E171:G171)</f>
        <v>6.733351856997315</v>
      </c>
      <c r="E171" s="312">
        <f>('FTE Pivot Table'!$G$337)*100</f>
        <v>6.733351856997315</v>
      </c>
      <c r="F171" s="312">
        <f>('FTE Pivot Table'!$G$340)*100</f>
        <v>0</v>
      </c>
      <c r="G171" s="314">
        <f>('FTE Pivot Table'!$G$343)*100</f>
        <v>0</v>
      </c>
      <c r="H171" s="312">
        <f>('FTE Pivot Table'!$G$346)*100</f>
        <v>0</v>
      </c>
      <c r="I171" s="43" t="s">
        <v>214</v>
      </c>
      <c r="J171" s="312">
        <f>('FTE Pivot Table'!$G$349)*100</f>
        <v>73.35379464285714</v>
      </c>
      <c r="K171" s="312">
        <f>('FTE Pivot Table'!$G$352)*100</f>
        <v>18.610491071428573</v>
      </c>
      <c r="L171" s="130">
        <f>SUM(M171:O171)</f>
        <v>8.035714285714286</v>
      </c>
      <c r="M171" s="312">
        <f>('FTE Pivot Table'!$G$355)*100</f>
        <v>8.035714285714286</v>
      </c>
      <c r="N171" s="312">
        <f>('FTE Pivot Table'!$G$358)*100</f>
        <v>0</v>
      </c>
      <c r="O171" s="314">
        <f>('FTE Pivot Table'!$G$361)*100</f>
        <v>0</v>
      </c>
      <c r="P171" s="312">
        <f>('FTE Pivot Table'!$G$364)*100</f>
        <v>0</v>
      </c>
      <c r="Q171" s="42">
        <f t="shared" si="12"/>
        <v>100</v>
      </c>
      <c r="R171" s="42">
        <f t="shared" si="13"/>
        <v>100</v>
      </c>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row>
    <row r="172" spans="1:41" ht="15.75" customHeight="1">
      <c r="A172" s="43" t="s">
        <v>207</v>
      </c>
      <c r="B172" s="312">
        <f>('FTE Pivot Table'!$G$367)*100</f>
        <v>91.94853338564332</v>
      </c>
      <c r="C172" s="312">
        <f>('FTE Pivot Table'!$G$370)*100</f>
        <v>0.10508701204597407</v>
      </c>
      <c r="D172" s="130">
        <f>SUM(E172:G172)</f>
        <v>7.946379602310714</v>
      </c>
      <c r="E172" s="312">
        <f>('FTE Pivot Table'!$G$373)*100</f>
        <v>3.1894408570296204</v>
      </c>
      <c r="F172" s="312">
        <f>('FTE Pivot Table'!$G$376)*100</f>
        <v>3.965083088797525</v>
      </c>
      <c r="G172" s="314">
        <f>('FTE Pivot Table'!$G$379)*100</f>
        <v>0.7918556564835684</v>
      </c>
      <c r="H172" s="312">
        <f>('FTE Pivot Table'!$G$382)*100</f>
        <v>0</v>
      </c>
      <c r="I172" s="43" t="s">
        <v>207</v>
      </c>
      <c r="J172" s="312">
        <f>('FTE Pivot Table'!$G$385)*100</f>
        <v>76.90929031912901</v>
      </c>
      <c r="K172" s="312">
        <f>('FTE Pivot Table'!$G$388)*100</f>
        <v>1.1368804001819008</v>
      </c>
      <c r="L172" s="130">
        <f>SUM(M172:O172)</f>
        <v>21.95382928068908</v>
      </c>
      <c r="M172" s="312">
        <f>('FTE Pivot Table'!$G$391)*100</f>
        <v>9.399994649974587</v>
      </c>
      <c r="N172" s="312">
        <f>('FTE Pivot Table'!$G$394)*100</f>
        <v>11.486504560896664</v>
      </c>
      <c r="O172" s="314">
        <f>('FTE Pivot Table'!$G$397)*100</f>
        <v>1.0673300698178316</v>
      </c>
      <c r="P172" s="312">
        <f>('FTE Pivot Table'!$G$400)*100</f>
        <v>0</v>
      </c>
      <c r="Q172" s="42">
        <f t="shared" si="12"/>
        <v>100</v>
      </c>
      <c r="R172" s="42">
        <f t="shared" si="13"/>
        <v>99.99999999999999</v>
      </c>
      <c r="S172" s="55"/>
      <c r="T172" s="71"/>
      <c r="U172" s="55"/>
      <c r="V172" s="55"/>
      <c r="W172" s="55"/>
      <c r="X172" s="55"/>
      <c r="Y172" s="55"/>
      <c r="Z172" s="55"/>
      <c r="AA172" s="55"/>
      <c r="AB172" s="55"/>
      <c r="AC172" s="55"/>
      <c r="AD172" s="55"/>
      <c r="AE172" s="55"/>
      <c r="AF172" s="55"/>
      <c r="AG172" s="55"/>
      <c r="AH172" s="55"/>
      <c r="AI172" s="55"/>
      <c r="AJ172" s="55"/>
      <c r="AK172" s="55"/>
      <c r="AL172" s="55"/>
      <c r="AM172" s="55"/>
      <c r="AN172" s="55"/>
      <c r="AO172" s="55"/>
    </row>
    <row r="173" spans="1:41" ht="15.75" customHeight="1">
      <c r="A173" s="43" t="s">
        <v>556</v>
      </c>
      <c r="B173" s="312">
        <f>('FTE Pivot Table'!$G$403)*100</f>
        <v>0</v>
      </c>
      <c r="C173" s="312">
        <f>('FTE Pivot Table'!$G$406)*100</f>
        <v>0</v>
      </c>
      <c r="D173" s="130">
        <f>SUM(E173:G173)</f>
        <v>0</v>
      </c>
      <c r="E173" s="312">
        <f>('FTE Pivot Table'!$G$409)*100</f>
        <v>0</v>
      </c>
      <c r="F173" s="312">
        <f>('FTE Pivot Table'!$G$412)*100</f>
        <v>0</v>
      </c>
      <c r="G173" s="314">
        <f>('FTE Pivot Table'!$G$415)*100</f>
        <v>0</v>
      </c>
      <c r="H173" s="312">
        <f>('FTE Pivot Table'!$G$418)*100</f>
        <v>0</v>
      </c>
      <c r="I173" s="43" t="s">
        <v>556</v>
      </c>
      <c r="J173" s="312">
        <f>('FTE Pivot Table'!$G$421)*100</f>
        <v>0</v>
      </c>
      <c r="K173" s="312">
        <f>('FTE Pivot Table'!$G$424)*100</f>
        <v>0</v>
      </c>
      <c r="L173" s="130">
        <f>SUM(M173:O173)</f>
        <v>0</v>
      </c>
      <c r="M173" s="312">
        <f>('FTE Pivot Table'!$G$427)*100</f>
        <v>0</v>
      </c>
      <c r="N173" s="312">
        <f>('FTE Pivot Table'!$G$430)*100</f>
        <v>0</v>
      </c>
      <c r="O173" s="314">
        <f>('FTE Pivot Table'!$G$433)*100</f>
        <v>0</v>
      </c>
      <c r="P173" s="312">
        <f>('FTE Pivot Table'!$G$436)*100</f>
        <v>0</v>
      </c>
      <c r="Q173" s="42">
        <f t="shared" si="12"/>
        <v>0</v>
      </c>
      <c r="R173" s="42">
        <f t="shared" si="13"/>
        <v>0</v>
      </c>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row>
    <row r="174" spans="1:41" ht="15.75" customHeight="1">
      <c r="A174" s="43"/>
      <c r="B174" s="115"/>
      <c r="C174" s="116"/>
      <c r="D174" s="130"/>
      <c r="E174" s="115"/>
      <c r="F174" s="115"/>
      <c r="G174" s="116"/>
      <c r="H174" s="115"/>
      <c r="I174" s="43"/>
      <c r="J174" s="115"/>
      <c r="K174" s="116"/>
      <c r="L174" s="130"/>
      <c r="M174" s="115"/>
      <c r="N174" s="115"/>
      <c r="O174" s="116"/>
      <c r="P174" s="115"/>
      <c r="Q174" s="42">
        <f t="shared" si="12"/>
        <v>0</v>
      </c>
      <c r="R174" s="42">
        <f t="shared" si="13"/>
        <v>0</v>
      </c>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row>
    <row r="175" spans="1:41" ht="15.75" customHeight="1">
      <c r="A175" s="43" t="s">
        <v>557</v>
      </c>
      <c r="B175" s="312">
        <f>('FTE Pivot Table'!$G$439)*100</f>
        <v>0</v>
      </c>
      <c r="C175" s="312">
        <f>('FTE Pivot Table'!$G$442)*100</f>
        <v>0</v>
      </c>
      <c r="D175" s="130">
        <f>SUM(E175:G175)</f>
        <v>0</v>
      </c>
      <c r="E175" s="312">
        <f>('FTE Pivot Table'!$G$445)*100</f>
        <v>0</v>
      </c>
      <c r="F175" s="312">
        <f>('FTE Pivot Table'!$G$448)*100</f>
        <v>0</v>
      </c>
      <c r="G175" s="314">
        <f>('FTE Pivot Table'!$G$451)*100</f>
        <v>0</v>
      </c>
      <c r="H175" s="312">
        <f>('FTE Pivot Table'!$G$454)*100</f>
        <v>0</v>
      </c>
      <c r="I175" s="43" t="s">
        <v>557</v>
      </c>
      <c r="J175" s="312">
        <f>('FTE Pivot Table'!$G$457)*100</f>
        <v>0</v>
      </c>
      <c r="K175" s="312">
        <f>('FTE Pivot Table'!$G$460)*100</f>
        <v>0</v>
      </c>
      <c r="L175" s="130">
        <f>SUM(M175:O175)</f>
        <v>0</v>
      </c>
      <c r="M175" s="312">
        <f>('FTE Pivot Table'!$G$463)*100</f>
        <v>0</v>
      </c>
      <c r="N175" s="312">
        <f>('FTE Pivot Table'!$G$466)*100</f>
        <v>0</v>
      </c>
      <c r="O175" s="314">
        <f>('FTE Pivot Table'!$G$469)*100</f>
        <v>0</v>
      </c>
      <c r="P175" s="312">
        <f>('FTE Pivot Table'!$G$472)*100</f>
        <v>0</v>
      </c>
      <c r="Q175" s="42">
        <f t="shared" si="12"/>
        <v>0</v>
      </c>
      <c r="R175" s="42">
        <f t="shared" si="13"/>
        <v>0</v>
      </c>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row>
    <row r="176" spans="1:41" ht="15.75" customHeight="1">
      <c r="A176" s="43" t="s">
        <v>313</v>
      </c>
      <c r="B176" s="312">
        <f>('FTE Pivot Table'!$G$475)*100</f>
        <v>59.95592016652381</v>
      </c>
      <c r="C176" s="312">
        <f>('FTE Pivot Table'!$G$478)*100</f>
        <v>10.059997551120363</v>
      </c>
      <c r="D176" s="130">
        <f>SUM(E176:G176)</f>
        <v>29.98408228235582</v>
      </c>
      <c r="E176" s="312">
        <f>('FTE Pivot Table'!$G$481)*100</f>
        <v>27.904983470062444</v>
      </c>
      <c r="F176" s="312">
        <f>('FTE Pivot Table'!$G$484)*100</f>
        <v>2.079098812293376</v>
      </c>
      <c r="G176" s="314">
        <f>('FTE Pivot Table'!$G$487)*100</f>
        <v>0</v>
      </c>
      <c r="H176" s="312">
        <f>('FTE Pivot Table'!$G$490)*100</f>
        <v>0</v>
      </c>
      <c r="I176" s="43" t="s">
        <v>313</v>
      </c>
      <c r="J176" s="312">
        <f>('FTE Pivot Table'!$G$493)*100</f>
        <v>24.484364604125084</v>
      </c>
      <c r="K176" s="312">
        <f>('FTE Pivot Table'!$G$496)*100</f>
        <v>22.661343978709247</v>
      </c>
      <c r="L176" s="130">
        <f>SUM(M176:O176)</f>
        <v>52.854291417165676</v>
      </c>
      <c r="M176" s="312">
        <f>('FTE Pivot Table'!$G$499)*100</f>
        <v>49.67398536260812</v>
      </c>
      <c r="N176" s="312">
        <f>('FTE Pivot Table'!$G$502)*100</f>
        <v>3.1803060545575517</v>
      </c>
      <c r="O176" s="314">
        <f>('FTE Pivot Table'!$G$505)*100</f>
        <v>0</v>
      </c>
      <c r="P176" s="312">
        <f>('FTE Pivot Table'!$G$508)*100</f>
        <v>0</v>
      </c>
      <c r="Q176" s="42">
        <f t="shared" si="12"/>
        <v>100</v>
      </c>
      <c r="R176" s="42">
        <f t="shared" si="13"/>
        <v>100</v>
      </c>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row>
    <row r="177" spans="1:41" ht="15.75" customHeight="1">
      <c r="A177" s="43" t="s">
        <v>558</v>
      </c>
      <c r="B177" s="312">
        <f>('FTE Pivot Table'!$G$511)*100</f>
        <v>0</v>
      </c>
      <c r="C177" s="312">
        <f>('FTE Pivot Table'!$G$514)*100</f>
        <v>0</v>
      </c>
      <c r="D177" s="130">
        <f>SUM(E177:G177)</f>
        <v>0</v>
      </c>
      <c r="E177" s="312">
        <f>('FTE Pivot Table'!$G$517)*100</f>
        <v>0</v>
      </c>
      <c r="F177" s="312">
        <f>('FTE Pivot Table'!$G$520)*100</f>
        <v>0</v>
      </c>
      <c r="G177" s="314">
        <f>('FTE Pivot Table'!$G$523)*100</f>
        <v>0</v>
      </c>
      <c r="H177" s="312">
        <f>('FTE Pivot Table'!$G$526)*100</f>
        <v>0</v>
      </c>
      <c r="I177" s="43" t="s">
        <v>558</v>
      </c>
      <c r="J177" s="312">
        <f>('FTE Pivot Table'!$G$529)*100</f>
        <v>0</v>
      </c>
      <c r="K177" s="312">
        <f>('FTE Pivot Table'!$G$532)*100</f>
        <v>0</v>
      </c>
      <c r="L177" s="130">
        <f>SUM(M177:O177)</f>
        <v>0</v>
      </c>
      <c r="M177" s="312">
        <f>('FTE Pivot Table'!$G$535)*100</f>
        <v>0</v>
      </c>
      <c r="N177" s="312">
        <f>('FTE Pivot Table'!$G$538)*100</f>
        <v>0</v>
      </c>
      <c r="O177" s="314">
        <f>('FTE Pivot Table'!$G$541)*100</f>
        <v>0</v>
      </c>
      <c r="P177" s="312">
        <f>('FTE Pivot Table'!$G$544)*100</f>
        <v>0</v>
      </c>
      <c r="Q177" s="42">
        <f t="shared" si="12"/>
        <v>0</v>
      </c>
      <c r="R177" s="42">
        <f t="shared" si="13"/>
        <v>0</v>
      </c>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row>
    <row r="178" spans="1:41" ht="15.75" customHeight="1">
      <c r="A178" s="37" t="s">
        <v>208</v>
      </c>
      <c r="B178" s="316">
        <f>('FTE Pivot Table'!$G$547)*100</f>
        <v>0</v>
      </c>
      <c r="C178" s="316">
        <f>('FTE Pivot Table'!$G$550)*100</f>
        <v>0</v>
      </c>
      <c r="D178" s="132">
        <f>SUM(E178:G178)</f>
        <v>0</v>
      </c>
      <c r="E178" s="316">
        <f>('FTE Pivot Table'!$G$553)*100</f>
        <v>0</v>
      </c>
      <c r="F178" s="316">
        <f>('FTE Pivot Table'!$G$556)*100</f>
        <v>0</v>
      </c>
      <c r="G178" s="317">
        <f>('FTE Pivot Table'!$G$559)*100</f>
        <v>0</v>
      </c>
      <c r="H178" s="316">
        <f>('FTE Pivot Table'!$G$562)*100</f>
        <v>0</v>
      </c>
      <c r="I178" s="37" t="s">
        <v>208</v>
      </c>
      <c r="J178" s="316">
        <f>('FTE Pivot Table'!$G$565)*100</f>
        <v>0</v>
      </c>
      <c r="K178" s="316">
        <f>('FTE Pivot Table'!$G$568)*100</f>
        <v>0</v>
      </c>
      <c r="L178" s="132">
        <f>SUM(M178:O178)</f>
        <v>0</v>
      </c>
      <c r="M178" s="316">
        <f>('FTE Pivot Table'!$G$571)*100</f>
        <v>0</v>
      </c>
      <c r="N178" s="316">
        <f>('FTE Pivot Table'!$G$574)*100</f>
        <v>0</v>
      </c>
      <c r="O178" s="317">
        <f>('FTE Pivot Table'!$G$577)*100</f>
        <v>0</v>
      </c>
      <c r="P178" s="316">
        <f>('FTE Pivot Table'!$G$580)*100</f>
        <v>0</v>
      </c>
      <c r="Q178" s="42">
        <f t="shared" si="12"/>
        <v>0</v>
      </c>
      <c r="R178" s="42">
        <f t="shared" si="13"/>
        <v>0</v>
      </c>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row>
    <row r="179" spans="1:41" s="76" customFormat="1" ht="18" customHeight="1">
      <c r="A179" s="133" t="s">
        <v>608</v>
      </c>
      <c r="B179" s="80"/>
      <c r="C179" s="80"/>
      <c r="D179" s="81"/>
      <c r="E179" s="80"/>
      <c r="F179" s="81"/>
      <c r="G179" s="81"/>
      <c r="H179" s="80"/>
      <c r="I179" s="133" t="s">
        <v>608</v>
      </c>
      <c r="J179" s="80"/>
      <c r="K179" s="80"/>
      <c r="L179" s="81"/>
      <c r="M179" s="80"/>
      <c r="N179" s="81"/>
      <c r="O179" s="81"/>
      <c r="P179" s="80"/>
      <c r="Q179" s="80"/>
      <c r="R179" s="80"/>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row>
    <row r="180" spans="1:18" s="76" customFormat="1" ht="13.5" customHeight="1">
      <c r="A180" s="133"/>
      <c r="B180" s="75"/>
      <c r="H180" s="343" t="s">
        <v>439</v>
      </c>
      <c r="I180" s="133"/>
      <c r="P180" s="343" t="s">
        <v>439</v>
      </c>
      <c r="Q180" s="78"/>
      <c r="R180" s="79"/>
    </row>
    <row r="181" spans="1:18" ht="18">
      <c r="A181" s="34" t="s">
        <v>577</v>
      </c>
      <c r="B181" s="35"/>
      <c r="C181" s="35"/>
      <c r="D181" s="35"/>
      <c r="E181" s="35"/>
      <c r="F181" s="35"/>
      <c r="G181" s="35"/>
      <c r="H181" s="53"/>
      <c r="I181" s="34" t="s">
        <v>600</v>
      </c>
      <c r="J181" s="36"/>
      <c r="K181" s="36"/>
      <c r="L181" s="35"/>
      <c r="M181" s="36"/>
      <c r="N181" s="36"/>
      <c r="O181" s="36"/>
      <c r="P181" s="36"/>
      <c r="Q181" s="67"/>
      <c r="R181" s="68"/>
    </row>
    <row r="182" spans="1:18" ht="12.75">
      <c r="A182" s="90"/>
      <c r="B182" s="36"/>
      <c r="C182" s="36"/>
      <c r="D182" s="36"/>
      <c r="E182" s="36"/>
      <c r="F182" s="36"/>
      <c r="G182" s="36"/>
      <c r="H182" s="48"/>
      <c r="I182" s="90"/>
      <c r="J182" s="36"/>
      <c r="K182" s="36"/>
      <c r="L182" s="36"/>
      <c r="M182" s="36"/>
      <c r="N182" s="36"/>
      <c r="O182" s="36"/>
      <c r="P182" s="36"/>
      <c r="R182" s="70"/>
    </row>
    <row r="183" spans="1:18" ht="15.75">
      <c r="A183" s="45" t="s">
        <v>595</v>
      </c>
      <c r="B183" s="36"/>
      <c r="C183" s="36"/>
      <c r="D183" s="36"/>
      <c r="E183" s="36"/>
      <c r="F183" s="36"/>
      <c r="G183" s="36"/>
      <c r="H183" s="48"/>
      <c r="I183" s="45" t="s">
        <v>596</v>
      </c>
      <c r="J183" s="36"/>
      <c r="K183" s="36"/>
      <c r="L183" s="36"/>
      <c r="M183" s="36"/>
      <c r="N183" s="36"/>
      <c r="O183" s="36"/>
      <c r="P183" s="36"/>
      <c r="R183" s="70" t="s">
        <v>73</v>
      </c>
    </row>
    <row r="184" spans="1:18" ht="15.75">
      <c r="A184" s="45" t="s">
        <v>813</v>
      </c>
      <c r="B184" s="36"/>
      <c r="C184" s="36"/>
      <c r="D184" s="36"/>
      <c r="E184" s="36"/>
      <c r="F184" s="36"/>
      <c r="G184" s="36"/>
      <c r="H184" s="48"/>
      <c r="I184" s="45" t="s">
        <v>813</v>
      </c>
      <c r="J184" s="36"/>
      <c r="K184" s="36"/>
      <c r="L184" s="36"/>
      <c r="M184" s="36"/>
      <c r="N184" s="36"/>
      <c r="O184" s="36"/>
      <c r="P184" s="36"/>
      <c r="R184" s="70" t="s">
        <v>73</v>
      </c>
    </row>
    <row r="185" spans="1:16" ht="12.75">
      <c r="A185" s="37"/>
      <c r="B185" s="38"/>
      <c r="C185" s="38"/>
      <c r="D185" s="38"/>
      <c r="E185" s="38"/>
      <c r="F185" s="38"/>
      <c r="G185" s="38"/>
      <c r="H185" s="38"/>
      <c r="I185" s="39"/>
      <c r="L185" s="40"/>
      <c r="P185" s="37"/>
    </row>
    <row r="186" spans="1:18" s="102" customFormat="1" ht="12">
      <c r="A186" s="97"/>
      <c r="B186" s="98" t="s">
        <v>315</v>
      </c>
      <c r="C186" s="98"/>
      <c r="D186" s="98"/>
      <c r="E186" s="98"/>
      <c r="F186" s="98"/>
      <c r="G186" s="98"/>
      <c r="H186" s="99"/>
      <c r="I186" s="97"/>
      <c r="J186" s="98" t="s">
        <v>315</v>
      </c>
      <c r="K186" s="98"/>
      <c r="L186" s="98"/>
      <c r="M186" s="98"/>
      <c r="N186" s="98"/>
      <c r="O186" s="98"/>
      <c r="P186" s="99"/>
      <c r="Q186" s="100"/>
      <c r="R186" s="101"/>
    </row>
    <row r="187" spans="1:18" s="102" customFormat="1" ht="12">
      <c r="A187" s="97"/>
      <c r="B187" s="98" t="s">
        <v>211</v>
      </c>
      <c r="C187" s="98"/>
      <c r="D187" s="421" t="s">
        <v>603</v>
      </c>
      <c r="E187" s="422"/>
      <c r="F187" s="422"/>
      <c r="G187" s="422"/>
      <c r="H187" s="103" t="s">
        <v>73</v>
      </c>
      <c r="I187" s="97"/>
      <c r="J187" s="98" t="s">
        <v>211</v>
      </c>
      <c r="K187" s="98"/>
      <c r="L187" s="421" t="s">
        <v>603</v>
      </c>
      <c r="M187" s="422"/>
      <c r="N187" s="422"/>
      <c r="O187" s="422"/>
      <c r="P187" s="103" t="s">
        <v>73</v>
      </c>
      <c r="Q187" s="100"/>
      <c r="R187" s="101"/>
    </row>
    <row r="188" spans="1:20" s="102" customFormat="1" ht="40.5" customHeight="1">
      <c r="A188" s="97"/>
      <c r="B188" s="104" t="s">
        <v>594</v>
      </c>
      <c r="C188" s="105" t="s">
        <v>593</v>
      </c>
      <c r="D188" s="106" t="s">
        <v>601</v>
      </c>
      <c r="E188" s="107" t="s">
        <v>71</v>
      </c>
      <c r="F188" s="104" t="s">
        <v>212</v>
      </c>
      <c r="G188" s="108" t="s">
        <v>605</v>
      </c>
      <c r="H188" s="109" t="s">
        <v>604</v>
      </c>
      <c r="I188" s="97"/>
      <c r="J188" s="104" t="s">
        <v>594</v>
      </c>
      <c r="K188" s="105" t="s">
        <v>593</v>
      </c>
      <c r="L188" s="106" t="s">
        <v>601</v>
      </c>
      <c r="M188" s="107" t="s">
        <v>71</v>
      </c>
      <c r="N188" s="104" t="s">
        <v>212</v>
      </c>
      <c r="O188" s="108" t="s">
        <v>605</v>
      </c>
      <c r="P188" s="109" t="s">
        <v>604</v>
      </c>
      <c r="Q188" s="110"/>
      <c r="R188" s="111"/>
      <c r="T188" s="112"/>
    </row>
    <row r="189" spans="1:41" ht="15.75" customHeight="1">
      <c r="A189" s="44" t="s">
        <v>548</v>
      </c>
      <c r="B189" s="312">
        <f>('FTE Pivot Table'!$H$7)*100</f>
        <v>72.54497986914947</v>
      </c>
      <c r="C189" s="312">
        <f>('FTE Pivot Table'!$H$10)*100</f>
        <v>10.722823351786612</v>
      </c>
      <c r="D189" s="130">
        <f>SUM(E189:G189)</f>
        <v>16.732196779063916</v>
      </c>
      <c r="E189" s="312">
        <f>('FTE Pivot Table'!$H$13)*100</f>
        <v>16.732196779063916</v>
      </c>
      <c r="F189" s="312">
        <f>('FTE Pivot Table'!$H$16)*100</f>
        <v>0</v>
      </c>
      <c r="G189" s="313">
        <f>('FTE Pivot Table'!$H$19)*100</f>
        <v>0</v>
      </c>
      <c r="H189" s="312">
        <f>('FTE Pivot Table'!$H$22)*100</f>
        <v>0</v>
      </c>
      <c r="I189" s="44" t="s">
        <v>548</v>
      </c>
      <c r="J189" s="312">
        <f>('FTE Pivot Table'!$H$25)*100</f>
        <v>0</v>
      </c>
      <c r="K189" s="312">
        <f>('FTE Pivot Table'!$H$28)*100</f>
        <v>0</v>
      </c>
      <c r="L189" s="130">
        <f>SUM(M189:O189)</f>
        <v>0</v>
      </c>
      <c r="M189" s="312">
        <f>('FTE Pivot Table'!$H$31)*100</f>
        <v>0</v>
      </c>
      <c r="N189" s="312">
        <f>('FTE Pivot Table'!$H$34)*100</f>
        <v>0</v>
      </c>
      <c r="O189" s="313">
        <f>('FTE Pivot Table'!$H$37)*100</f>
        <v>0</v>
      </c>
      <c r="P189" s="312">
        <f>('FTE Pivot Table'!$H$40)*100</f>
        <v>0</v>
      </c>
      <c r="Q189" s="42">
        <f aca="true" t="shared" si="14" ref="Q189:Q207">SUM(B189,C189,D189,H189)</f>
        <v>100</v>
      </c>
      <c r="R189" s="42">
        <f aca="true" t="shared" si="15" ref="R189:R207">SUM(J189,K189,L189,P189)</f>
        <v>0</v>
      </c>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row>
    <row r="190" spans="1:41" ht="15.75" customHeight="1">
      <c r="A190" s="43" t="s">
        <v>549</v>
      </c>
      <c r="B190" s="312">
        <f>('FTE Pivot Table'!$H$43)*100</f>
        <v>90.5062837054132</v>
      </c>
      <c r="C190" s="312">
        <f>('FTE Pivot Table'!$H$46)*100</f>
        <v>5.62603881428691</v>
      </c>
      <c r="D190" s="130">
        <f>SUM(E190:G190)</f>
        <v>3.867677480299896</v>
      </c>
      <c r="E190" s="312">
        <f>('FTE Pivot Table'!$H$49)*100</f>
        <v>1.7458058807351517</v>
      </c>
      <c r="F190" s="312">
        <f>('FTE Pivot Table'!$H$52)*100</f>
        <v>2.121871599564744</v>
      </c>
      <c r="G190" s="314">
        <f>('FTE Pivot Table'!$H$55)*100</f>
        <v>0</v>
      </c>
      <c r="H190" s="312">
        <f>('FTE Pivot Table'!$H$58)*100</f>
        <v>0</v>
      </c>
      <c r="I190" s="43" t="s">
        <v>549</v>
      </c>
      <c r="J190" s="312">
        <f>('FTE Pivot Table'!$H$61)*100</f>
        <v>56.23301630434783</v>
      </c>
      <c r="K190" s="312">
        <f>('FTE Pivot Table'!$H$64)*100</f>
        <v>3.6684782608695654</v>
      </c>
      <c r="L190" s="130">
        <f>SUM(M190:O190)</f>
        <v>40.09850543478261</v>
      </c>
      <c r="M190" s="312">
        <f>('FTE Pivot Table'!$H$67)*100</f>
        <v>40.09850543478261</v>
      </c>
      <c r="N190" s="312">
        <f>('FTE Pivot Table'!$H$70)*100</f>
        <v>0</v>
      </c>
      <c r="O190" s="314">
        <f>('FTE Pivot Table'!$H$73)*100</f>
        <v>0</v>
      </c>
      <c r="P190" s="312">
        <f>('FTE Pivot Table'!$H$76)*100</f>
        <v>0</v>
      </c>
      <c r="Q190" s="42">
        <f t="shared" si="14"/>
        <v>100</v>
      </c>
      <c r="R190" s="42">
        <f t="shared" si="15"/>
        <v>100</v>
      </c>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row>
    <row r="191" spans="1:41" ht="15.75" customHeight="1">
      <c r="A191" s="43" t="s">
        <v>550</v>
      </c>
      <c r="B191" s="312">
        <f>('FTE Pivot Table'!$H$79)*100</f>
        <v>0</v>
      </c>
      <c r="C191" s="312">
        <f>('FTE Pivot Table'!$H$82)*100</f>
        <v>0</v>
      </c>
      <c r="D191" s="130">
        <f>SUM(E191:G191)</f>
        <v>0</v>
      </c>
      <c r="E191" s="312">
        <f>('FTE Pivot Table'!$H$85)*100</f>
        <v>0</v>
      </c>
      <c r="F191" s="312">
        <f>('FTE Pivot Table'!$H$88)*100</f>
        <v>0</v>
      </c>
      <c r="G191" s="314">
        <f>('FTE Pivot Table'!$H$91)*100</f>
        <v>0</v>
      </c>
      <c r="H191" s="312">
        <f>('FTE Pivot Table'!$H$94)*100</f>
        <v>0</v>
      </c>
      <c r="I191" s="43" t="s">
        <v>550</v>
      </c>
      <c r="J191" s="312">
        <f>('FTE Pivot Table'!$H$97)*100</f>
        <v>0</v>
      </c>
      <c r="K191" s="312">
        <f>('FTE Pivot Table'!$H$100)*100</f>
        <v>0</v>
      </c>
      <c r="L191" s="130">
        <f>SUM(M191:O191)</f>
        <v>0</v>
      </c>
      <c r="M191" s="312">
        <f>('FTE Pivot Table'!$H$103)*100</f>
        <v>0</v>
      </c>
      <c r="N191" s="312">
        <f>('FTE Pivot Table'!$H$106)*100</f>
        <v>0</v>
      </c>
      <c r="O191" s="314">
        <f>('FTE Pivot Table'!$H$109)*100</f>
        <v>0</v>
      </c>
      <c r="P191" s="312">
        <f>('FTE Pivot Table'!$H$112)*100</f>
        <v>0</v>
      </c>
      <c r="Q191" s="42">
        <f t="shared" si="14"/>
        <v>0</v>
      </c>
      <c r="R191" s="42">
        <f t="shared" si="15"/>
        <v>0</v>
      </c>
      <c r="S191" s="55"/>
      <c r="T191" s="71"/>
      <c r="U191" s="55"/>
      <c r="V191" s="55"/>
      <c r="W191" s="55"/>
      <c r="X191" s="55"/>
      <c r="Y191" s="55"/>
      <c r="Z191" s="55"/>
      <c r="AA191" s="55"/>
      <c r="AB191" s="55"/>
      <c r="AC191" s="55"/>
      <c r="AD191" s="55"/>
      <c r="AE191" s="55"/>
      <c r="AF191" s="55"/>
      <c r="AG191" s="55"/>
      <c r="AH191" s="55"/>
      <c r="AI191" s="55"/>
      <c r="AJ191" s="55"/>
      <c r="AK191" s="55"/>
      <c r="AL191" s="55"/>
      <c r="AM191" s="55"/>
      <c r="AN191" s="55"/>
      <c r="AO191" s="55"/>
    </row>
    <row r="192" spans="1:41" ht="15.75" customHeight="1">
      <c r="A192" s="43" t="s">
        <v>551</v>
      </c>
      <c r="B192" s="312">
        <f>('FTE Pivot Table'!$H$115)*100</f>
        <v>100</v>
      </c>
      <c r="C192" s="312">
        <f>('FTE Pivot Table'!$H$118)*100</f>
        <v>0</v>
      </c>
      <c r="D192" s="130">
        <f>SUM(E192:G192)</f>
        <v>0</v>
      </c>
      <c r="E192" s="312">
        <f>('FTE Pivot Table'!$H$121)*100</f>
        <v>0</v>
      </c>
      <c r="F192" s="312">
        <f>('FTE Pivot Table'!$H$124)*100</f>
        <v>0</v>
      </c>
      <c r="G192" s="314">
        <f>('FTE Pivot Table'!$H$127)*100</f>
        <v>0</v>
      </c>
      <c r="H192" s="312">
        <f>('FTE Pivot Table'!$H$130)*100</f>
        <v>0</v>
      </c>
      <c r="I192" s="43" t="s">
        <v>551</v>
      </c>
      <c r="J192" s="312">
        <f>('FTE Pivot Table'!$H$133)*100</f>
        <v>0</v>
      </c>
      <c r="K192" s="312">
        <f>('FTE Pivot Table'!$H$136)*100</f>
        <v>0</v>
      </c>
      <c r="L192" s="130">
        <f>SUM(M192:O192)</f>
        <v>0</v>
      </c>
      <c r="M192" s="312">
        <f>('FTE Pivot Table'!$H$139)*100</f>
        <v>0</v>
      </c>
      <c r="N192" s="312">
        <f>('FTE Pivot Table'!$H$142)*100</f>
        <v>0</v>
      </c>
      <c r="O192" s="314">
        <f>('FTE Pivot Table'!$H$145)*100</f>
        <v>0</v>
      </c>
      <c r="P192" s="312">
        <f>('FTE Pivot Table'!$H$148)*100</f>
        <v>0</v>
      </c>
      <c r="Q192" s="42">
        <f t="shared" si="14"/>
        <v>100</v>
      </c>
      <c r="R192" s="42">
        <f t="shared" si="15"/>
        <v>0</v>
      </c>
      <c r="S192" s="55"/>
      <c r="U192" s="55"/>
      <c r="V192" s="55"/>
      <c r="W192" s="55"/>
      <c r="X192" s="55"/>
      <c r="Y192" s="55"/>
      <c r="Z192" s="55"/>
      <c r="AA192" s="55"/>
      <c r="AB192" s="55"/>
      <c r="AC192" s="55"/>
      <c r="AD192" s="55"/>
      <c r="AE192" s="55"/>
      <c r="AF192" s="55"/>
      <c r="AG192" s="55"/>
      <c r="AH192" s="55"/>
      <c r="AI192" s="55"/>
      <c r="AJ192" s="55"/>
      <c r="AK192" s="55"/>
      <c r="AL192" s="55"/>
      <c r="AM192" s="55"/>
      <c r="AN192" s="55"/>
      <c r="AO192" s="55"/>
    </row>
    <row r="193" spans="1:41" ht="15.75" customHeight="1">
      <c r="A193" s="43"/>
      <c r="B193" s="115"/>
      <c r="C193" s="116"/>
      <c r="D193" s="130"/>
      <c r="E193" s="115"/>
      <c r="F193" s="115"/>
      <c r="G193" s="116"/>
      <c r="H193" s="115"/>
      <c r="I193" s="43"/>
      <c r="J193" s="115"/>
      <c r="K193" s="116"/>
      <c r="L193" s="130"/>
      <c r="M193" s="115"/>
      <c r="N193" s="115"/>
      <c r="O193" s="116"/>
      <c r="P193" s="115"/>
      <c r="Q193" s="42">
        <f t="shared" si="14"/>
        <v>0</v>
      </c>
      <c r="R193" s="42">
        <f t="shared" si="15"/>
        <v>0</v>
      </c>
      <c r="S193" s="55"/>
      <c r="U193" s="55"/>
      <c r="V193" s="55"/>
      <c r="W193" s="55"/>
      <c r="X193" s="55"/>
      <c r="Y193" s="55"/>
      <c r="Z193" s="55"/>
      <c r="AA193" s="55"/>
      <c r="AB193" s="55"/>
      <c r="AC193" s="55"/>
      <c r="AD193" s="55"/>
      <c r="AE193" s="55"/>
      <c r="AF193" s="55"/>
      <c r="AG193" s="55"/>
      <c r="AH193" s="55"/>
      <c r="AI193" s="55"/>
      <c r="AJ193" s="55"/>
      <c r="AK193" s="55"/>
      <c r="AL193" s="55"/>
      <c r="AM193" s="55"/>
      <c r="AN193" s="55"/>
      <c r="AO193" s="55"/>
    </row>
    <row r="194" spans="1:41" ht="15.75" customHeight="1">
      <c r="A194" s="43" t="s">
        <v>552</v>
      </c>
      <c r="B194" s="312">
        <f>('FTE Pivot Table'!$H$151)*100</f>
        <v>87.27308519763207</v>
      </c>
      <c r="C194" s="312">
        <f>('FTE Pivot Table'!$H$154)*100</f>
        <v>0</v>
      </c>
      <c r="D194" s="130">
        <f>SUM(E194:G194)</f>
        <v>12.217191388838112</v>
      </c>
      <c r="E194" s="312">
        <f>('FTE Pivot Table'!$H$157)*100</f>
        <v>12.153915378882687</v>
      </c>
      <c r="F194" s="312">
        <f>('FTE Pivot Table'!$H$160)*100</f>
        <v>0</v>
      </c>
      <c r="G194" s="314">
        <f>('FTE Pivot Table'!$H$163)*100</f>
        <v>0.06327600995542557</v>
      </c>
      <c r="H194" s="312">
        <f>('FTE Pivot Table'!$H$166)*100</f>
        <v>0.509723413529817</v>
      </c>
      <c r="I194" s="43" t="s">
        <v>552</v>
      </c>
      <c r="J194" s="312">
        <f>('FTE Pivot Table'!$H$169)*100</f>
        <v>0</v>
      </c>
      <c r="K194" s="312">
        <f>('FTE Pivot Table'!$H$172)*100</f>
        <v>0</v>
      </c>
      <c r="L194" s="130">
        <f>SUM(M194:O194)</f>
        <v>0</v>
      </c>
      <c r="M194" s="312">
        <f>('FTE Pivot Table'!$H$175)*100</f>
        <v>0</v>
      </c>
      <c r="N194" s="312">
        <f>('FTE Pivot Table'!$H$178)*100</f>
        <v>0</v>
      </c>
      <c r="O194" s="314">
        <f>('FTE Pivot Table'!$H$181)*100</f>
        <v>0</v>
      </c>
      <c r="P194" s="312">
        <f>('FTE Pivot Table'!$H$184)*100</f>
        <v>0</v>
      </c>
      <c r="Q194" s="42">
        <f t="shared" si="14"/>
        <v>100</v>
      </c>
      <c r="R194" s="42">
        <f t="shared" si="15"/>
        <v>0</v>
      </c>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row>
    <row r="195" spans="1:41" ht="15.75" customHeight="1">
      <c r="A195" s="43" t="s">
        <v>553</v>
      </c>
      <c r="B195" s="312">
        <f>('FTE Pivot Table'!$H$187)*100</f>
        <v>0</v>
      </c>
      <c r="C195" s="312">
        <f>('FTE Pivot Table'!$H$190)*100</f>
        <v>0</v>
      </c>
      <c r="D195" s="130">
        <f>SUM(E195:G195)</f>
        <v>0</v>
      </c>
      <c r="E195" s="312">
        <f>('FTE Pivot Table'!$H$193)*100</f>
        <v>0</v>
      </c>
      <c r="F195" s="312">
        <f>('FTE Pivot Table'!$H$196)*100</f>
        <v>0</v>
      </c>
      <c r="G195" s="314">
        <f>('FTE Pivot Table'!$H$199)*100</f>
        <v>0</v>
      </c>
      <c r="H195" s="312">
        <f>('FTE Pivot Table'!$H$202)*100</f>
        <v>0</v>
      </c>
      <c r="I195" s="43" t="s">
        <v>553</v>
      </c>
      <c r="J195" s="312">
        <f>('FTE Pivot Table'!$H$205)*100</f>
        <v>0</v>
      </c>
      <c r="K195" s="312">
        <f>('FTE Pivot Table'!$H$208)*100</f>
        <v>0</v>
      </c>
      <c r="L195" s="130">
        <f>SUM(M195:O195)</f>
        <v>0</v>
      </c>
      <c r="M195" s="312">
        <f>('FTE Pivot Table'!$H$211)*100</f>
        <v>0</v>
      </c>
      <c r="N195" s="312">
        <f>('FTE Pivot Table'!$H$214)*100</f>
        <v>0</v>
      </c>
      <c r="O195" s="314">
        <f>('FTE Pivot Table'!$H$217)*100</f>
        <v>0</v>
      </c>
      <c r="P195" s="312">
        <f>('FTE Pivot Table'!$H$220)*100</f>
        <v>0</v>
      </c>
      <c r="Q195" s="42">
        <f t="shared" si="14"/>
        <v>0</v>
      </c>
      <c r="R195" s="42">
        <f t="shared" si="15"/>
        <v>0</v>
      </c>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row>
    <row r="196" spans="1:41" ht="15.75" customHeight="1">
      <c r="A196" s="43" t="s">
        <v>554</v>
      </c>
      <c r="B196" s="312">
        <f>('FTE Pivot Table'!$H$223)*100</f>
        <v>0</v>
      </c>
      <c r="C196" s="312">
        <f>('FTE Pivot Table'!$H$226)*100</f>
        <v>0</v>
      </c>
      <c r="D196" s="130">
        <f>SUM(E196:G196)</f>
        <v>0</v>
      </c>
      <c r="E196" s="312">
        <f>('FTE Pivot Table'!$H$229)*100</f>
        <v>0</v>
      </c>
      <c r="F196" s="312">
        <f>('FTE Pivot Table'!$H$232)*100</f>
        <v>0</v>
      </c>
      <c r="G196" s="314">
        <f>('FTE Pivot Table'!$H$235)*100</f>
        <v>0</v>
      </c>
      <c r="H196" s="312">
        <f>('FTE Pivot Table'!$H$238)*100</f>
        <v>0</v>
      </c>
      <c r="I196" s="43" t="s">
        <v>554</v>
      </c>
      <c r="J196" s="312">
        <f>('FTE Pivot Table'!$H$241)*100</f>
        <v>0</v>
      </c>
      <c r="K196" s="312">
        <f>('FTE Pivot Table'!$H$244)*100</f>
        <v>0</v>
      </c>
      <c r="L196" s="130">
        <f>SUM(M196:O196)</f>
        <v>0</v>
      </c>
      <c r="M196" s="312">
        <f>('FTE Pivot Table'!$H$247)*100</f>
        <v>0</v>
      </c>
      <c r="N196" s="312">
        <f>('FTE Pivot Table'!$H$250)*100</f>
        <v>0</v>
      </c>
      <c r="O196" s="314">
        <f>('FTE Pivot Table'!$H$253)*100</f>
        <v>0</v>
      </c>
      <c r="P196" s="312">
        <f>('FTE Pivot Table'!$H$256)*100</f>
        <v>0</v>
      </c>
      <c r="Q196" s="42">
        <f t="shared" si="14"/>
        <v>0</v>
      </c>
      <c r="R196" s="42">
        <f t="shared" si="15"/>
        <v>0</v>
      </c>
      <c r="S196" s="55"/>
      <c r="T196" s="71"/>
      <c r="U196" s="55"/>
      <c r="V196" s="55"/>
      <c r="W196" s="55"/>
      <c r="X196" s="55"/>
      <c r="Y196" s="55"/>
      <c r="Z196" s="55"/>
      <c r="AA196" s="55"/>
      <c r="AB196" s="55"/>
      <c r="AC196" s="55"/>
      <c r="AD196" s="55"/>
      <c r="AE196" s="55"/>
      <c r="AF196" s="55"/>
      <c r="AG196" s="55"/>
      <c r="AH196" s="55"/>
      <c r="AI196" s="55"/>
      <c r="AJ196" s="55"/>
      <c r="AK196" s="55"/>
      <c r="AL196" s="55"/>
      <c r="AM196" s="55"/>
      <c r="AN196" s="55"/>
      <c r="AO196" s="55"/>
    </row>
    <row r="197" spans="1:41" ht="15.75" customHeight="1">
      <c r="A197" s="43" t="s">
        <v>555</v>
      </c>
      <c r="B197" s="312">
        <f>('FTE Pivot Table'!$H$259)*100</f>
        <v>0</v>
      </c>
      <c r="C197" s="312">
        <f>('FTE Pivot Table'!$H$262)*100</f>
        <v>0</v>
      </c>
      <c r="D197" s="130">
        <f>SUM(E197:G197)</f>
        <v>0</v>
      </c>
      <c r="E197" s="312">
        <f>('FTE Pivot Table'!$H$265)*100</f>
        <v>0</v>
      </c>
      <c r="F197" s="312">
        <f>('FTE Pivot Table'!$H$268)*100</f>
        <v>0</v>
      </c>
      <c r="G197" s="314">
        <f>('FTE Pivot Table'!$H$271)*100</f>
        <v>0</v>
      </c>
      <c r="H197" s="312">
        <f>('FTE Pivot Table'!$H$274)*100</f>
        <v>0</v>
      </c>
      <c r="I197" s="43" t="s">
        <v>555</v>
      </c>
      <c r="J197" s="312">
        <f>('FTE Pivot Table'!$H$277)*100</f>
        <v>0</v>
      </c>
      <c r="K197" s="312">
        <f>('FTE Pivot Table'!$H$280)*100</f>
        <v>0</v>
      </c>
      <c r="L197" s="130">
        <f>SUM(M197:O197)</f>
        <v>0</v>
      </c>
      <c r="M197" s="312">
        <f>('FTE Pivot Table'!$H$283)*100</f>
        <v>0</v>
      </c>
      <c r="N197" s="312">
        <f>('FTE Pivot Table'!$H$286)*100</f>
        <v>0</v>
      </c>
      <c r="O197" s="314">
        <f>('FTE Pivot Table'!$H$289)*100</f>
        <v>0</v>
      </c>
      <c r="P197" s="312">
        <f>('FTE Pivot Table'!$H$292)*100</f>
        <v>0</v>
      </c>
      <c r="Q197" s="42">
        <f t="shared" si="14"/>
        <v>0</v>
      </c>
      <c r="R197" s="42">
        <f t="shared" si="15"/>
        <v>0</v>
      </c>
      <c r="S197" s="55"/>
      <c r="U197" s="55"/>
      <c r="V197" s="55"/>
      <c r="W197" s="55"/>
      <c r="X197" s="55"/>
      <c r="Y197" s="55"/>
      <c r="Z197" s="55"/>
      <c r="AA197" s="55"/>
      <c r="AB197" s="55"/>
      <c r="AC197" s="55"/>
      <c r="AD197" s="55"/>
      <c r="AE197" s="55"/>
      <c r="AF197" s="55"/>
      <c r="AG197" s="55"/>
      <c r="AH197" s="55"/>
      <c r="AI197" s="55"/>
      <c r="AJ197" s="55"/>
      <c r="AK197" s="55"/>
      <c r="AL197" s="55"/>
      <c r="AM197" s="55"/>
      <c r="AN197" s="55"/>
      <c r="AO197" s="55"/>
    </row>
    <row r="198" spans="1:41" ht="15.75" customHeight="1">
      <c r="A198" s="43"/>
      <c r="B198" s="115"/>
      <c r="C198" s="116"/>
      <c r="D198" s="130"/>
      <c r="E198" s="115"/>
      <c r="F198" s="115"/>
      <c r="G198" s="116"/>
      <c r="H198" s="115"/>
      <c r="I198" s="43"/>
      <c r="J198" s="115"/>
      <c r="K198" s="116"/>
      <c r="L198" s="130"/>
      <c r="M198" s="115"/>
      <c r="N198" s="115"/>
      <c r="O198" s="116"/>
      <c r="P198" s="115"/>
      <c r="Q198" s="42">
        <f t="shared" si="14"/>
        <v>0</v>
      </c>
      <c r="R198" s="42">
        <f t="shared" si="15"/>
        <v>0</v>
      </c>
      <c r="S198" s="55"/>
      <c r="U198" s="55"/>
      <c r="V198" s="55"/>
      <c r="W198" s="55"/>
      <c r="X198" s="55"/>
      <c r="Y198" s="55"/>
      <c r="Z198" s="55"/>
      <c r="AA198" s="55"/>
      <c r="AB198" s="55"/>
      <c r="AC198" s="55"/>
      <c r="AD198" s="55"/>
      <c r="AE198" s="55"/>
      <c r="AF198" s="55"/>
      <c r="AG198" s="55"/>
      <c r="AH198" s="55"/>
      <c r="AI198" s="55"/>
      <c r="AJ198" s="55"/>
      <c r="AK198" s="55"/>
      <c r="AL198" s="55"/>
      <c r="AM198" s="55"/>
      <c r="AN198" s="55"/>
      <c r="AO198" s="55"/>
    </row>
    <row r="199" spans="1:41" ht="15.75" customHeight="1">
      <c r="A199" s="43" t="s">
        <v>206</v>
      </c>
      <c r="B199" s="312">
        <f>('FTE Pivot Table'!$H$295)*100</f>
        <v>0</v>
      </c>
      <c r="C199" s="312">
        <f>('FTE Pivot Table'!$H$298)*100</f>
        <v>0</v>
      </c>
      <c r="D199" s="130">
        <f>SUM(E199:G199)</f>
        <v>0</v>
      </c>
      <c r="E199" s="312">
        <f>('FTE Pivot Table'!$H$301)*100</f>
        <v>0</v>
      </c>
      <c r="F199" s="312">
        <f>('FTE Pivot Table'!$H$304)*100</f>
        <v>0</v>
      </c>
      <c r="G199" s="314">
        <f>('FTE Pivot Table'!$H$307)*100</f>
        <v>0</v>
      </c>
      <c r="H199" s="312">
        <f>('FTE Pivot Table'!$H$310)*100</f>
        <v>0</v>
      </c>
      <c r="I199" s="43" t="s">
        <v>206</v>
      </c>
      <c r="J199" s="312">
        <f>('FTE Pivot Table'!$H$313)*100</f>
        <v>0</v>
      </c>
      <c r="K199" s="312">
        <f>('FTE Pivot Table'!$H$316)*100</f>
        <v>0</v>
      </c>
      <c r="L199" s="130">
        <f>SUM(M199:O199)</f>
        <v>0</v>
      </c>
      <c r="M199" s="312">
        <f>('FTE Pivot Table'!$H$319)*100</f>
        <v>0</v>
      </c>
      <c r="N199" s="312">
        <f>('FTE Pivot Table'!$H$322)*100</f>
        <v>0</v>
      </c>
      <c r="O199" s="314">
        <f>('FTE Pivot Table'!$H$325)*100</f>
        <v>0</v>
      </c>
      <c r="P199" s="312">
        <f>('FTE Pivot Table'!$H$328)*100</f>
        <v>0</v>
      </c>
      <c r="Q199" s="42">
        <f t="shared" si="14"/>
        <v>0</v>
      </c>
      <c r="R199" s="42">
        <f t="shared" si="15"/>
        <v>0</v>
      </c>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row>
    <row r="200" spans="1:41" ht="15.75" customHeight="1">
      <c r="A200" s="43" t="s">
        <v>214</v>
      </c>
      <c r="B200" s="312">
        <f>('FTE Pivot Table'!$H$331)*100</f>
        <v>96.30336332766812</v>
      </c>
      <c r="C200" s="312">
        <f>('FTE Pivot Table'!$H$334)*100</f>
        <v>2.4840036007104107</v>
      </c>
      <c r="D200" s="130">
        <f>SUM(E200:G200)</f>
        <v>1.2126330716214668</v>
      </c>
      <c r="E200" s="312">
        <f>('FTE Pivot Table'!$H$337)*100</f>
        <v>1.0906398907274757</v>
      </c>
      <c r="F200" s="312">
        <f>('FTE Pivot Table'!$H$340)*100</f>
        <v>0.12199318089399105</v>
      </c>
      <c r="G200" s="314">
        <f>('FTE Pivot Table'!$H$343)*100</f>
        <v>0</v>
      </c>
      <c r="H200" s="312">
        <f>('FTE Pivot Table'!$H$346)*100</f>
        <v>0</v>
      </c>
      <c r="I200" s="43" t="s">
        <v>214</v>
      </c>
      <c r="J200" s="312">
        <f>('FTE Pivot Table'!$H$349)*100</f>
        <v>96.13453815261043</v>
      </c>
      <c r="K200" s="312">
        <f>('FTE Pivot Table'!$H$352)*100</f>
        <v>3.8654618473895583</v>
      </c>
      <c r="L200" s="130">
        <f>SUM(M200:O200)</f>
        <v>0</v>
      </c>
      <c r="M200" s="312">
        <f>('FTE Pivot Table'!$H$355)*100</f>
        <v>0</v>
      </c>
      <c r="N200" s="312">
        <f>('FTE Pivot Table'!$H$358)*100</f>
        <v>0</v>
      </c>
      <c r="O200" s="314">
        <f>('FTE Pivot Table'!$H$361)*100</f>
        <v>0</v>
      </c>
      <c r="P200" s="312">
        <f>('FTE Pivot Table'!$H$364)*100</f>
        <v>0</v>
      </c>
      <c r="Q200" s="42">
        <f t="shared" si="14"/>
        <v>100</v>
      </c>
      <c r="R200" s="42">
        <f t="shared" si="15"/>
        <v>99.99999999999999</v>
      </c>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row>
    <row r="201" spans="1:41" ht="15.75" customHeight="1">
      <c r="A201" s="43" t="s">
        <v>207</v>
      </c>
      <c r="B201" s="312">
        <f>('FTE Pivot Table'!$H$367)*100</f>
        <v>99.48884169149814</v>
      </c>
      <c r="C201" s="312">
        <f>('FTE Pivot Table'!$H$370)*100</f>
        <v>0.26310784251569136</v>
      </c>
      <c r="D201" s="130">
        <f>SUM(E201:G201)</f>
        <v>0.24805046598617891</v>
      </c>
      <c r="E201" s="312">
        <f>('FTE Pivot Table'!$H$373)*100</f>
        <v>0.2314081024535599</v>
      </c>
      <c r="F201" s="312">
        <f>('FTE Pivot Table'!$H$376)*100</f>
        <v>0</v>
      </c>
      <c r="G201" s="318">
        <f>('FTE Pivot Table'!$H$379)*100</f>
        <v>0.016642363532619033</v>
      </c>
      <c r="H201" s="312">
        <f>('FTE Pivot Table'!$H$382)*100</f>
        <v>0</v>
      </c>
      <c r="I201" s="43" t="s">
        <v>207</v>
      </c>
      <c r="J201" s="312">
        <f>('FTE Pivot Table'!$H$385)*100</f>
        <v>100</v>
      </c>
      <c r="K201" s="312">
        <f>('FTE Pivot Table'!$H$388)*100</f>
        <v>0</v>
      </c>
      <c r="L201" s="130">
        <f>SUM(M201:O201)</f>
        <v>0</v>
      </c>
      <c r="M201" s="312">
        <f>('FTE Pivot Table'!$H$391)*100</f>
        <v>0</v>
      </c>
      <c r="N201" s="312">
        <f>('FTE Pivot Table'!$H$394)*100</f>
        <v>0</v>
      </c>
      <c r="O201" s="314">
        <f>('FTE Pivot Table'!$H$397)*100</f>
        <v>0</v>
      </c>
      <c r="P201" s="312">
        <f>('FTE Pivot Table'!$H$400)*100</f>
        <v>0</v>
      </c>
      <c r="Q201" s="42">
        <f t="shared" si="14"/>
        <v>100.00000000000001</v>
      </c>
      <c r="R201" s="42">
        <f t="shared" si="15"/>
        <v>100</v>
      </c>
      <c r="S201" s="55"/>
      <c r="T201" s="71"/>
      <c r="U201" s="55"/>
      <c r="V201" s="55"/>
      <c r="W201" s="55"/>
      <c r="X201" s="55"/>
      <c r="Y201" s="55"/>
      <c r="Z201" s="55"/>
      <c r="AA201" s="55"/>
      <c r="AB201" s="55"/>
      <c r="AC201" s="55"/>
      <c r="AD201" s="55"/>
      <c r="AE201" s="55"/>
      <c r="AF201" s="55"/>
      <c r="AG201" s="55"/>
      <c r="AH201" s="55"/>
      <c r="AI201" s="55"/>
      <c r="AJ201" s="55"/>
      <c r="AK201" s="55"/>
      <c r="AL201" s="55"/>
      <c r="AM201" s="55"/>
      <c r="AN201" s="55"/>
      <c r="AO201" s="55"/>
    </row>
    <row r="202" spans="1:41" ht="15.75" customHeight="1">
      <c r="A202" s="43" t="s">
        <v>556</v>
      </c>
      <c r="B202" s="312">
        <f>('FTE Pivot Table'!$H$403)*100</f>
        <v>0</v>
      </c>
      <c r="C202" s="312">
        <f>('FTE Pivot Table'!$H$406)*100</f>
        <v>0</v>
      </c>
      <c r="D202" s="130">
        <f>SUM(E202:G202)</f>
        <v>0</v>
      </c>
      <c r="E202" s="312">
        <f>('FTE Pivot Table'!$H$409)*100</f>
        <v>0</v>
      </c>
      <c r="F202" s="312">
        <f>('FTE Pivot Table'!$H$412)*100</f>
        <v>0</v>
      </c>
      <c r="G202" s="314">
        <f>('FTE Pivot Table'!$H$415)*100</f>
        <v>0</v>
      </c>
      <c r="H202" s="312">
        <f>('FTE Pivot Table'!$H$418)*100</f>
        <v>0</v>
      </c>
      <c r="I202" s="43" t="s">
        <v>556</v>
      </c>
      <c r="J202" s="312">
        <f>('FTE Pivot Table'!$H$421)*100</f>
        <v>0</v>
      </c>
      <c r="K202" s="312">
        <f>('FTE Pivot Table'!$H$424)*100</f>
        <v>0</v>
      </c>
      <c r="L202" s="130">
        <f>SUM(M202:O202)</f>
        <v>0</v>
      </c>
      <c r="M202" s="312">
        <f>('FTE Pivot Table'!$H$427)*100</f>
        <v>0</v>
      </c>
      <c r="N202" s="312">
        <f>('FTE Pivot Table'!$H$430)*100</f>
        <v>0</v>
      </c>
      <c r="O202" s="314">
        <f>('FTE Pivot Table'!$H$433)*100</f>
        <v>0</v>
      </c>
      <c r="P202" s="312">
        <f>('FTE Pivot Table'!$H$436)*100</f>
        <v>0</v>
      </c>
      <c r="Q202" s="42">
        <f t="shared" si="14"/>
        <v>0</v>
      </c>
      <c r="R202" s="42">
        <f t="shared" si="15"/>
        <v>0</v>
      </c>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row>
    <row r="203" spans="1:41" ht="15.75" customHeight="1">
      <c r="A203" s="43"/>
      <c r="B203" s="115"/>
      <c r="C203" s="116"/>
      <c r="D203" s="130"/>
      <c r="E203" s="115"/>
      <c r="F203" s="115"/>
      <c r="G203" s="116"/>
      <c r="H203" s="115"/>
      <c r="I203" s="43"/>
      <c r="J203" s="115"/>
      <c r="K203" s="116"/>
      <c r="L203" s="130"/>
      <c r="M203" s="115"/>
      <c r="N203" s="115"/>
      <c r="O203" s="116"/>
      <c r="P203" s="115"/>
      <c r="Q203" s="42">
        <f t="shared" si="14"/>
        <v>0</v>
      </c>
      <c r="R203" s="42">
        <f t="shared" si="15"/>
        <v>0</v>
      </c>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row>
    <row r="204" spans="1:41" ht="15.75" customHeight="1">
      <c r="A204" s="43" t="s">
        <v>557</v>
      </c>
      <c r="B204" s="312">
        <f>('FTE Pivot Table'!$H$439)*100</f>
        <v>0</v>
      </c>
      <c r="C204" s="312">
        <f>('FTE Pivot Table'!$H$442)*100</f>
        <v>0</v>
      </c>
      <c r="D204" s="130">
        <f>SUM(E204:G204)</f>
        <v>0</v>
      </c>
      <c r="E204" s="312">
        <f>('FTE Pivot Table'!$H$445)*100</f>
        <v>0</v>
      </c>
      <c r="F204" s="312">
        <f>('FTE Pivot Table'!$H$448)*100</f>
        <v>0</v>
      </c>
      <c r="G204" s="314">
        <f>('FTE Pivot Table'!$H$451)*100</f>
        <v>0</v>
      </c>
      <c r="H204" s="312">
        <f>('FTE Pivot Table'!$H$454)*100</f>
        <v>0</v>
      </c>
      <c r="I204" s="43" t="s">
        <v>557</v>
      </c>
      <c r="J204" s="312">
        <f>('FTE Pivot Table'!$H$457)*100</f>
        <v>0</v>
      </c>
      <c r="K204" s="312">
        <f>('FTE Pivot Table'!$H$460)*100</f>
        <v>0</v>
      </c>
      <c r="L204" s="130">
        <f>SUM(M204:O204)</f>
        <v>0</v>
      </c>
      <c r="M204" s="312">
        <f>('FTE Pivot Table'!$H$463)*100</f>
        <v>0</v>
      </c>
      <c r="N204" s="312">
        <f>('FTE Pivot Table'!$H$466)*100</f>
        <v>0</v>
      </c>
      <c r="O204" s="314">
        <f>('FTE Pivot Table'!$H$469)*100</f>
        <v>0</v>
      </c>
      <c r="P204" s="312">
        <f>('FTE Pivot Table'!$H$472)*100</f>
        <v>0</v>
      </c>
      <c r="Q204" s="42">
        <f t="shared" si="14"/>
        <v>0</v>
      </c>
      <c r="R204" s="42">
        <f t="shared" si="15"/>
        <v>0</v>
      </c>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row>
    <row r="205" spans="1:41" ht="15.75" customHeight="1">
      <c r="A205" s="43" t="s">
        <v>313</v>
      </c>
      <c r="B205" s="312">
        <f>('FTE Pivot Table'!$H$475)*100</f>
        <v>91.57334318866451</v>
      </c>
      <c r="C205" s="312">
        <f>('FTE Pivot Table'!$H$478)*100</f>
        <v>3.504337275465804</v>
      </c>
      <c r="D205" s="130">
        <f>SUM(E205:G205)</f>
        <v>4.922319535869686</v>
      </c>
      <c r="E205" s="312">
        <f>('FTE Pivot Table'!$H$481)*100</f>
        <v>3.324082338502733</v>
      </c>
      <c r="F205" s="312">
        <f>('FTE Pivot Table'!$H$484)*100</f>
        <v>1.4748131206069397</v>
      </c>
      <c r="G205" s="314">
        <f>('FTE Pivot Table'!$H$487)*100</f>
        <v>0.12342407676001338</v>
      </c>
      <c r="H205" s="312">
        <f>('FTE Pivot Table'!$H$490)*100</f>
        <v>0</v>
      </c>
      <c r="I205" s="43" t="s">
        <v>313</v>
      </c>
      <c r="J205" s="312">
        <f>('FTE Pivot Table'!$H$493)*100</f>
        <v>91.82412790697676</v>
      </c>
      <c r="K205" s="312">
        <f>('FTE Pivot Table'!$H$496)*100</f>
        <v>7.957848837209303</v>
      </c>
      <c r="L205" s="130">
        <f>SUM(M205:O205)</f>
        <v>0.2180232558139535</v>
      </c>
      <c r="M205" s="312">
        <f>('FTE Pivot Table'!$H$499)*100</f>
        <v>0</v>
      </c>
      <c r="N205" s="312">
        <f>('FTE Pivot Table'!$H$502)*100</f>
        <v>0.2180232558139535</v>
      </c>
      <c r="O205" s="314">
        <f>('FTE Pivot Table'!$H$505)*100</f>
        <v>0</v>
      </c>
      <c r="P205" s="312">
        <f>('FTE Pivot Table'!$H$508)*100</f>
        <v>0</v>
      </c>
      <c r="Q205" s="42">
        <f t="shared" si="14"/>
        <v>100</v>
      </c>
      <c r="R205" s="42">
        <f t="shared" si="15"/>
        <v>100</v>
      </c>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row>
    <row r="206" spans="1:41" ht="15.75" customHeight="1">
      <c r="A206" s="43" t="s">
        <v>558</v>
      </c>
      <c r="B206" s="312">
        <f>('FTE Pivot Table'!$H$511)*100</f>
        <v>0</v>
      </c>
      <c r="C206" s="312">
        <f>('FTE Pivot Table'!$H$514)*100</f>
        <v>0</v>
      </c>
      <c r="D206" s="130">
        <f>SUM(E206:G206)</f>
        <v>0</v>
      </c>
      <c r="E206" s="312">
        <f>('FTE Pivot Table'!$H$517)*100</f>
        <v>0</v>
      </c>
      <c r="F206" s="312">
        <f>('FTE Pivot Table'!$H$520)*100</f>
        <v>0</v>
      </c>
      <c r="G206" s="314">
        <f>('FTE Pivot Table'!$H$523)*100</f>
        <v>0</v>
      </c>
      <c r="H206" s="312">
        <f>('FTE Pivot Table'!$H$526)*100</f>
        <v>0</v>
      </c>
      <c r="I206" s="43" t="s">
        <v>558</v>
      </c>
      <c r="J206" s="312">
        <f>('FTE Pivot Table'!$H$529)*100</f>
        <v>0</v>
      </c>
      <c r="K206" s="312">
        <f>('FTE Pivot Table'!$H$532)*100</f>
        <v>0</v>
      </c>
      <c r="L206" s="130">
        <f>SUM(M206:O206)</f>
        <v>0</v>
      </c>
      <c r="M206" s="312">
        <f>('FTE Pivot Table'!$H$535)*100</f>
        <v>0</v>
      </c>
      <c r="N206" s="312">
        <f>('FTE Pivot Table'!$H$538)*100</f>
        <v>0</v>
      </c>
      <c r="O206" s="314">
        <f>('FTE Pivot Table'!$H$541)*100</f>
        <v>0</v>
      </c>
      <c r="P206" s="312">
        <f>('FTE Pivot Table'!$H$544)*100</f>
        <v>0</v>
      </c>
      <c r="Q206" s="42">
        <f t="shared" si="14"/>
        <v>0</v>
      </c>
      <c r="R206" s="42">
        <f t="shared" si="15"/>
        <v>0</v>
      </c>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row>
    <row r="207" spans="1:41" ht="15.75" customHeight="1">
      <c r="A207" s="37" t="s">
        <v>610</v>
      </c>
      <c r="B207" s="316">
        <f>('FTE Pivot Table'!$H$547)*100</f>
        <v>90.4376867013455</v>
      </c>
      <c r="C207" s="316">
        <f>('FTE Pivot Table'!$H$550)*100</f>
        <v>7.512915549573991</v>
      </c>
      <c r="D207" s="132">
        <f>SUM(E207:G207)</f>
        <v>2.0493977490805126</v>
      </c>
      <c r="E207" s="316">
        <f>('FTE Pivot Table'!$H$553)*100</f>
        <v>1.6751939557720312</v>
      </c>
      <c r="F207" s="316">
        <f>('FTE Pivot Table'!$H$556)*100</f>
        <v>0.28448033382823656</v>
      </c>
      <c r="G207" s="317">
        <f>('FTE Pivot Table'!$H$559)*100</f>
        <v>0.08972345948024482</v>
      </c>
      <c r="H207" s="316">
        <f>('FTE Pivot Table'!$H$562)*100</f>
        <v>0</v>
      </c>
      <c r="I207" s="37" t="s">
        <v>610</v>
      </c>
      <c r="J207" s="316">
        <f>('FTE Pivot Table'!$H$565)*100</f>
        <v>53.08139534883721</v>
      </c>
      <c r="K207" s="316">
        <f>('FTE Pivot Table'!$H$568)*100</f>
        <v>0</v>
      </c>
      <c r="L207" s="132">
        <f>SUM(M207:O207)</f>
        <v>46.918604651162795</v>
      </c>
      <c r="M207" s="316">
        <f>('FTE Pivot Table'!$H$571)*100</f>
        <v>46.918604651162795</v>
      </c>
      <c r="N207" s="316">
        <f>('FTE Pivot Table'!$H$574)*100</f>
        <v>0</v>
      </c>
      <c r="O207" s="317">
        <f>('FTE Pivot Table'!$H$577)*100</f>
        <v>0</v>
      </c>
      <c r="P207" s="316">
        <f>('FTE Pivot Table'!$H$580)*100</f>
        <v>0</v>
      </c>
      <c r="Q207" s="42">
        <f t="shared" si="14"/>
        <v>100</v>
      </c>
      <c r="R207" s="42">
        <f t="shared" si="15"/>
        <v>100</v>
      </c>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row>
    <row r="208" spans="1:41" s="76" customFormat="1" ht="18" customHeight="1">
      <c r="A208" s="133" t="s">
        <v>608</v>
      </c>
      <c r="B208" s="80"/>
      <c r="C208" s="80"/>
      <c r="D208" s="81"/>
      <c r="E208" s="80"/>
      <c r="F208" s="81"/>
      <c r="G208" s="81"/>
      <c r="H208" s="80"/>
      <c r="I208" s="133" t="s">
        <v>608</v>
      </c>
      <c r="J208" s="80"/>
      <c r="K208" s="80"/>
      <c r="L208" s="81"/>
      <c r="M208" s="80"/>
      <c r="N208" s="81"/>
      <c r="O208" s="81"/>
      <c r="P208" s="80"/>
      <c r="Q208" s="80"/>
      <c r="R208" s="80"/>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row>
    <row r="209" spans="1:18" s="76" customFormat="1" ht="13.5" customHeight="1">
      <c r="A209" s="134" t="s">
        <v>758</v>
      </c>
      <c r="B209" s="75"/>
      <c r="H209" s="74"/>
      <c r="I209" s="134" t="s">
        <v>758</v>
      </c>
      <c r="P209" s="77"/>
      <c r="Q209" s="78"/>
      <c r="R209" s="79"/>
    </row>
    <row r="210" spans="8:18" s="76" customFormat="1" ht="11.25">
      <c r="H210" s="343" t="s">
        <v>439</v>
      </c>
      <c r="P210" s="343" t="s">
        <v>439</v>
      </c>
      <c r="Q210" s="78"/>
      <c r="R210" s="79"/>
    </row>
    <row r="211" spans="1:16" ht="18">
      <c r="A211" s="34" t="s">
        <v>578</v>
      </c>
      <c r="B211" s="35"/>
      <c r="C211" s="35"/>
      <c r="D211" s="35"/>
      <c r="E211" s="35"/>
      <c r="F211" s="35"/>
      <c r="G211" s="35"/>
      <c r="H211" s="53"/>
      <c r="I211" s="43"/>
      <c r="J211" s="43"/>
      <c r="K211" s="43"/>
      <c r="L211" s="43"/>
      <c r="M211" s="43"/>
      <c r="N211" s="43"/>
      <c r="O211" s="43"/>
      <c r="P211" s="43"/>
    </row>
    <row r="212" spans="1:16" ht="12.75">
      <c r="A212" s="90"/>
      <c r="B212" s="36"/>
      <c r="C212" s="36"/>
      <c r="D212" s="36"/>
      <c r="E212" s="36"/>
      <c r="F212" s="36"/>
      <c r="G212" s="36"/>
      <c r="H212" s="48"/>
      <c r="I212" s="43"/>
      <c r="J212" s="43"/>
      <c r="K212" s="43"/>
      <c r="L212" s="43"/>
      <c r="M212" s="43"/>
      <c r="N212" s="43"/>
      <c r="O212" s="43"/>
      <c r="P212" s="43"/>
    </row>
    <row r="213" spans="1:16" ht="15.75">
      <c r="A213" s="45" t="s">
        <v>595</v>
      </c>
      <c r="B213" s="36"/>
      <c r="C213" s="36"/>
      <c r="D213" s="36"/>
      <c r="E213" s="36"/>
      <c r="F213" s="36"/>
      <c r="G213" s="36"/>
      <c r="H213" s="48"/>
      <c r="I213" s="52"/>
      <c r="J213" s="43"/>
      <c r="K213" s="43"/>
      <c r="L213" s="48"/>
      <c r="M213" s="43"/>
      <c r="N213" s="43"/>
      <c r="O213" s="43"/>
      <c r="P213" s="43"/>
    </row>
    <row r="214" spans="1:16" ht="15.75">
      <c r="A214" s="45" t="s">
        <v>814</v>
      </c>
      <c r="B214" s="36"/>
      <c r="C214" s="36"/>
      <c r="D214" s="36"/>
      <c r="E214" s="36"/>
      <c r="F214" s="36"/>
      <c r="G214" s="36"/>
      <c r="H214" s="48"/>
      <c r="I214" s="52"/>
      <c r="J214" s="43"/>
      <c r="K214" s="43"/>
      <c r="L214" s="43"/>
      <c r="M214" s="43"/>
      <c r="N214" s="43"/>
      <c r="O214" s="43"/>
      <c r="P214" s="43"/>
    </row>
    <row r="215" spans="1:16" ht="12.75">
      <c r="A215" s="37"/>
      <c r="B215" s="38"/>
      <c r="C215" s="38"/>
      <c r="D215" s="38"/>
      <c r="E215" s="38"/>
      <c r="F215" s="38"/>
      <c r="G215" s="38"/>
      <c r="H215" s="38"/>
      <c r="I215" s="52"/>
      <c r="J215" s="43"/>
      <c r="K215" s="43"/>
      <c r="L215" s="43"/>
      <c r="M215" s="43"/>
      <c r="N215" s="43"/>
      <c r="O215" s="43"/>
      <c r="P215" s="43"/>
    </row>
    <row r="216" spans="1:16" ht="12.75">
      <c r="A216" s="97"/>
      <c r="B216" s="98" t="s">
        <v>315</v>
      </c>
      <c r="C216" s="98"/>
      <c r="D216" s="98"/>
      <c r="E216" s="98"/>
      <c r="F216" s="98"/>
      <c r="G216" s="98"/>
      <c r="H216" s="99"/>
      <c r="I216" s="52"/>
      <c r="J216" s="43"/>
      <c r="K216" s="43"/>
      <c r="L216" s="43"/>
      <c r="M216" s="43"/>
      <c r="N216" s="43"/>
      <c r="O216" s="43"/>
      <c r="P216" s="43"/>
    </row>
    <row r="217" spans="1:16" ht="12.75">
      <c r="A217" s="97"/>
      <c r="B217" s="98" t="s">
        <v>211</v>
      </c>
      <c r="C217" s="98"/>
      <c r="D217" s="421" t="s">
        <v>603</v>
      </c>
      <c r="E217" s="422"/>
      <c r="F217" s="422"/>
      <c r="G217" s="422"/>
      <c r="H217" s="103" t="s">
        <v>73</v>
      </c>
      <c r="I217" s="52"/>
      <c r="J217" s="43"/>
      <c r="K217" s="43"/>
      <c r="L217" s="43"/>
      <c r="M217" s="43"/>
      <c r="N217" s="43"/>
      <c r="O217" s="43"/>
      <c r="P217" s="43"/>
    </row>
    <row r="218" spans="1:16" ht="36">
      <c r="A218" s="97"/>
      <c r="B218" s="104" t="s">
        <v>594</v>
      </c>
      <c r="C218" s="105" t="s">
        <v>593</v>
      </c>
      <c r="D218" s="106" t="s">
        <v>601</v>
      </c>
      <c r="E218" s="107" t="s">
        <v>71</v>
      </c>
      <c r="F218" s="104" t="s">
        <v>212</v>
      </c>
      <c r="G218" s="108" t="s">
        <v>605</v>
      </c>
      <c r="H218" s="109" t="s">
        <v>604</v>
      </c>
      <c r="I218" s="52"/>
      <c r="J218" s="43"/>
      <c r="K218" s="43"/>
      <c r="L218" s="43"/>
      <c r="M218" s="43"/>
      <c r="N218" s="43"/>
      <c r="O218" s="43"/>
      <c r="P218" s="43"/>
    </row>
    <row r="219" spans="1:41" ht="15.75" customHeight="1">
      <c r="A219" s="44" t="s">
        <v>548</v>
      </c>
      <c r="B219" s="312">
        <f>('FTE Pivot Table'!$O$7)*100</f>
        <v>91.38646110622823</v>
      </c>
      <c r="C219" s="312">
        <f>('FTE Pivot Table'!$O$10)*100</f>
        <v>2.178636325233065</v>
      </c>
      <c r="D219" s="130">
        <f>SUM(E219:G219)</f>
        <v>6.4349025685387105</v>
      </c>
      <c r="E219" s="312">
        <f>('FTE Pivot Table'!$O$13)*100</f>
        <v>6.088883116293556</v>
      </c>
      <c r="F219" s="312">
        <f>('FTE Pivot Table'!$O$16)*100</f>
        <v>0.12130856889935804</v>
      </c>
      <c r="G219" s="313">
        <f>('FTE Pivot Table'!$O$19)*100</f>
        <v>0.22471088334579625</v>
      </c>
      <c r="H219" s="312">
        <f>('FTE Pivot Table'!$O$22)*100</f>
        <v>0</v>
      </c>
      <c r="I219" s="43"/>
      <c r="J219" s="129"/>
      <c r="K219" s="129"/>
      <c r="L219" s="129"/>
      <c r="M219" s="129"/>
      <c r="N219" s="129"/>
      <c r="O219" s="129"/>
      <c r="P219" s="129"/>
      <c r="Q219" s="42">
        <f aca="true" t="shared" si="16" ref="Q219:Q237">SUM(B219,C219,D219,H219)</f>
        <v>100</v>
      </c>
      <c r="R219" s="42">
        <f aca="true" t="shared" si="17" ref="R219:R237">SUM(J219,K219,L219,P219)</f>
        <v>0</v>
      </c>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row>
    <row r="220" spans="1:41" ht="15.75" customHeight="1">
      <c r="A220" s="43" t="s">
        <v>549</v>
      </c>
      <c r="B220" s="312">
        <f>('FTE Pivot Table'!$O$43)*100</f>
        <v>85.46018952788175</v>
      </c>
      <c r="C220" s="312">
        <f>('FTE Pivot Table'!$O$46)*100</f>
        <v>8.134089866694284</v>
      </c>
      <c r="D220" s="130">
        <f>SUM(E220:G220)</f>
        <v>6.4057206054239595</v>
      </c>
      <c r="E220" s="312">
        <f>('FTE Pivot Table'!$O$49)*100</f>
        <v>4.471511636508899</v>
      </c>
      <c r="F220" s="312">
        <f>('FTE Pivot Table'!$O$52)*100</f>
        <v>0.7800825578126619</v>
      </c>
      <c r="G220" s="314">
        <f>('FTE Pivot Table'!$O$55)*100</f>
        <v>1.1541264111023983</v>
      </c>
      <c r="H220" s="312">
        <f>('FTE Pivot Table'!$O$58)*100</f>
        <v>0</v>
      </c>
      <c r="I220" s="43"/>
      <c r="J220" s="129"/>
      <c r="K220" s="129"/>
      <c r="L220" s="129"/>
      <c r="M220" s="129"/>
      <c r="N220" s="129"/>
      <c r="O220" s="129"/>
      <c r="P220" s="129"/>
      <c r="Q220" s="42">
        <f t="shared" si="16"/>
        <v>100</v>
      </c>
      <c r="R220" s="42">
        <f t="shared" si="17"/>
        <v>0</v>
      </c>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row>
    <row r="221" spans="1:41" ht="15.75" customHeight="1">
      <c r="A221" s="43" t="s">
        <v>550</v>
      </c>
      <c r="B221" s="312">
        <f>('FTE Pivot Table'!$O$79)*100</f>
        <v>90.60314424054037</v>
      </c>
      <c r="C221" s="312">
        <f>('FTE Pivot Table'!$O$82)*100</f>
        <v>0</v>
      </c>
      <c r="D221" s="130">
        <f>SUM(E221:G221)</f>
        <v>9.396855759459621</v>
      </c>
      <c r="E221" s="312">
        <f>('FTE Pivot Table'!$O$85)*100</f>
        <v>4.362624959123466</v>
      </c>
      <c r="F221" s="312">
        <f>('FTE Pivot Table'!$O$88)*100</f>
        <v>0.2071077698818185</v>
      </c>
      <c r="G221" s="314">
        <f>('FTE Pivot Table'!$O$91)*100</f>
        <v>4.827123030454336</v>
      </c>
      <c r="H221" s="312">
        <f>('FTE Pivot Table'!$O$94)*100</f>
        <v>0</v>
      </c>
      <c r="I221" s="43"/>
      <c r="J221" s="129"/>
      <c r="K221" s="129"/>
      <c r="L221" s="129"/>
      <c r="M221" s="129"/>
      <c r="N221" s="129"/>
      <c r="O221" s="129"/>
      <c r="P221" s="129"/>
      <c r="Q221" s="42">
        <f t="shared" si="16"/>
        <v>100</v>
      </c>
      <c r="R221" s="42">
        <f t="shared" si="17"/>
        <v>0</v>
      </c>
      <c r="S221" s="55"/>
      <c r="T221" s="71"/>
      <c r="U221" s="55"/>
      <c r="V221" s="55"/>
      <c r="W221" s="55"/>
      <c r="X221" s="55"/>
      <c r="Y221" s="55"/>
      <c r="Z221" s="55"/>
      <c r="AA221" s="55"/>
      <c r="AB221" s="55"/>
      <c r="AC221" s="55"/>
      <c r="AD221" s="55"/>
      <c r="AE221" s="55"/>
      <c r="AF221" s="55"/>
      <c r="AG221" s="55"/>
      <c r="AH221" s="55"/>
      <c r="AI221" s="55"/>
      <c r="AJ221" s="55"/>
      <c r="AK221" s="55"/>
      <c r="AL221" s="55"/>
      <c r="AM221" s="55"/>
      <c r="AN221" s="55"/>
      <c r="AO221" s="55"/>
    </row>
    <row r="222" spans="1:41" ht="15.75" customHeight="1">
      <c r="A222" s="43" t="s">
        <v>551</v>
      </c>
      <c r="B222" s="312">
        <f>('FTE Pivot Table'!$O$115)*100</f>
        <v>87.10024248917982</v>
      </c>
      <c r="C222" s="312">
        <f>('FTE Pivot Table'!$O$118)*100</f>
        <v>3.531540595536066</v>
      </c>
      <c r="D222" s="130">
        <f>SUM(E222:G222)</f>
        <v>8.8540636420639</v>
      </c>
      <c r="E222" s="312">
        <f>('FTE Pivot Table'!$O$121)*100</f>
        <v>5.976662979998447</v>
      </c>
      <c r="F222" s="312">
        <f>('FTE Pivot Table'!$O$124)*100</f>
        <v>0.2725902811416402</v>
      </c>
      <c r="G222" s="314">
        <f>('FTE Pivot Table'!$O$127)*100</f>
        <v>2.6048103809238143</v>
      </c>
      <c r="H222" s="312">
        <f>('FTE Pivot Table'!$O$130)*100</f>
        <v>0.5141532732202211</v>
      </c>
      <c r="I222" s="43"/>
      <c r="J222" s="129"/>
      <c r="K222" s="129"/>
      <c r="L222" s="129"/>
      <c r="M222" s="129"/>
      <c r="N222" s="129"/>
      <c r="O222" s="129"/>
      <c r="P222" s="129"/>
      <c r="Q222" s="42">
        <f t="shared" si="16"/>
        <v>100.00000000000001</v>
      </c>
      <c r="R222" s="42">
        <f t="shared" si="17"/>
        <v>0</v>
      </c>
      <c r="S222" s="55"/>
      <c r="U222" s="55"/>
      <c r="V222" s="55"/>
      <c r="W222" s="55"/>
      <c r="X222" s="55"/>
      <c r="Y222" s="55"/>
      <c r="Z222" s="55"/>
      <c r="AA222" s="55"/>
      <c r="AB222" s="55"/>
      <c r="AC222" s="55"/>
      <c r="AD222" s="55"/>
      <c r="AE222" s="55"/>
      <c r="AF222" s="55"/>
      <c r="AG222" s="55"/>
      <c r="AH222" s="55"/>
      <c r="AI222" s="55"/>
      <c r="AJ222" s="55"/>
      <c r="AK222" s="55"/>
      <c r="AL222" s="55"/>
      <c r="AM222" s="55"/>
      <c r="AN222" s="55"/>
      <c r="AO222" s="55"/>
    </row>
    <row r="223" spans="1:41" ht="15.75" customHeight="1">
      <c r="A223" s="43"/>
      <c r="B223" s="115"/>
      <c r="C223" s="116"/>
      <c r="D223" s="130"/>
      <c r="E223" s="115"/>
      <c r="F223" s="115"/>
      <c r="G223" s="116"/>
      <c r="H223" s="115"/>
      <c r="I223" s="43"/>
      <c r="J223" s="129"/>
      <c r="K223" s="129"/>
      <c r="L223" s="129"/>
      <c r="M223" s="129"/>
      <c r="N223" s="129"/>
      <c r="O223" s="129"/>
      <c r="P223" s="129"/>
      <c r="Q223" s="42">
        <f t="shared" si="16"/>
        <v>0</v>
      </c>
      <c r="R223" s="42">
        <f t="shared" si="17"/>
        <v>0</v>
      </c>
      <c r="S223" s="55"/>
      <c r="U223" s="55"/>
      <c r="V223" s="55"/>
      <c r="W223" s="55"/>
      <c r="X223" s="55"/>
      <c r="Y223" s="55"/>
      <c r="Z223" s="55"/>
      <c r="AA223" s="55"/>
      <c r="AB223" s="55"/>
      <c r="AC223" s="55"/>
      <c r="AD223" s="55"/>
      <c r="AE223" s="55"/>
      <c r="AF223" s="55"/>
      <c r="AG223" s="55"/>
      <c r="AH223" s="55"/>
      <c r="AI223" s="55"/>
      <c r="AJ223" s="55"/>
      <c r="AK223" s="55"/>
      <c r="AL223" s="55"/>
      <c r="AM223" s="55"/>
      <c r="AN223" s="55"/>
      <c r="AO223" s="55"/>
    </row>
    <row r="224" spans="1:41" ht="15.75" customHeight="1">
      <c r="A224" s="43" t="s">
        <v>552</v>
      </c>
      <c r="B224" s="312">
        <f>('FTE Pivot Table'!$O$151)*100</f>
        <v>82.47724332878417</v>
      </c>
      <c r="C224" s="312">
        <f>('FTE Pivot Table'!$O$154)*100</f>
        <v>13.199999178274116</v>
      </c>
      <c r="D224" s="130">
        <f>SUM(E224:G224)</f>
        <v>4.322757492941717</v>
      </c>
      <c r="E224" s="312">
        <f>('FTE Pivot Table'!$O$157)*100</f>
        <v>3.464807192292759</v>
      </c>
      <c r="F224" s="312">
        <f>('FTE Pivot Table'!$O$160)*100</f>
        <v>0.2638424861042729</v>
      </c>
      <c r="G224" s="314">
        <f>('FTE Pivot Table'!$O$163)*100</f>
        <v>0.5941078145446852</v>
      </c>
      <c r="H224" s="312">
        <f>('FTE Pivot Table'!$O$166)*100</f>
        <v>0</v>
      </c>
      <c r="I224" s="43"/>
      <c r="J224" s="129"/>
      <c r="K224" s="129"/>
      <c r="L224" s="129"/>
      <c r="M224" s="129"/>
      <c r="N224" s="129"/>
      <c r="O224" s="129"/>
      <c r="P224" s="129"/>
      <c r="Q224" s="42">
        <f t="shared" si="16"/>
        <v>100</v>
      </c>
      <c r="R224" s="42">
        <f t="shared" si="17"/>
        <v>0</v>
      </c>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row>
    <row r="225" spans="1:41" ht="15.75" customHeight="1">
      <c r="A225" s="43" t="s">
        <v>553</v>
      </c>
      <c r="B225" s="312">
        <f>('FTE Pivot Table'!$O$187)*100</f>
        <v>70.27316725985077</v>
      </c>
      <c r="C225" s="312">
        <f>('FTE Pivot Table'!$O$190)*100</f>
        <v>10.086199486584526</v>
      </c>
      <c r="D225" s="130">
        <f>SUM(E225:G225)</f>
        <v>19.64063325356471</v>
      </c>
      <c r="E225" s="312">
        <f>('FTE Pivot Table'!$O$193)*100</f>
        <v>18.18691448379285</v>
      </c>
      <c r="F225" s="312">
        <f>('FTE Pivot Table'!$O$196)*100</f>
        <v>0.8201912309311372</v>
      </c>
      <c r="G225" s="314">
        <f>('FTE Pivot Table'!$O$199)*100</f>
        <v>0.6335275388407252</v>
      </c>
      <c r="H225" s="312">
        <f>('FTE Pivot Table'!$O$202)*100</f>
        <v>0</v>
      </c>
      <c r="I225" s="43"/>
      <c r="J225" s="129"/>
      <c r="K225" s="129"/>
      <c r="L225" s="129"/>
      <c r="M225" s="129"/>
      <c r="N225" s="129"/>
      <c r="O225" s="129"/>
      <c r="P225" s="129"/>
      <c r="Q225" s="42">
        <f t="shared" si="16"/>
        <v>100</v>
      </c>
      <c r="R225" s="42">
        <f t="shared" si="17"/>
        <v>0</v>
      </c>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row>
    <row r="226" spans="1:41" ht="15.75" customHeight="1">
      <c r="A226" s="43" t="s">
        <v>554</v>
      </c>
      <c r="B226" s="312">
        <f>('FTE Pivot Table'!$O$223)*100</f>
        <v>91.22872889651751</v>
      </c>
      <c r="C226" s="312">
        <f>('FTE Pivot Table'!$O$226)*100</f>
        <v>5.528475453582396</v>
      </c>
      <c r="D226" s="130">
        <f>SUM(E226:G226)</f>
        <v>3.242795649900098</v>
      </c>
      <c r="E226" s="312">
        <f>('FTE Pivot Table'!$O$229)*100</f>
        <v>3.063441191852279</v>
      </c>
      <c r="F226" s="312">
        <f>('FTE Pivot Table'!$O$232)*100</f>
        <v>0.06939508937551125</v>
      </c>
      <c r="G226" s="314">
        <f>('FTE Pivot Table'!$O$235)*100</f>
        <v>0.10995936867230767</v>
      </c>
      <c r="H226" s="312">
        <f>('FTE Pivot Table'!$O$238)*100</f>
        <v>0</v>
      </c>
      <c r="I226" s="43"/>
      <c r="J226" s="129"/>
      <c r="K226" s="129"/>
      <c r="L226" s="129"/>
      <c r="M226" s="129"/>
      <c r="N226" s="129"/>
      <c r="O226" s="129"/>
      <c r="P226" s="129"/>
      <c r="Q226" s="42">
        <f t="shared" si="16"/>
        <v>100.00000000000001</v>
      </c>
      <c r="R226" s="42">
        <f t="shared" si="17"/>
        <v>0</v>
      </c>
      <c r="S226" s="55"/>
      <c r="T226" s="71"/>
      <c r="U226" s="55"/>
      <c r="V226" s="55"/>
      <c r="W226" s="55"/>
      <c r="X226" s="55"/>
      <c r="Y226" s="55"/>
      <c r="Z226" s="55"/>
      <c r="AA226" s="55"/>
      <c r="AB226" s="55"/>
      <c r="AC226" s="55"/>
      <c r="AD226" s="55"/>
      <c r="AE226" s="55"/>
      <c r="AF226" s="55"/>
      <c r="AG226" s="55"/>
      <c r="AH226" s="55"/>
      <c r="AI226" s="55"/>
      <c r="AJ226" s="55"/>
      <c r="AK226" s="55"/>
      <c r="AL226" s="55"/>
      <c r="AM226" s="55"/>
      <c r="AN226" s="55"/>
      <c r="AO226" s="55"/>
    </row>
    <row r="227" spans="1:41" ht="15.75" customHeight="1">
      <c r="A227" s="43" t="s">
        <v>555</v>
      </c>
      <c r="B227" s="312">
        <f>('FTE Pivot Table'!$O$259)*100</f>
        <v>90.07036057751289</v>
      </c>
      <c r="C227" s="312">
        <f>('FTE Pivot Table'!$O$262)*100</f>
        <v>3.8444192331374722</v>
      </c>
      <c r="D227" s="130">
        <f>SUM(E227:G227)</f>
        <v>6.031123631082504</v>
      </c>
      <c r="E227" s="312">
        <f>('FTE Pivot Table'!$O$265)*100</f>
        <v>5.225341959183387</v>
      </c>
      <c r="F227" s="312">
        <f>('FTE Pivot Table'!$O$268)*100</f>
        <v>0.2550015948553355</v>
      </c>
      <c r="G227" s="314">
        <f>('FTE Pivot Table'!$O$271)*100</f>
        <v>0.5507800770437808</v>
      </c>
      <c r="H227" s="312">
        <f>('FTE Pivot Table'!$O$274)*100</f>
        <v>0.05409655826713418</v>
      </c>
      <c r="I227" s="43"/>
      <c r="J227" s="129"/>
      <c r="K227" s="129"/>
      <c r="L227" s="129"/>
      <c r="M227" s="129"/>
      <c r="N227" s="129"/>
      <c r="O227" s="129"/>
      <c r="P227" s="129"/>
      <c r="Q227" s="42">
        <f t="shared" si="16"/>
        <v>100</v>
      </c>
      <c r="R227" s="42">
        <f t="shared" si="17"/>
        <v>0</v>
      </c>
      <c r="S227" s="55"/>
      <c r="U227" s="55"/>
      <c r="V227" s="55"/>
      <c r="W227" s="55"/>
      <c r="X227" s="55"/>
      <c r="Y227" s="55"/>
      <c r="Z227" s="55"/>
      <c r="AA227" s="55"/>
      <c r="AB227" s="55"/>
      <c r="AC227" s="55"/>
      <c r="AD227" s="55"/>
      <c r="AE227" s="55"/>
      <c r="AF227" s="55"/>
      <c r="AG227" s="55"/>
      <c r="AH227" s="55"/>
      <c r="AI227" s="55"/>
      <c r="AJ227" s="55"/>
      <c r="AK227" s="55"/>
      <c r="AL227" s="55"/>
      <c r="AM227" s="55"/>
      <c r="AN227" s="55"/>
      <c r="AO227" s="55"/>
    </row>
    <row r="228" spans="1:41" ht="15.75" customHeight="1">
      <c r="A228" s="43"/>
      <c r="B228" s="115"/>
      <c r="C228" s="116"/>
      <c r="D228" s="130"/>
      <c r="E228" s="115"/>
      <c r="F228" s="115"/>
      <c r="G228" s="116"/>
      <c r="H228" s="115"/>
      <c r="I228" s="43"/>
      <c r="J228" s="129"/>
      <c r="K228" s="129"/>
      <c r="L228" s="129"/>
      <c r="M228" s="129"/>
      <c r="N228" s="129"/>
      <c r="O228" s="129"/>
      <c r="P228" s="129"/>
      <c r="Q228" s="42">
        <f t="shared" si="16"/>
        <v>0</v>
      </c>
      <c r="R228" s="42">
        <f t="shared" si="17"/>
        <v>0</v>
      </c>
      <c r="S228" s="55"/>
      <c r="U228" s="55"/>
      <c r="V228" s="55"/>
      <c r="W228" s="55"/>
      <c r="X228" s="55"/>
      <c r="Y228" s="55"/>
      <c r="Z228" s="55"/>
      <c r="AA228" s="55"/>
      <c r="AB228" s="55"/>
      <c r="AC228" s="55"/>
      <c r="AD228" s="55"/>
      <c r="AE228" s="55"/>
      <c r="AF228" s="55"/>
      <c r="AG228" s="55"/>
      <c r="AH228" s="55"/>
      <c r="AI228" s="55"/>
      <c r="AJ228" s="55"/>
      <c r="AK228" s="55"/>
      <c r="AL228" s="55"/>
      <c r="AM228" s="55"/>
      <c r="AN228" s="55"/>
      <c r="AO228" s="55"/>
    </row>
    <row r="229" spans="1:41" ht="15.75" customHeight="1">
      <c r="A229" s="43" t="s">
        <v>611</v>
      </c>
      <c r="B229" s="312">
        <f>('FTE Pivot Table'!$O$295)*100</f>
        <v>92.43813851569382</v>
      </c>
      <c r="C229" s="312">
        <f>('FTE Pivot Table'!$O$298)*100</f>
        <v>0</v>
      </c>
      <c r="D229" s="130">
        <f>SUM(E229:G229)</f>
        <v>7.56186148430618</v>
      </c>
      <c r="E229" s="312">
        <f>('FTE Pivot Table'!$O$301)*100</f>
        <v>7.56186148430618</v>
      </c>
      <c r="F229" s="312">
        <f>('FTE Pivot Table'!$O$304)*100</f>
        <v>0</v>
      </c>
      <c r="G229" s="314">
        <f>('FTE Pivot Table'!$O$307)*100</f>
        <v>0</v>
      </c>
      <c r="H229" s="312">
        <f>('FTE Pivot Table'!$O$310)*100</f>
        <v>0</v>
      </c>
      <c r="I229" s="43"/>
      <c r="J229" s="129"/>
      <c r="K229" s="129"/>
      <c r="L229" s="129"/>
      <c r="M229" s="129"/>
      <c r="N229" s="129"/>
      <c r="O229" s="129"/>
      <c r="P229" s="129"/>
      <c r="Q229" s="42">
        <f t="shared" si="16"/>
        <v>100</v>
      </c>
      <c r="R229" s="42">
        <f t="shared" si="17"/>
        <v>0</v>
      </c>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row>
    <row r="230" spans="1:41" ht="15.75" customHeight="1">
      <c r="A230" s="43" t="s">
        <v>214</v>
      </c>
      <c r="B230" s="312">
        <f>('FTE Pivot Table'!$O$331)*100</f>
        <v>72.54398115177112</v>
      </c>
      <c r="C230" s="312">
        <f>('FTE Pivot Table'!$O$334)*100</f>
        <v>18.829755970090364</v>
      </c>
      <c r="D230" s="130">
        <f>SUM(E230:G230)</f>
        <v>8.6262628781385</v>
      </c>
      <c r="E230" s="312">
        <f>('FTE Pivot Table'!$O$337)*100</f>
        <v>6.716367330505508</v>
      </c>
      <c r="F230" s="312">
        <f>('FTE Pivot Table'!$O$340)*100</f>
        <v>0.3889514986523859</v>
      </c>
      <c r="G230" s="314">
        <f>('FTE Pivot Table'!$O$343)*100</f>
        <v>1.520944048980606</v>
      </c>
      <c r="H230" s="312">
        <f>('FTE Pivot Table'!$O$346)*100</f>
        <v>0</v>
      </c>
      <c r="I230" s="43"/>
      <c r="J230" s="129"/>
      <c r="K230" s="129"/>
      <c r="L230" s="129"/>
      <c r="M230" s="129"/>
      <c r="N230" s="129"/>
      <c r="O230" s="129"/>
      <c r="P230" s="129"/>
      <c r="Q230" s="42">
        <f t="shared" si="16"/>
        <v>99.99999999999999</v>
      </c>
      <c r="R230" s="42">
        <f t="shared" si="17"/>
        <v>0</v>
      </c>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row>
    <row r="231" spans="1:41" ht="15.75" customHeight="1">
      <c r="A231" s="43" t="s">
        <v>207</v>
      </c>
      <c r="B231" s="312">
        <f>('FTE Pivot Table'!$O$367)*100</f>
        <v>81.2265125530373</v>
      </c>
      <c r="C231" s="312">
        <f>('FTE Pivot Table'!$O$370)*100</f>
        <v>5.664881352035917</v>
      </c>
      <c r="D231" s="130">
        <f>SUM(E231:G231)</f>
        <v>12.649194786189767</v>
      </c>
      <c r="E231" s="312">
        <f>('FTE Pivot Table'!$O$373)*100</f>
        <v>9.309123887565827</v>
      </c>
      <c r="F231" s="312">
        <f>('FTE Pivot Table'!$O$376)*100</f>
        <v>1.9970199589858888</v>
      </c>
      <c r="G231" s="314">
        <f>('FTE Pivot Table'!$O$379)*100</f>
        <v>1.34305093963805</v>
      </c>
      <c r="H231" s="312">
        <f>('FTE Pivot Table'!$O$382)*100</f>
        <v>0.45941130873701486</v>
      </c>
      <c r="I231" s="43"/>
      <c r="J231" s="129"/>
      <c r="K231" s="129"/>
      <c r="L231" s="129"/>
      <c r="M231" s="129"/>
      <c r="N231" s="129"/>
      <c r="O231" s="129"/>
      <c r="P231" s="129"/>
      <c r="Q231" s="42">
        <f t="shared" si="16"/>
        <v>100</v>
      </c>
      <c r="R231" s="42">
        <f t="shared" si="17"/>
        <v>0</v>
      </c>
      <c r="S231" s="55"/>
      <c r="T231" s="71"/>
      <c r="U231" s="55"/>
      <c r="V231" s="55"/>
      <c r="W231" s="55"/>
      <c r="X231" s="55"/>
      <c r="Y231" s="55"/>
      <c r="Z231" s="55"/>
      <c r="AA231" s="55"/>
      <c r="AB231" s="55"/>
      <c r="AC231" s="55"/>
      <c r="AD231" s="55"/>
      <c r="AE231" s="55"/>
      <c r="AF231" s="55"/>
      <c r="AG231" s="55"/>
      <c r="AH231" s="55"/>
      <c r="AI231" s="55"/>
      <c r="AJ231" s="55"/>
      <c r="AK231" s="55"/>
      <c r="AL231" s="55"/>
      <c r="AM231" s="55"/>
      <c r="AN231" s="55"/>
      <c r="AO231" s="55"/>
    </row>
    <row r="232" spans="1:41" ht="15.75" customHeight="1">
      <c r="A232" s="43" t="s">
        <v>556</v>
      </c>
      <c r="B232" s="312">
        <f>('FTE Pivot Table'!$O$403)*100</f>
        <v>0</v>
      </c>
      <c r="C232" s="312">
        <f>('FTE Pivot Table'!$O$406)*100</f>
        <v>0</v>
      </c>
      <c r="D232" s="130">
        <f>SUM(E232:G232)</f>
        <v>0</v>
      </c>
      <c r="E232" s="312">
        <f>('FTE Pivot Table'!$O$409)*100</f>
        <v>0</v>
      </c>
      <c r="F232" s="312">
        <f>('FTE Pivot Table'!$O$412)*100</f>
        <v>0</v>
      </c>
      <c r="G232" s="314">
        <f>('FTE Pivot Table'!$O$415)*100</f>
        <v>0</v>
      </c>
      <c r="H232" s="312">
        <f>('FTE Pivot Table'!$O$418)*100</f>
        <v>0</v>
      </c>
      <c r="I232" s="43"/>
      <c r="J232" s="129"/>
      <c r="K232" s="129"/>
      <c r="L232" s="129"/>
      <c r="M232" s="129"/>
      <c r="N232" s="129"/>
      <c r="O232" s="129"/>
      <c r="P232" s="129"/>
      <c r="Q232" s="42">
        <f t="shared" si="16"/>
        <v>0</v>
      </c>
      <c r="R232" s="42">
        <f t="shared" si="17"/>
        <v>0</v>
      </c>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row>
    <row r="233" spans="1:41" ht="15.75" customHeight="1">
      <c r="A233" s="43"/>
      <c r="B233" s="115"/>
      <c r="C233" s="116"/>
      <c r="D233" s="130"/>
      <c r="E233" s="115"/>
      <c r="F233" s="115"/>
      <c r="G233" s="116"/>
      <c r="H233" s="115"/>
      <c r="I233" s="43"/>
      <c r="J233" s="129"/>
      <c r="K233" s="129"/>
      <c r="L233" s="129"/>
      <c r="M233" s="129"/>
      <c r="N233" s="129"/>
      <c r="O233" s="129"/>
      <c r="P233" s="129"/>
      <c r="Q233" s="42">
        <f t="shared" si="16"/>
        <v>0</v>
      </c>
      <c r="R233" s="42">
        <f t="shared" si="17"/>
        <v>0</v>
      </c>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row>
    <row r="234" spans="1:41" ht="15.75" customHeight="1">
      <c r="A234" s="43" t="s">
        <v>557</v>
      </c>
      <c r="B234" s="312">
        <f>('FTE Pivot Table'!$O$439)*100</f>
        <v>0</v>
      </c>
      <c r="C234" s="312">
        <f>('FTE Pivot Table'!$O$442)*100</f>
        <v>0</v>
      </c>
      <c r="D234" s="130">
        <f>SUM(E234:G234)</f>
        <v>0</v>
      </c>
      <c r="E234" s="312">
        <f>('FTE Pivot Table'!$O$445)*100</f>
        <v>0</v>
      </c>
      <c r="F234" s="312">
        <f>('FTE Pivot Table'!$O$448)*100</f>
        <v>0</v>
      </c>
      <c r="G234" s="314">
        <f>('FTE Pivot Table'!$O$451)*100</f>
        <v>0</v>
      </c>
      <c r="H234" s="312">
        <f>('FTE Pivot Table'!$O$454)*100</f>
        <v>0</v>
      </c>
      <c r="I234" s="43"/>
      <c r="J234" s="129"/>
      <c r="K234" s="129"/>
      <c r="L234" s="129"/>
      <c r="M234" s="129"/>
      <c r="N234" s="129"/>
      <c r="O234" s="129"/>
      <c r="P234" s="129"/>
      <c r="Q234" s="42">
        <f t="shared" si="16"/>
        <v>0</v>
      </c>
      <c r="R234" s="42">
        <f t="shared" si="17"/>
        <v>0</v>
      </c>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row>
    <row r="235" spans="1:41" ht="15.75" customHeight="1">
      <c r="A235" s="43" t="s">
        <v>313</v>
      </c>
      <c r="B235" s="312">
        <f>('FTE Pivot Table'!$O$475)*100</f>
        <v>79.02152823673363</v>
      </c>
      <c r="C235" s="312">
        <f>('FTE Pivot Table'!$O$478)*100</f>
        <v>12.140012722477469</v>
      </c>
      <c r="D235" s="130">
        <f>SUM(E235:G235)</f>
        <v>8.8384590407889</v>
      </c>
      <c r="E235" s="312">
        <f>('FTE Pivot Table'!$O$481)*100</f>
        <v>7.283795297283954</v>
      </c>
      <c r="F235" s="312">
        <f>('FTE Pivot Table'!$O$484)*100</f>
        <v>0.4236726554323121</v>
      </c>
      <c r="G235" s="314">
        <f>('FTE Pivot Table'!$O$487)*100</f>
        <v>1.130991088072633</v>
      </c>
      <c r="H235" s="312">
        <f>('FTE Pivot Table'!$O$490)*100</f>
        <v>0</v>
      </c>
      <c r="I235" s="43"/>
      <c r="J235" s="129"/>
      <c r="K235" s="129"/>
      <c r="L235" s="129"/>
      <c r="M235" s="129"/>
      <c r="N235" s="129"/>
      <c r="O235" s="129"/>
      <c r="P235" s="129"/>
      <c r="Q235" s="42">
        <f t="shared" si="16"/>
        <v>100</v>
      </c>
      <c r="R235" s="42">
        <f t="shared" si="17"/>
        <v>0</v>
      </c>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row>
    <row r="236" spans="1:41" ht="15.75" customHeight="1">
      <c r="A236" s="43" t="s">
        <v>558</v>
      </c>
      <c r="B236" s="312">
        <f>('FTE Pivot Table'!$O$511)*100</f>
        <v>0</v>
      </c>
      <c r="C236" s="312">
        <f>('FTE Pivot Table'!$O$514)*100</f>
        <v>0</v>
      </c>
      <c r="D236" s="130">
        <f>SUM(E236:G236)</f>
        <v>0</v>
      </c>
      <c r="E236" s="312">
        <f>('FTE Pivot Table'!$O$517)*100</f>
        <v>0</v>
      </c>
      <c r="F236" s="312">
        <f>('FTE Pivot Table'!$O$520)*100</f>
        <v>0</v>
      </c>
      <c r="G236" s="314">
        <f>('FTE Pivot Table'!$O$523)*100</f>
        <v>0</v>
      </c>
      <c r="H236" s="312">
        <f>('FTE Pivot Table'!$O$526)*100</f>
        <v>0</v>
      </c>
      <c r="I236" s="43"/>
      <c r="J236" s="129"/>
      <c r="K236" s="129"/>
      <c r="L236" s="129"/>
      <c r="M236" s="129"/>
      <c r="N236" s="129"/>
      <c r="O236" s="129"/>
      <c r="P236" s="129"/>
      <c r="Q236" s="42">
        <f t="shared" si="16"/>
        <v>0</v>
      </c>
      <c r="R236" s="42">
        <f t="shared" si="17"/>
        <v>0</v>
      </c>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row>
    <row r="237" spans="1:41" ht="15.75" customHeight="1">
      <c r="A237" s="37" t="s">
        <v>607</v>
      </c>
      <c r="B237" s="316">
        <f>('FTE Pivot Table'!$O$547)*100</f>
        <v>72.61551372415978</v>
      </c>
      <c r="C237" s="316">
        <f>('FTE Pivot Table'!$O$550)*100</f>
        <v>20.467277621294432</v>
      </c>
      <c r="D237" s="132">
        <f>SUM(E237:G237)</f>
        <v>6.917208654545779</v>
      </c>
      <c r="E237" s="316">
        <f>('FTE Pivot Table'!$O$553)*100</f>
        <v>4.453153945389048</v>
      </c>
      <c r="F237" s="316">
        <f>('FTE Pivot Table'!$O$556)*100</f>
        <v>2.322103731346615</v>
      </c>
      <c r="G237" s="317">
        <f>('FTE Pivot Table'!$O$559)*100</f>
        <v>0.141950977810116</v>
      </c>
      <c r="H237" s="316">
        <f>('FTE Pivot Table'!$O$562)*100</f>
        <v>0</v>
      </c>
      <c r="I237" s="43"/>
      <c r="J237" s="129"/>
      <c r="K237" s="129"/>
      <c r="L237" s="129"/>
      <c r="M237" s="129"/>
      <c r="N237" s="129"/>
      <c r="O237" s="129"/>
      <c r="P237" s="129"/>
      <c r="Q237" s="42">
        <f t="shared" si="16"/>
        <v>99.99999999999999</v>
      </c>
      <c r="R237" s="42">
        <f t="shared" si="17"/>
        <v>0</v>
      </c>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row>
    <row r="238" spans="1:41" s="76" customFormat="1" ht="18" customHeight="1">
      <c r="A238" s="133" t="s">
        <v>608</v>
      </c>
      <c r="B238" s="80"/>
      <c r="C238" s="80"/>
      <c r="D238" s="81"/>
      <c r="E238" s="80"/>
      <c r="F238" s="81"/>
      <c r="G238" s="81"/>
      <c r="H238" s="80"/>
      <c r="I238" s="133"/>
      <c r="J238" s="80"/>
      <c r="K238" s="80"/>
      <c r="L238" s="81"/>
      <c r="M238" s="80"/>
      <c r="N238" s="81"/>
      <c r="O238" s="81"/>
      <c r="P238" s="80"/>
      <c r="Q238" s="80"/>
      <c r="R238" s="80"/>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row>
    <row r="239" spans="1:18" s="76" customFormat="1" ht="13.5" customHeight="1">
      <c r="A239" s="133" t="s">
        <v>612</v>
      </c>
      <c r="B239" s="75"/>
      <c r="H239" s="74"/>
      <c r="I239" s="133"/>
      <c r="P239" s="77"/>
      <c r="Q239" s="78"/>
      <c r="R239" s="79"/>
    </row>
    <row r="240" spans="1:18" s="76" customFormat="1" ht="13.5" customHeight="1">
      <c r="A240" s="134" t="s">
        <v>757</v>
      </c>
      <c r="H240" s="74"/>
      <c r="I240" s="134"/>
      <c r="Q240" s="78"/>
      <c r="R240" s="79"/>
    </row>
    <row r="241" spans="1:41" ht="9" customHeight="1">
      <c r="A241" s="43"/>
      <c r="B241" s="115"/>
      <c r="C241" s="115"/>
      <c r="D241" s="113"/>
      <c r="E241" s="115"/>
      <c r="F241" s="113"/>
      <c r="G241" s="113"/>
      <c r="H241" s="115"/>
      <c r="I241" s="43"/>
      <c r="J241" s="115"/>
      <c r="K241" s="115"/>
      <c r="L241" s="113"/>
      <c r="M241" s="115"/>
      <c r="N241" s="113"/>
      <c r="O241" s="113"/>
      <c r="P241" s="115"/>
      <c r="Q241" s="42"/>
      <c r="R241" s="42"/>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row>
    <row r="242" spans="8:18" s="76" customFormat="1" ht="11.25">
      <c r="H242" s="343" t="s">
        <v>60</v>
      </c>
      <c r="I242" s="74"/>
      <c r="J242" s="74"/>
      <c r="K242" s="74"/>
      <c r="L242" s="74"/>
      <c r="M242" s="74"/>
      <c r="N242" s="74"/>
      <c r="O242" s="74"/>
      <c r="P242" s="74"/>
      <c r="Q242" s="74"/>
      <c r="R242" s="74"/>
    </row>
    <row r="243" spans="1:17" ht="18">
      <c r="A243" s="34" t="s">
        <v>579</v>
      </c>
      <c r="B243" s="35"/>
      <c r="C243" s="35"/>
      <c r="D243" s="35"/>
      <c r="E243" s="35"/>
      <c r="F243" s="35"/>
      <c r="G243" s="35"/>
      <c r="H243" s="53"/>
      <c r="I243" s="52"/>
      <c r="J243" s="43"/>
      <c r="K243" s="43"/>
      <c r="L243" s="43"/>
      <c r="M243" s="43"/>
      <c r="N243" s="43"/>
      <c r="O243" s="43"/>
      <c r="P243" s="43"/>
      <c r="Q243" s="67"/>
    </row>
    <row r="244" spans="1:16" ht="12.75">
      <c r="A244" s="90"/>
      <c r="B244" s="36"/>
      <c r="C244" s="36"/>
      <c r="D244" s="36"/>
      <c r="E244" s="36"/>
      <c r="F244" s="36"/>
      <c r="G244" s="36"/>
      <c r="H244" s="48"/>
      <c r="I244" s="52"/>
      <c r="J244" s="43"/>
      <c r="K244" s="43"/>
      <c r="L244" s="43"/>
      <c r="M244" s="43"/>
      <c r="N244" s="43"/>
      <c r="O244" s="43"/>
      <c r="P244" s="43"/>
    </row>
    <row r="245" spans="1:16" ht="15.75">
      <c r="A245" s="45" t="s">
        <v>595</v>
      </c>
      <c r="B245" s="36"/>
      <c r="C245" s="36"/>
      <c r="D245" s="36"/>
      <c r="E245" s="36"/>
      <c r="F245" s="36"/>
      <c r="G245" s="36"/>
      <c r="H245" s="48"/>
      <c r="I245" s="52"/>
      <c r="J245" s="43"/>
      <c r="K245" s="43"/>
      <c r="L245" s="43"/>
      <c r="M245" s="43"/>
      <c r="N245" s="43"/>
      <c r="O245" s="43"/>
      <c r="P245" s="43"/>
    </row>
    <row r="246" spans="1:16" ht="15.75">
      <c r="A246" s="45" t="s">
        <v>815</v>
      </c>
      <c r="B246" s="36"/>
      <c r="C246" s="36"/>
      <c r="D246" s="36"/>
      <c r="E246" s="36"/>
      <c r="F246" s="36"/>
      <c r="G246" s="36"/>
      <c r="H246" s="48"/>
      <c r="I246" s="52"/>
      <c r="J246" s="43"/>
      <c r="K246" s="43"/>
      <c r="L246" s="43"/>
      <c r="M246" s="43"/>
      <c r="N246" s="43"/>
      <c r="O246" s="43"/>
      <c r="P246" s="43"/>
    </row>
    <row r="247" spans="1:16" ht="12.75">
      <c r="A247" s="37"/>
      <c r="B247" s="38"/>
      <c r="C247" s="38"/>
      <c r="D247" s="38"/>
      <c r="E247" s="38"/>
      <c r="F247" s="38"/>
      <c r="G247" s="38"/>
      <c r="H247" s="38"/>
      <c r="I247" s="52"/>
      <c r="J247" s="43"/>
      <c r="K247" s="43"/>
      <c r="L247" s="43"/>
      <c r="M247" s="43"/>
      <c r="N247" s="43"/>
      <c r="O247" s="43"/>
      <c r="P247" s="43"/>
    </row>
    <row r="248" spans="1:16" ht="12.75">
      <c r="A248" s="97"/>
      <c r="B248" s="98" t="s">
        <v>315</v>
      </c>
      <c r="C248" s="98"/>
      <c r="D248" s="98"/>
      <c r="E248" s="98"/>
      <c r="F248" s="98"/>
      <c r="G248" s="98"/>
      <c r="H248" s="99"/>
      <c r="I248" s="52"/>
      <c r="J248" s="43"/>
      <c r="K248" s="43"/>
      <c r="L248" s="43"/>
      <c r="M248" s="43"/>
      <c r="N248" s="43"/>
      <c r="O248" s="43"/>
      <c r="P248" s="43"/>
    </row>
    <row r="249" spans="1:16" ht="12.75">
      <c r="A249" s="97"/>
      <c r="B249" s="98" t="s">
        <v>211</v>
      </c>
      <c r="C249" s="98"/>
      <c r="D249" s="421" t="s">
        <v>603</v>
      </c>
      <c r="E249" s="422"/>
      <c r="F249" s="422"/>
      <c r="G249" s="422"/>
      <c r="H249" s="103" t="s">
        <v>73</v>
      </c>
      <c r="I249" s="52"/>
      <c r="J249" s="43"/>
      <c r="K249" s="43"/>
      <c r="L249" s="43"/>
      <c r="M249" s="43"/>
      <c r="N249" s="43"/>
      <c r="O249" s="43"/>
      <c r="P249" s="43"/>
    </row>
    <row r="250" spans="1:16" ht="36">
      <c r="A250" s="97"/>
      <c r="B250" s="104" t="s">
        <v>594</v>
      </c>
      <c r="C250" s="105" t="s">
        <v>593</v>
      </c>
      <c r="D250" s="106" t="s">
        <v>601</v>
      </c>
      <c r="E250" s="107" t="s">
        <v>71</v>
      </c>
      <c r="F250" s="104" t="s">
        <v>212</v>
      </c>
      <c r="G250" s="108" t="s">
        <v>605</v>
      </c>
      <c r="H250" s="109" t="s">
        <v>604</v>
      </c>
      <c r="I250" s="52"/>
      <c r="J250" s="43"/>
      <c r="K250" s="43"/>
      <c r="L250" s="43"/>
      <c r="M250" s="43"/>
      <c r="N250" s="43"/>
      <c r="O250" s="43"/>
      <c r="P250" s="43"/>
    </row>
    <row r="251" spans="1:41" ht="15.75" customHeight="1">
      <c r="A251" s="44" t="s">
        <v>548</v>
      </c>
      <c r="B251" s="312">
        <f>('FTE Pivot Table'!$K$7)*100</f>
        <v>0</v>
      </c>
      <c r="C251" s="312">
        <f>('FTE Pivot Table'!$K$10)*100</f>
        <v>0</v>
      </c>
      <c r="D251" s="130">
        <f>SUM(E251:G251)</f>
        <v>0</v>
      </c>
      <c r="E251" s="312">
        <f>('FTE Pivot Table'!$K$13)*100</f>
        <v>0</v>
      </c>
      <c r="F251" s="312">
        <f>('FTE Pivot Table'!$K$16)*100</f>
        <v>0</v>
      </c>
      <c r="G251" s="313">
        <f>('FTE Pivot Table'!$K$19)*100</f>
        <v>0</v>
      </c>
      <c r="H251" s="312">
        <f>('FTE Pivot Table'!$K$22)*100</f>
        <v>0</v>
      </c>
      <c r="I251" s="43"/>
      <c r="J251" s="129"/>
      <c r="K251" s="129"/>
      <c r="L251" s="129"/>
      <c r="M251" s="129"/>
      <c r="N251" s="129"/>
      <c r="O251" s="129"/>
      <c r="P251" s="129"/>
      <c r="Q251" s="42">
        <f aca="true" t="shared" si="18" ref="Q251:Q269">SUM(B251,C251,D251,H251)</f>
        <v>0</v>
      </c>
      <c r="R251" s="42">
        <f aca="true" t="shared" si="19" ref="R251:R269">SUM(J251,K251,L251,P251)</f>
        <v>0</v>
      </c>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row>
    <row r="252" spans="1:41" ht="15.75" customHeight="1">
      <c r="A252" s="43" t="s">
        <v>549</v>
      </c>
      <c r="B252" s="312">
        <f>('FTE Pivot Table'!$K$43)*100</f>
        <v>91.37104903409326</v>
      </c>
      <c r="C252" s="312">
        <f>('FTE Pivot Table'!$K$46)*100</f>
        <v>1.0777558375564422</v>
      </c>
      <c r="D252" s="130">
        <f>SUM(E252:G252)</f>
        <v>7.551195128350295</v>
      </c>
      <c r="E252" s="312">
        <f>('FTE Pivot Table'!$K$49)*100</f>
        <v>7.5304823319847</v>
      </c>
      <c r="F252" s="315">
        <f>('FTE Pivot Table'!$K$52)*100</f>
        <v>0.020712796365594664</v>
      </c>
      <c r="G252" s="314">
        <f>('FTE Pivot Table'!$K$55)*100</f>
        <v>0</v>
      </c>
      <c r="H252" s="312">
        <f>('FTE Pivot Table'!$K$58)*100</f>
        <v>0</v>
      </c>
      <c r="I252" s="43"/>
      <c r="J252" s="129"/>
      <c r="K252" s="129"/>
      <c r="L252" s="129"/>
      <c r="M252" s="129"/>
      <c r="N252" s="129"/>
      <c r="O252" s="129"/>
      <c r="P252" s="129"/>
      <c r="Q252" s="42">
        <f t="shared" si="18"/>
        <v>100</v>
      </c>
      <c r="R252" s="42">
        <f t="shared" si="19"/>
        <v>0</v>
      </c>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row>
    <row r="253" spans="1:41" ht="15.75" customHeight="1">
      <c r="A253" s="43" t="s">
        <v>550</v>
      </c>
      <c r="B253" s="312">
        <f>('FTE Pivot Table'!$K$79)*100</f>
        <v>0</v>
      </c>
      <c r="C253" s="312">
        <f>('FTE Pivot Table'!$K$82)*100</f>
        <v>0</v>
      </c>
      <c r="D253" s="130">
        <f>SUM(E253:G253)</f>
        <v>0</v>
      </c>
      <c r="E253" s="312">
        <f>('FTE Pivot Table'!$K$85)*100</f>
        <v>0</v>
      </c>
      <c r="F253" s="312">
        <f>('FTE Pivot Table'!$K$88)*100</f>
        <v>0</v>
      </c>
      <c r="G253" s="314">
        <f>('FTE Pivot Table'!$K$91)*100</f>
        <v>0</v>
      </c>
      <c r="H253" s="312">
        <f>('FTE Pivot Table'!$K$94)*100</f>
        <v>0</v>
      </c>
      <c r="I253" s="43"/>
      <c r="J253" s="129"/>
      <c r="K253" s="129"/>
      <c r="L253" s="129"/>
      <c r="M253" s="129"/>
      <c r="N253" s="129"/>
      <c r="O253" s="129"/>
      <c r="P253" s="129"/>
      <c r="Q253" s="42">
        <f t="shared" si="18"/>
        <v>0</v>
      </c>
      <c r="R253" s="42">
        <f t="shared" si="19"/>
        <v>0</v>
      </c>
      <c r="S253" s="55"/>
      <c r="T253" s="71"/>
      <c r="U253" s="55"/>
      <c r="V253" s="55"/>
      <c r="W253" s="55"/>
      <c r="X253" s="55"/>
      <c r="Y253" s="55"/>
      <c r="Z253" s="55"/>
      <c r="AA253" s="55"/>
      <c r="AB253" s="55"/>
      <c r="AC253" s="55"/>
      <c r="AD253" s="55"/>
      <c r="AE253" s="55"/>
      <c r="AF253" s="55"/>
      <c r="AG253" s="55"/>
      <c r="AH253" s="55"/>
      <c r="AI253" s="55"/>
      <c r="AJ253" s="55"/>
      <c r="AK253" s="55"/>
      <c r="AL253" s="55"/>
      <c r="AM253" s="55"/>
      <c r="AN253" s="55"/>
      <c r="AO253" s="55"/>
    </row>
    <row r="254" spans="1:41" ht="15.75" customHeight="1">
      <c r="A254" s="43" t="s">
        <v>551</v>
      </c>
      <c r="B254" s="312">
        <f>('FTE Pivot Table'!$K$115)*100</f>
        <v>0</v>
      </c>
      <c r="C254" s="312">
        <f>('FTE Pivot Table'!$K$118)*100</f>
        <v>0</v>
      </c>
      <c r="D254" s="130">
        <f>SUM(E254:G254)</f>
        <v>0</v>
      </c>
      <c r="E254" s="312">
        <f>('FTE Pivot Table'!$K$121)*100</f>
        <v>0</v>
      </c>
      <c r="F254" s="312">
        <f>('FTE Pivot Table'!$K$124)*100</f>
        <v>0</v>
      </c>
      <c r="G254" s="314">
        <f>('FTE Pivot Table'!$K$127)*100</f>
        <v>0</v>
      </c>
      <c r="H254" s="312">
        <f>('FTE Pivot Table'!$K$130)*100</f>
        <v>0</v>
      </c>
      <c r="I254" s="43"/>
      <c r="J254" s="129"/>
      <c r="K254" s="129"/>
      <c r="L254" s="129"/>
      <c r="M254" s="129"/>
      <c r="N254" s="129"/>
      <c r="O254" s="129"/>
      <c r="P254" s="129"/>
      <c r="Q254" s="42">
        <f t="shared" si="18"/>
        <v>0</v>
      </c>
      <c r="R254" s="42">
        <f t="shared" si="19"/>
        <v>0</v>
      </c>
      <c r="S254" s="55"/>
      <c r="U254" s="55"/>
      <c r="V254" s="55"/>
      <c r="W254" s="55"/>
      <c r="X254" s="55"/>
      <c r="Y254" s="55"/>
      <c r="Z254" s="55"/>
      <c r="AA254" s="55"/>
      <c r="AB254" s="55"/>
      <c r="AC254" s="55"/>
      <c r="AD254" s="55"/>
      <c r="AE254" s="55"/>
      <c r="AF254" s="55"/>
      <c r="AG254" s="55"/>
      <c r="AH254" s="55"/>
      <c r="AI254" s="55"/>
      <c r="AJ254" s="55"/>
      <c r="AK254" s="55"/>
      <c r="AL254" s="55"/>
      <c r="AM254" s="55"/>
      <c r="AN254" s="55"/>
      <c r="AO254" s="55"/>
    </row>
    <row r="255" spans="1:41" ht="15.75" customHeight="1">
      <c r="A255" s="43"/>
      <c r="B255" s="115"/>
      <c r="C255" s="116"/>
      <c r="D255" s="130"/>
      <c r="E255" s="115"/>
      <c r="F255" s="115"/>
      <c r="G255" s="116"/>
      <c r="H255" s="115"/>
      <c r="I255" s="43"/>
      <c r="J255" s="129"/>
      <c r="K255" s="129"/>
      <c r="L255" s="129"/>
      <c r="M255" s="129"/>
      <c r="N255" s="129"/>
      <c r="O255" s="129"/>
      <c r="P255" s="129"/>
      <c r="Q255" s="42">
        <f t="shared" si="18"/>
        <v>0</v>
      </c>
      <c r="R255" s="42">
        <f t="shared" si="19"/>
        <v>0</v>
      </c>
      <c r="S255" s="55"/>
      <c r="U255" s="55"/>
      <c r="V255" s="55"/>
      <c r="W255" s="55"/>
      <c r="X255" s="55"/>
      <c r="Y255" s="55"/>
      <c r="Z255" s="55"/>
      <c r="AA255" s="55"/>
      <c r="AB255" s="55"/>
      <c r="AC255" s="55"/>
      <c r="AD255" s="55"/>
      <c r="AE255" s="55"/>
      <c r="AF255" s="55"/>
      <c r="AG255" s="55"/>
      <c r="AH255" s="55"/>
      <c r="AI255" s="55"/>
      <c r="AJ255" s="55"/>
      <c r="AK255" s="55"/>
      <c r="AL255" s="55"/>
      <c r="AM255" s="55"/>
      <c r="AN255" s="55"/>
      <c r="AO255" s="55"/>
    </row>
    <row r="256" spans="1:41" ht="15.75" customHeight="1">
      <c r="A256" s="43" t="s">
        <v>552</v>
      </c>
      <c r="B256" s="312">
        <f>('FTE Pivot Table'!$K$151)*100</f>
        <v>82.04992671968478</v>
      </c>
      <c r="C256" s="312">
        <f>('FTE Pivot Table'!$K$154)*100</f>
        <v>14.015521011028087</v>
      </c>
      <c r="D256" s="130">
        <f>SUM(E256:G256)</f>
        <v>3.9345522692871384</v>
      </c>
      <c r="E256" s="312">
        <f>('FTE Pivot Table'!$K$157)*100</f>
        <v>3.9345522692871384</v>
      </c>
      <c r="F256" s="312">
        <f>('FTE Pivot Table'!$K$160)*100</f>
        <v>0</v>
      </c>
      <c r="G256" s="314">
        <f>('FTE Pivot Table'!$K$163)*100</f>
        <v>0</v>
      </c>
      <c r="H256" s="312">
        <f>('FTE Pivot Table'!$K$166)*100</f>
        <v>0</v>
      </c>
      <c r="I256" s="43"/>
      <c r="J256" s="129"/>
      <c r="K256" s="129"/>
      <c r="L256" s="129"/>
      <c r="M256" s="129"/>
      <c r="N256" s="129"/>
      <c r="O256" s="129"/>
      <c r="P256" s="129"/>
      <c r="Q256" s="42">
        <f t="shared" si="18"/>
        <v>100</v>
      </c>
      <c r="R256" s="42">
        <f t="shared" si="19"/>
        <v>0</v>
      </c>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row>
    <row r="257" spans="1:41" ht="15.75" customHeight="1">
      <c r="A257" s="43" t="s">
        <v>553</v>
      </c>
      <c r="B257" s="312">
        <f>('FTE Pivot Table'!$K$187)*100</f>
        <v>0</v>
      </c>
      <c r="C257" s="312">
        <f>('FTE Pivot Table'!$K$190)*100</f>
        <v>0</v>
      </c>
      <c r="D257" s="130">
        <f>SUM(E257:G257)</f>
        <v>0</v>
      </c>
      <c r="E257" s="312">
        <f>('FTE Pivot Table'!$K$193)*100</f>
        <v>0</v>
      </c>
      <c r="F257" s="312">
        <f>('FTE Pivot Table'!$K$196)*100</f>
        <v>0</v>
      </c>
      <c r="G257" s="314">
        <f>('FTE Pivot Table'!$K$199)*100</f>
        <v>0</v>
      </c>
      <c r="H257" s="312">
        <f>('FTE Pivot Table'!$K$202)*100</f>
        <v>0</v>
      </c>
      <c r="I257" s="43"/>
      <c r="J257" s="129"/>
      <c r="K257" s="129"/>
      <c r="L257" s="129"/>
      <c r="M257" s="129"/>
      <c r="N257" s="129"/>
      <c r="O257" s="129"/>
      <c r="P257" s="129"/>
      <c r="Q257" s="42">
        <f t="shared" si="18"/>
        <v>0</v>
      </c>
      <c r="R257" s="42">
        <f t="shared" si="19"/>
        <v>0</v>
      </c>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row>
    <row r="258" spans="1:41" ht="15.75" customHeight="1">
      <c r="A258" s="43" t="s">
        <v>554</v>
      </c>
      <c r="B258" s="312">
        <f>('FTE Pivot Table'!$K$223)*100</f>
        <v>99.78069507477689</v>
      </c>
      <c r="C258" s="312">
        <f>('FTE Pivot Table'!$K$226)*100</f>
        <v>0.2193049252231123</v>
      </c>
      <c r="D258" s="130">
        <f>SUM(E258:G258)</f>
        <v>0</v>
      </c>
      <c r="E258" s="312">
        <f>('FTE Pivot Table'!$K$229)*100</f>
        <v>0</v>
      </c>
      <c r="F258" s="312">
        <f>('FTE Pivot Table'!$K$232)*100</f>
        <v>0</v>
      </c>
      <c r="G258" s="314">
        <f>('FTE Pivot Table'!$K$235)*100</f>
        <v>0</v>
      </c>
      <c r="H258" s="312">
        <f>('FTE Pivot Table'!$K$238)*100</f>
        <v>0</v>
      </c>
      <c r="I258" s="43"/>
      <c r="J258" s="129"/>
      <c r="K258" s="129"/>
      <c r="L258" s="129"/>
      <c r="M258" s="129"/>
      <c r="N258" s="129"/>
      <c r="O258" s="129"/>
      <c r="P258" s="129"/>
      <c r="Q258" s="42">
        <f t="shared" si="18"/>
        <v>100</v>
      </c>
      <c r="R258" s="42">
        <f t="shared" si="19"/>
        <v>0</v>
      </c>
      <c r="S258" s="55"/>
      <c r="T258" s="71"/>
      <c r="U258" s="55"/>
      <c r="V258" s="55"/>
      <c r="W258" s="55"/>
      <c r="X258" s="55"/>
      <c r="Y258" s="55"/>
      <c r="Z258" s="55"/>
      <c r="AA258" s="55"/>
      <c r="AB258" s="55"/>
      <c r="AC258" s="55"/>
      <c r="AD258" s="55"/>
      <c r="AE258" s="55"/>
      <c r="AF258" s="55"/>
      <c r="AG258" s="55"/>
      <c r="AH258" s="55"/>
      <c r="AI258" s="55"/>
      <c r="AJ258" s="55"/>
      <c r="AK258" s="55"/>
      <c r="AL258" s="55"/>
      <c r="AM258" s="55"/>
      <c r="AN258" s="55"/>
      <c r="AO258" s="55"/>
    </row>
    <row r="259" spans="1:41" ht="15.75" customHeight="1">
      <c r="A259" s="43" t="s">
        <v>555</v>
      </c>
      <c r="B259" s="312">
        <f>('FTE Pivot Table'!$K$259)*100</f>
        <v>0</v>
      </c>
      <c r="C259" s="312">
        <f>('FTE Pivot Table'!$K$262)*100</f>
        <v>0</v>
      </c>
      <c r="D259" s="130">
        <f>SUM(E259:G259)</f>
        <v>0</v>
      </c>
      <c r="E259" s="312">
        <f>('FTE Pivot Table'!$K$265)*100</f>
        <v>0</v>
      </c>
      <c r="F259" s="312">
        <f>('FTE Pivot Table'!$K$268)*100</f>
        <v>0</v>
      </c>
      <c r="G259" s="314">
        <f>('FTE Pivot Table'!$K$271)*100</f>
        <v>0</v>
      </c>
      <c r="H259" s="312">
        <f>('FTE Pivot Table'!$K$274)*100</f>
        <v>0</v>
      </c>
      <c r="I259" s="43"/>
      <c r="J259" s="129"/>
      <c r="K259" s="129"/>
      <c r="L259" s="129"/>
      <c r="M259" s="129"/>
      <c r="N259" s="129"/>
      <c r="O259" s="129"/>
      <c r="P259" s="129"/>
      <c r="Q259" s="42">
        <f t="shared" si="18"/>
        <v>0</v>
      </c>
      <c r="R259" s="42">
        <f t="shared" si="19"/>
        <v>0</v>
      </c>
      <c r="S259" s="55"/>
      <c r="U259" s="55"/>
      <c r="V259" s="55"/>
      <c r="W259" s="55"/>
      <c r="X259" s="55"/>
      <c r="Y259" s="55"/>
      <c r="Z259" s="55"/>
      <c r="AA259" s="55"/>
      <c r="AB259" s="55"/>
      <c r="AC259" s="55"/>
      <c r="AD259" s="55"/>
      <c r="AE259" s="55"/>
      <c r="AF259" s="55"/>
      <c r="AG259" s="55"/>
      <c r="AH259" s="55"/>
      <c r="AI259" s="55"/>
      <c r="AJ259" s="55"/>
      <c r="AK259" s="55"/>
      <c r="AL259" s="55"/>
      <c r="AM259" s="55"/>
      <c r="AN259" s="55"/>
      <c r="AO259" s="55"/>
    </row>
    <row r="260" spans="1:41" ht="15.75" customHeight="1">
      <c r="A260" s="43"/>
      <c r="B260" s="115"/>
      <c r="C260" s="116"/>
      <c r="D260" s="130"/>
      <c r="E260" s="115"/>
      <c r="F260" s="115"/>
      <c r="G260" s="116"/>
      <c r="H260" s="115"/>
      <c r="I260" s="43"/>
      <c r="J260" s="129"/>
      <c r="K260" s="129"/>
      <c r="L260" s="129"/>
      <c r="M260" s="129"/>
      <c r="N260" s="129"/>
      <c r="O260" s="129"/>
      <c r="P260" s="129"/>
      <c r="Q260" s="42">
        <f t="shared" si="18"/>
        <v>0</v>
      </c>
      <c r="R260" s="42">
        <f t="shared" si="19"/>
        <v>0</v>
      </c>
      <c r="S260" s="55"/>
      <c r="U260" s="55"/>
      <c r="V260" s="55"/>
      <c r="W260" s="55"/>
      <c r="X260" s="55"/>
      <c r="Y260" s="55"/>
      <c r="Z260" s="55"/>
      <c r="AA260" s="55"/>
      <c r="AB260" s="55"/>
      <c r="AC260" s="55"/>
      <c r="AD260" s="55"/>
      <c r="AE260" s="55"/>
      <c r="AF260" s="55"/>
      <c r="AG260" s="55"/>
      <c r="AH260" s="55"/>
      <c r="AI260" s="55"/>
      <c r="AJ260" s="55"/>
      <c r="AK260" s="55"/>
      <c r="AL260" s="55"/>
      <c r="AM260" s="55"/>
      <c r="AN260" s="55"/>
      <c r="AO260" s="55"/>
    </row>
    <row r="261" spans="1:41" ht="15.75" customHeight="1">
      <c r="A261" s="43" t="s">
        <v>206</v>
      </c>
      <c r="B261" s="312">
        <f>('FTE Pivot Table'!$K$295)*100</f>
        <v>0</v>
      </c>
      <c r="C261" s="312">
        <f>('FTE Pivot Table'!$K$298)*100</f>
        <v>0</v>
      </c>
      <c r="D261" s="130">
        <f>SUM(E261:G261)</f>
        <v>0</v>
      </c>
      <c r="E261" s="312">
        <f>('FTE Pivot Table'!$K$301)*100</f>
        <v>0</v>
      </c>
      <c r="F261" s="312">
        <f>('FTE Pivot Table'!$K$304)*100</f>
        <v>0</v>
      </c>
      <c r="G261" s="314">
        <f>('FTE Pivot Table'!$K$307)*100</f>
        <v>0</v>
      </c>
      <c r="H261" s="312">
        <f>('FTE Pivot Table'!$K$310)*100</f>
        <v>0</v>
      </c>
      <c r="I261" s="43"/>
      <c r="J261" s="129"/>
      <c r="K261" s="129"/>
      <c r="L261" s="129"/>
      <c r="M261" s="129"/>
      <c r="N261" s="129"/>
      <c r="O261" s="129"/>
      <c r="P261" s="129"/>
      <c r="Q261" s="42">
        <f t="shared" si="18"/>
        <v>0</v>
      </c>
      <c r="R261" s="42">
        <f t="shared" si="19"/>
        <v>0</v>
      </c>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row>
    <row r="262" spans="1:41" ht="15.75" customHeight="1">
      <c r="A262" s="43" t="s">
        <v>214</v>
      </c>
      <c r="B262" s="312">
        <f>('FTE Pivot Table'!$K$331)*100</f>
        <v>0</v>
      </c>
      <c r="C262" s="312">
        <f>('FTE Pivot Table'!$K$334)*100</f>
        <v>0</v>
      </c>
      <c r="D262" s="130">
        <f>SUM(E262:G262)</f>
        <v>0</v>
      </c>
      <c r="E262" s="312">
        <f>('FTE Pivot Table'!$K$337)*100</f>
        <v>0</v>
      </c>
      <c r="F262" s="312">
        <f>('FTE Pivot Table'!$K$340)*100</f>
        <v>0</v>
      </c>
      <c r="G262" s="314">
        <f>('FTE Pivot Table'!$K$343)*100</f>
        <v>0</v>
      </c>
      <c r="H262" s="312">
        <f>('FTE Pivot Table'!$K$346)*100</f>
        <v>0</v>
      </c>
      <c r="I262" s="43"/>
      <c r="J262" s="129"/>
      <c r="K262" s="129"/>
      <c r="L262" s="129"/>
      <c r="M262" s="129"/>
      <c r="N262" s="129"/>
      <c r="O262" s="129"/>
      <c r="P262" s="129"/>
      <c r="Q262" s="42">
        <f t="shared" si="18"/>
        <v>0</v>
      </c>
      <c r="R262" s="42">
        <f t="shared" si="19"/>
        <v>0</v>
      </c>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row>
    <row r="263" spans="1:41" ht="15.75" customHeight="1">
      <c r="A263" s="43" t="s">
        <v>207</v>
      </c>
      <c r="B263" s="312">
        <f>('FTE Pivot Table'!$K$367)*100</f>
        <v>70.00987092824211</v>
      </c>
      <c r="C263" s="312">
        <f>('FTE Pivot Table'!$K$370)*100</f>
        <v>7.665587944972699</v>
      </c>
      <c r="D263" s="130">
        <f>SUM(E263:G263)</f>
        <v>22.3245411267852</v>
      </c>
      <c r="E263" s="312">
        <f>('FTE Pivot Table'!$K$373)*100</f>
        <v>17.256631639448727</v>
      </c>
      <c r="F263" s="312">
        <f>('FTE Pivot Table'!$K$376)*100</f>
        <v>5.067909487336474</v>
      </c>
      <c r="G263" s="314">
        <f>('FTE Pivot Table'!$K$379)*100</f>
        <v>0</v>
      </c>
      <c r="H263" s="312">
        <f>('FTE Pivot Table'!$K$382)*100</f>
        <v>0</v>
      </c>
      <c r="I263" s="43"/>
      <c r="J263" s="129"/>
      <c r="K263" s="129"/>
      <c r="L263" s="129"/>
      <c r="M263" s="129"/>
      <c r="N263" s="129"/>
      <c r="O263" s="129"/>
      <c r="P263" s="129"/>
      <c r="Q263" s="42">
        <f t="shared" si="18"/>
        <v>100</v>
      </c>
      <c r="R263" s="42">
        <f t="shared" si="19"/>
        <v>0</v>
      </c>
      <c r="S263" s="55"/>
      <c r="T263" s="71"/>
      <c r="U263" s="55"/>
      <c r="V263" s="55"/>
      <c r="W263" s="55"/>
      <c r="X263" s="55"/>
      <c r="Y263" s="55"/>
      <c r="Z263" s="55"/>
      <c r="AA263" s="55"/>
      <c r="AB263" s="55"/>
      <c r="AC263" s="55"/>
      <c r="AD263" s="55"/>
      <c r="AE263" s="55"/>
      <c r="AF263" s="55"/>
      <c r="AG263" s="55"/>
      <c r="AH263" s="55"/>
      <c r="AI263" s="55"/>
      <c r="AJ263" s="55"/>
      <c r="AK263" s="55"/>
      <c r="AL263" s="55"/>
      <c r="AM263" s="55"/>
      <c r="AN263" s="55"/>
      <c r="AO263" s="55"/>
    </row>
    <row r="264" spans="1:41" ht="15.75" customHeight="1">
      <c r="A264" s="43" t="s">
        <v>556</v>
      </c>
      <c r="B264" s="312">
        <f>('FTE Pivot Table'!$K$403)*100</f>
        <v>0</v>
      </c>
      <c r="C264" s="312">
        <f>('FTE Pivot Table'!$K$406)*100</f>
        <v>0</v>
      </c>
      <c r="D264" s="130">
        <f>SUM(E264:G264)</f>
        <v>0</v>
      </c>
      <c r="E264" s="312">
        <f>('FTE Pivot Table'!$K$409)*100</f>
        <v>0</v>
      </c>
      <c r="F264" s="312">
        <f>('FTE Pivot Table'!$K$412)*100</f>
        <v>0</v>
      </c>
      <c r="G264" s="314">
        <f>('FTE Pivot Table'!$K$415)*100</f>
        <v>0</v>
      </c>
      <c r="H264" s="312">
        <f>('FTE Pivot Table'!$K$418)*100</f>
        <v>0</v>
      </c>
      <c r="I264" s="43"/>
      <c r="J264" s="129"/>
      <c r="K264" s="129"/>
      <c r="L264" s="129"/>
      <c r="M264" s="129"/>
      <c r="N264" s="129"/>
      <c r="O264" s="129"/>
      <c r="P264" s="129"/>
      <c r="Q264" s="42">
        <f t="shared" si="18"/>
        <v>0</v>
      </c>
      <c r="R264" s="42">
        <f t="shared" si="19"/>
        <v>0</v>
      </c>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row>
    <row r="265" spans="1:41" ht="15.75" customHeight="1">
      <c r="A265" s="43"/>
      <c r="B265" s="115"/>
      <c r="C265" s="116"/>
      <c r="D265" s="130"/>
      <c r="E265" s="115"/>
      <c r="F265" s="115"/>
      <c r="G265" s="116"/>
      <c r="H265" s="115"/>
      <c r="I265" s="43"/>
      <c r="J265" s="129"/>
      <c r="K265" s="129"/>
      <c r="L265" s="129"/>
      <c r="M265" s="129"/>
      <c r="N265" s="129"/>
      <c r="O265" s="129"/>
      <c r="P265" s="129"/>
      <c r="Q265" s="42">
        <f t="shared" si="18"/>
        <v>0</v>
      </c>
      <c r="R265" s="42">
        <f t="shared" si="19"/>
        <v>0</v>
      </c>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row>
    <row r="266" spans="1:41" ht="15.75" customHeight="1">
      <c r="A266" s="43" t="s">
        <v>557</v>
      </c>
      <c r="B266" s="312">
        <f>('FTE Pivot Table'!$K$439)*100</f>
        <v>0</v>
      </c>
      <c r="C266" s="312">
        <f>('FTE Pivot Table'!$K$442)*100</f>
        <v>0</v>
      </c>
      <c r="D266" s="130">
        <f>SUM(E266:G266)</f>
        <v>0</v>
      </c>
      <c r="E266" s="312">
        <f>('FTE Pivot Table'!$K$445)*100</f>
        <v>0</v>
      </c>
      <c r="F266" s="312">
        <f>('FTE Pivot Table'!$K$448)*100</f>
        <v>0</v>
      </c>
      <c r="G266" s="314">
        <f>('FTE Pivot Table'!$K$451)*100</f>
        <v>0</v>
      </c>
      <c r="H266" s="312">
        <f>('FTE Pivot Table'!$K$454)*100</f>
        <v>0</v>
      </c>
      <c r="I266" s="43"/>
      <c r="J266" s="129"/>
      <c r="K266" s="129"/>
      <c r="L266" s="129"/>
      <c r="M266" s="129"/>
      <c r="N266" s="129"/>
      <c r="O266" s="129"/>
      <c r="P266" s="129"/>
      <c r="Q266" s="42">
        <f t="shared" si="18"/>
        <v>0</v>
      </c>
      <c r="R266" s="42">
        <f t="shared" si="19"/>
        <v>0</v>
      </c>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row>
    <row r="267" spans="1:41" ht="15.75" customHeight="1">
      <c r="A267" s="43" t="s">
        <v>313</v>
      </c>
      <c r="B267" s="312">
        <f>('FTE Pivot Table'!$K$475)*100</f>
        <v>0</v>
      </c>
      <c r="C267" s="312">
        <f>('FTE Pivot Table'!$K$478)*100</f>
        <v>0</v>
      </c>
      <c r="D267" s="130">
        <f>SUM(E267:G267)</f>
        <v>0</v>
      </c>
      <c r="E267" s="312">
        <f>('FTE Pivot Table'!$K$481)*100</f>
        <v>0</v>
      </c>
      <c r="F267" s="312">
        <f>('FTE Pivot Table'!$K$484)*100</f>
        <v>0</v>
      </c>
      <c r="G267" s="314">
        <f>('FTE Pivot Table'!$K$487)*100</f>
        <v>0</v>
      </c>
      <c r="H267" s="312">
        <f>('FTE Pivot Table'!$K$490)*100</f>
        <v>0</v>
      </c>
      <c r="I267" s="43"/>
      <c r="J267" s="129"/>
      <c r="K267" s="129"/>
      <c r="L267" s="129"/>
      <c r="M267" s="129"/>
      <c r="N267" s="129"/>
      <c r="O267" s="129"/>
      <c r="P267" s="129"/>
      <c r="Q267" s="42">
        <f t="shared" si="18"/>
        <v>0</v>
      </c>
      <c r="R267" s="42">
        <f t="shared" si="19"/>
        <v>0</v>
      </c>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row>
    <row r="268" spans="1:41" ht="15.75" customHeight="1">
      <c r="A268" s="43" t="s">
        <v>558</v>
      </c>
      <c r="B268" s="312">
        <f>('FTE Pivot Table'!$K$511)*100</f>
        <v>0</v>
      </c>
      <c r="C268" s="312">
        <f>('FTE Pivot Table'!$K$514)*100</f>
        <v>0</v>
      </c>
      <c r="D268" s="130">
        <f>SUM(E268:G268)</f>
        <v>0</v>
      </c>
      <c r="E268" s="312">
        <f>('FTE Pivot Table'!$K$517)*100</f>
        <v>0</v>
      </c>
      <c r="F268" s="312">
        <f>('FTE Pivot Table'!$K$520)*100</f>
        <v>0</v>
      </c>
      <c r="G268" s="314">
        <f>('FTE Pivot Table'!$K$523)*100</f>
        <v>0</v>
      </c>
      <c r="H268" s="312">
        <f>('FTE Pivot Table'!$K$526)*100</f>
        <v>0</v>
      </c>
      <c r="I268" s="43"/>
      <c r="J268" s="129"/>
      <c r="K268" s="129"/>
      <c r="L268" s="129"/>
      <c r="M268" s="129"/>
      <c r="N268" s="129"/>
      <c r="O268" s="129"/>
      <c r="P268" s="129"/>
      <c r="Q268" s="42">
        <f t="shared" si="18"/>
        <v>0</v>
      </c>
      <c r="R268" s="42">
        <f t="shared" si="19"/>
        <v>0</v>
      </c>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row>
    <row r="269" spans="1:41" ht="15.75" customHeight="1">
      <c r="A269" s="37" t="s">
        <v>610</v>
      </c>
      <c r="B269" s="316">
        <f>('FTE Pivot Table'!$K$547)*100</f>
        <v>69.86059092800666</v>
      </c>
      <c r="C269" s="316">
        <f>('FTE Pivot Table'!$K$550)*100</f>
        <v>19.460049937578027</v>
      </c>
      <c r="D269" s="132">
        <f>SUM(E269:G269)</f>
        <v>10.679359134415314</v>
      </c>
      <c r="E269" s="316">
        <f>('FTE Pivot Table'!$K$553)*100</f>
        <v>10.679359134415314</v>
      </c>
      <c r="F269" s="316">
        <f>('FTE Pivot Table'!$K$556)*100</f>
        <v>0</v>
      </c>
      <c r="G269" s="317">
        <f>('FTE Pivot Table'!$K$559)*100</f>
        <v>0</v>
      </c>
      <c r="H269" s="316">
        <f>('FTE Pivot Table'!$K$562)*100</f>
        <v>0</v>
      </c>
      <c r="I269" s="43"/>
      <c r="J269" s="129"/>
      <c r="K269" s="129"/>
      <c r="L269" s="129"/>
      <c r="M269" s="129"/>
      <c r="N269" s="129"/>
      <c r="O269" s="129"/>
      <c r="P269" s="129"/>
      <c r="Q269" s="42">
        <f t="shared" si="18"/>
        <v>100</v>
      </c>
      <c r="R269" s="42">
        <f t="shared" si="19"/>
        <v>0</v>
      </c>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row>
    <row r="270" spans="1:41" s="76" customFormat="1" ht="18" customHeight="1">
      <c r="A270" s="133" t="s">
        <v>608</v>
      </c>
      <c r="B270" s="80"/>
      <c r="C270" s="80"/>
      <c r="D270" s="81"/>
      <c r="E270" s="80"/>
      <c r="F270" s="81"/>
      <c r="G270" s="81"/>
      <c r="H270" s="80"/>
      <c r="I270" s="133"/>
      <c r="J270" s="80"/>
      <c r="K270" s="80"/>
      <c r="L270" s="81"/>
      <c r="M270" s="80"/>
      <c r="N270" s="81"/>
      <c r="O270" s="81"/>
      <c r="P270" s="80"/>
      <c r="Q270" s="80"/>
      <c r="R270" s="80"/>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row>
    <row r="271" spans="1:18" s="76" customFormat="1" ht="13.5" customHeight="1">
      <c r="A271" s="134" t="s">
        <v>758</v>
      </c>
      <c r="B271" s="75"/>
      <c r="H271" s="74"/>
      <c r="I271" s="133"/>
      <c r="P271" s="77"/>
      <c r="Q271" s="78"/>
      <c r="R271" s="79"/>
    </row>
    <row r="272" spans="8:18" s="76" customFormat="1" ht="13.5" customHeight="1">
      <c r="H272" s="74"/>
      <c r="I272" s="134"/>
      <c r="Q272" s="78"/>
      <c r="R272" s="79"/>
    </row>
    <row r="273" spans="1:18" s="76" customFormat="1" ht="11.25">
      <c r="A273" s="74"/>
      <c r="B273" s="80"/>
      <c r="C273" s="80"/>
      <c r="D273" s="81"/>
      <c r="E273" s="80"/>
      <c r="F273" s="81"/>
      <c r="G273" s="81"/>
      <c r="H273" s="343" t="s">
        <v>439</v>
      </c>
      <c r="I273" s="83"/>
      <c r="J273" s="74"/>
      <c r="K273" s="74"/>
      <c r="L273" s="74"/>
      <c r="M273" s="74"/>
      <c r="N273" s="74"/>
      <c r="O273" s="74"/>
      <c r="P273" s="74"/>
      <c r="Q273" s="78"/>
      <c r="R273" s="79"/>
    </row>
    <row r="274" spans="1:17" ht="18">
      <c r="A274" s="34" t="s">
        <v>580</v>
      </c>
      <c r="B274" s="35"/>
      <c r="C274" s="35"/>
      <c r="D274" s="35"/>
      <c r="E274" s="35"/>
      <c r="F274" s="35"/>
      <c r="G274" s="35"/>
      <c r="H274" s="53"/>
      <c r="I274" s="52"/>
      <c r="J274" s="43"/>
      <c r="K274" s="43"/>
      <c r="L274" s="43"/>
      <c r="M274" s="43"/>
      <c r="N274" s="43"/>
      <c r="O274" s="43"/>
      <c r="P274" s="43"/>
      <c r="Q274" s="67"/>
    </row>
    <row r="275" spans="1:16" ht="12.75">
      <c r="A275" s="90"/>
      <c r="B275" s="36"/>
      <c r="C275" s="36"/>
      <c r="D275" s="36"/>
      <c r="E275" s="36"/>
      <c r="F275" s="36"/>
      <c r="G275" s="36"/>
      <c r="H275" s="48"/>
      <c r="I275" s="52"/>
      <c r="J275" s="43"/>
      <c r="K275" s="43"/>
      <c r="L275" s="43"/>
      <c r="M275" s="43"/>
      <c r="N275" s="43"/>
      <c r="O275" s="43"/>
      <c r="P275" s="43"/>
    </row>
    <row r="276" spans="1:16" ht="15.75">
      <c r="A276" s="45" t="s">
        <v>595</v>
      </c>
      <c r="B276" s="36"/>
      <c r="C276" s="36"/>
      <c r="D276" s="36"/>
      <c r="E276" s="36"/>
      <c r="F276" s="36"/>
      <c r="G276" s="36"/>
      <c r="H276" s="48"/>
      <c r="I276" s="52"/>
      <c r="J276" s="43"/>
      <c r="K276" s="43"/>
      <c r="L276" s="43"/>
      <c r="M276" s="43"/>
      <c r="N276" s="43"/>
      <c r="O276" s="43"/>
      <c r="P276" s="43"/>
    </row>
    <row r="277" spans="1:16" ht="15.75">
      <c r="A277" s="45" t="s">
        <v>816</v>
      </c>
      <c r="B277" s="36"/>
      <c r="C277" s="36"/>
      <c r="D277" s="36"/>
      <c r="E277" s="36"/>
      <c r="F277" s="36"/>
      <c r="G277" s="36"/>
      <c r="H277" s="48"/>
      <c r="I277" s="52"/>
      <c r="J277" s="43"/>
      <c r="K277" s="43"/>
      <c r="L277" s="43"/>
      <c r="M277" s="43"/>
      <c r="N277" s="43"/>
      <c r="O277" s="43"/>
      <c r="P277" s="43"/>
    </row>
    <row r="278" spans="1:16" ht="12.75">
      <c r="A278" s="37"/>
      <c r="B278" s="38"/>
      <c r="C278" s="38"/>
      <c r="D278" s="38"/>
      <c r="E278" s="38"/>
      <c r="F278" s="38"/>
      <c r="G278" s="38"/>
      <c r="H278" s="38"/>
      <c r="I278" s="52"/>
      <c r="J278" s="43"/>
      <c r="K278" s="43"/>
      <c r="L278" s="43"/>
      <c r="M278" s="43"/>
      <c r="N278" s="43"/>
      <c r="O278" s="43"/>
      <c r="P278" s="43"/>
    </row>
    <row r="279" spans="1:16" ht="12.75">
      <c r="A279" s="97"/>
      <c r="B279" s="98" t="s">
        <v>315</v>
      </c>
      <c r="C279" s="98"/>
      <c r="D279" s="98"/>
      <c r="E279" s="98"/>
      <c r="F279" s="98"/>
      <c r="G279" s="98"/>
      <c r="H279" s="99"/>
      <c r="I279" s="52"/>
      <c r="J279" s="43"/>
      <c r="K279" s="43"/>
      <c r="L279" s="43"/>
      <c r="M279" s="43"/>
      <c r="N279" s="43"/>
      <c r="O279" s="43"/>
      <c r="P279" s="43"/>
    </row>
    <row r="280" spans="1:16" ht="12.75">
      <c r="A280" s="97"/>
      <c r="B280" s="98" t="s">
        <v>211</v>
      </c>
      <c r="C280" s="98"/>
      <c r="D280" s="421" t="s">
        <v>603</v>
      </c>
      <c r="E280" s="422"/>
      <c r="F280" s="422"/>
      <c r="G280" s="422"/>
      <c r="H280" s="103" t="s">
        <v>73</v>
      </c>
      <c r="I280" s="52"/>
      <c r="J280" s="43"/>
      <c r="K280" s="43"/>
      <c r="L280" s="43"/>
      <c r="M280" s="43"/>
      <c r="N280" s="43"/>
      <c r="O280" s="43"/>
      <c r="P280" s="43"/>
    </row>
    <row r="281" spans="1:16" ht="36">
      <c r="A281" s="97"/>
      <c r="B281" s="104" t="s">
        <v>594</v>
      </c>
      <c r="C281" s="105" t="s">
        <v>593</v>
      </c>
      <c r="D281" s="106" t="s">
        <v>601</v>
      </c>
      <c r="E281" s="107" t="s">
        <v>71</v>
      </c>
      <c r="F281" s="104" t="s">
        <v>212</v>
      </c>
      <c r="G281" s="108" t="s">
        <v>605</v>
      </c>
      <c r="H281" s="109" t="s">
        <v>604</v>
      </c>
      <c r="I281" s="52"/>
      <c r="J281" s="43"/>
      <c r="K281" s="43"/>
      <c r="L281" s="43"/>
      <c r="M281" s="43"/>
      <c r="N281" s="43"/>
      <c r="O281" s="43"/>
      <c r="P281" s="43"/>
    </row>
    <row r="282" spans="1:41" ht="15.75" customHeight="1">
      <c r="A282" s="44" t="s">
        <v>548</v>
      </c>
      <c r="B282" s="312">
        <f>('FTE Pivot Table'!$L$7)*100</f>
        <v>94.7113250708457</v>
      </c>
      <c r="C282" s="312">
        <f>('FTE Pivot Table'!$L$10)*100</f>
        <v>1.7702891870668167</v>
      </c>
      <c r="D282" s="130">
        <f>SUM(E282:G282)</f>
        <v>3.518385742087473</v>
      </c>
      <c r="E282" s="312">
        <f>('FTE Pivot Table'!$L$13)*100</f>
        <v>3.518385742087473</v>
      </c>
      <c r="F282" s="312">
        <f>('FTE Pivot Table'!$L$16)*100</f>
        <v>0</v>
      </c>
      <c r="G282" s="313">
        <f>('FTE Pivot Table'!$L$19)*100</f>
        <v>0</v>
      </c>
      <c r="H282" s="312">
        <f>('FTE Pivot Table'!$L$22)*100</f>
        <v>0</v>
      </c>
      <c r="I282" s="43"/>
      <c r="J282" s="129"/>
      <c r="K282" s="129"/>
      <c r="L282" s="129"/>
      <c r="M282" s="129"/>
      <c r="N282" s="129"/>
      <c r="O282" s="129"/>
      <c r="P282" s="129"/>
      <c r="Q282" s="42">
        <f aca="true" t="shared" si="20" ref="Q282:Q300">SUM(B282,C282,D282,H282)</f>
        <v>100</v>
      </c>
      <c r="R282" s="42">
        <f aca="true" t="shared" si="21" ref="R282:R300">SUM(J282,K282,L282,P282)</f>
        <v>0</v>
      </c>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row>
    <row r="283" spans="1:41" ht="15.75" customHeight="1">
      <c r="A283" s="43" t="s">
        <v>549</v>
      </c>
      <c r="B283" s="312">
        <f>('FTE Pivot Table'!$L$43)*100</f>
        <v>0</v>
      </c>
      <c r="C283" s="312">
        <f>('FTE Pivot Table'!$L$46)*100</f>
        <v>0</v>
      </c>
      <c r="D283" s="130">
        <f>SUM(E283:G283)</f>
        <v>0</v>
      </c>
      <c r="E283" s="312">
        <f>('FTE Pivot Table'!$L$49)*100</f>
        <v>0</v>
      </c>
      <c r="F283" s="312">
        <f>('FTE Pivot Table'!$L$52)*100</f>
        <v>0</v>
      </c>
      <c r="G283" s="314">
        <f>('FTE Pivot Table'!$L$55)*100</f>
        <v>0</v>
      </c>
      <c r="H283" s="312">
        <f>('FTE Pivot Table'!$L$58)*100</f>
        <v>0</v>
      </c>
      <c r="I283" s="43"/>
      <c r="J283" s="129"/>
      <c r="K283" s="129"/>
      <c r="L283" s="129"/>
      <c r="M283" s="129"/>
      <c r="N283" s="129"/>
      <c r="O283" s="129"/>
      <c r="P283" s="129"/>
      <c r="Q283" s="42">
        <f t="shared" si="20"/>
        <v>0</v>
      </c>
      <c r="R283" s="42">
        <f t="shared" si="21"/>
        <v>0</v>
      </c>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row>
    <row r="284" spans="1:41" ht="15.75" customHeight="1">
      <c r="A284" s="43" t="s">
        <v>550</v>
      </c>
      <c r="B284" s="312">
        <f>('FTE Pivot Table'!$L$79)*100</f>
        <v>0</v>
      </c>
      <c r="C284" s="312">
        <f>('FTE Pivot Table'!$L$82)*100</f>
        <v>0</v>
      </c>
      <c r="D284" s="130">
        <f>SUM(E284:G284)</f>
        <v>0</v>
      </c>
      <c r="E284" s="312">
        <f>('FTE Pivot Table'!$L$85)*100</f>
        <v>0</v>
      </c>
      <c r="F284" s="312">
        <f>('FTE Pivot Table'!$L$88)*100</f>
        <v>0</v>
      </c>
      <c r="G284" s="314">
        <f>('FTE Pivot Table'!$L$91)*100</f>
        <v>0</v>
      </c>
      <c r="H284" s="312">
        <f>('FTE Pivot Table'!$L$94)*100</f>
        <v>0</v>
      </c>
      <c r="I284" s="43"/>
      <c r="J284" s="129"/>
      <c r="K284" s="129"/>
      <c r="L284" s="129"/>
      <c r="M284" s="129"/>
      <c r="N284" s="129"/>
      <c r="O284" s="129"/>
      <c r="P284" s="129"/>
      <c r="Q284" s="42">
        <f t="shared" si="20"/>
        <v>0</v>
      </c>
      <c r="R284" s="42">
        <f t="shared" si="21"/>
        <v>0</v>
      </c>
      <c r="S284" s="55"/>
      <c r="T284" s="71"/>
      <c r="U284" s="55"/>
      <c r="V284" s="55"/>
      <c r="W284" s="55"/>
      <c r="X284" s="55"/>
      <c r="Y284" s="55"/>
      <c r="Z284" s="55"/>
      <c r="AA284" s="55"/>
      <c r="AB284" s="55"/>
      <c r="AC284" s="55"/>
      <c r="AD284" s="55"/>
      <c r="AE284" s="55"/>
      <c r="AF284" s="55"/>
      <c r="AG284" s="55"/>
      <c r="AH284" s="55"/>
      <c r="AI284" s="55"/>
      <c r="AJ284" s="55"/>
      <c r="AK284" s="55"/>
      <c r="AL284" s="55"/>
      <c r="AM284" s="55"/>
      <c r="AN284" s="55"/>
      <c r="AO284" s="55"/>
    </row>
    <row r="285" spans="1:41" ht="15.75" customHeight="1">
      <c r="A285" s="43" t="s">
        <v>551</v>
      </c>
      <c r="B285" s="312">
        <f>('FTE Pivot Table'!$L$115)*100</f>
        <v>87.7656466031496</v>
      </c>
      <c r="C285" s="312">
        <f>('FTE Pivot Table'!$L$118)*100</f>
        <v>3.112448152440936</v>
      </c>
      <c r="D285" s="130">
        <f>SUM(E285:G285)</f>
        <v>8.7352050697011</v>
      </c>
      <c r="E285" s="312">
        <f>('FTE Pivot Table'!$L$121)*100</f>
        <v>6.104708377982374</v>
      </c>
      <c r="F285" s="312">
        <f>('FTE Pivot Table'!$L$124)*100</f>
        <v>0.2129485861744702</v>
      </c>
      <c r="G285" s="314">
        <f>('FTE Pivot Table'!$L$127)*100</f>
        <v>2.4175481055442565</v>
      </c>
      <c r="H285" s="312">
        <f>('FTE Pivot Table'!$L$130)*100</f>
        <v>0.38670017470835366</v>
      </c>
      <c r="I285" s="43"/>
      <c r="J285" s="129"/>
      <c r="K285" s="129"/>
      <c r="L285" s="129"/>
      <c r="M285" s="129"/>
      <c r="N285" s="129"/>
      <c r="O285" s="129"/>
      <c r="P285" s="129"/>
      <c r="Q285" s="42">
        <f t="shared" si="20"/>
        <v>99.99999999999999</v>
      </c>
      <c r="R285" s="42">
        <f t="shared" si="21"/>
        <v>0</v>
      </c>
      <c r="S285" s="55"/>
      <c r="U285" s="55"/>
      <c r="V285" s="55"/>
      <c r="W285" s="55"/>
      <c r="X285" s="55"/>
      <c r="Y285" s="55"/>
      <c r="Z285" s="55"/>
      <c r="AA285" s="55"/>
      <c r="AB285" s="55"/>
      <c r="AC285" s="55"/>
      <c r="AD285" s="55"/>
      <c r="AE285" s="55"/>
      <c r="AF285" s="55"/>
      <c r="AG285" s="55"/>
      <c r="AH285" s="55"/>
      <c r="AI285" s="55"/>
      <c r="AJ285" s="55"/>
      <c r="AK285" s="55"/>
      <c r="AL285" s="55"/>
      <c r="AM285" s="55"/>
      <c r="AN285" s="55"/>
      <c r="AO285" s="55"/>
    </row>
    <row r="286" spans="1:41" ht="15.75" customHeight="1">
      <c r="A286" s="43"/>
      <c r="B286" s="115"/>
      <c r="C286" s="116"/>
      <c r="D286" s="130"/>
      <c r="E286" s="115"/>
      <c r="F286" s="115"/>
      <c r="G286" s="116"/>
      <c r="H286" s="115"/>
      <c r="I286" s="43"/>
      <c r="J286" s="129"/>
      <c r="K286" s="129"/>
      <c r="L286" s="129"/>
      <c r="M286" s="129"/>
      <c r="N286" s="129"/>
      <c r="O286" s="129"/>
      <c r="P286" s="129"/>
      <c r="Q286" s="42">
        <f t="shared" si="20"/>
        <v>0</v>
      </c>
      <c r="R286" s="42">
        <f t="shared" si="21"/>
        <v>0</v>
      </c>
      <c r="S286" s="55"/>
      <c r="U286" s="55"/>
      <c r="V286" s="55"/>
      <c r="W286" s="55"/>
      <c r="X286" s="55"/>
      <c r="Y286" s="55"/>
      <c r="Z286" s="55"/>
      <c r="AA286" s="55"/>
      <c r="AB286" s="55"/>
      <c r="AC286" s="55"/>
      <c r="AD286" s="55"/>
      <c r="AE286" s="55"/>
      <c r="AF286" s="55"/>
      <c r="AG286" s="55"/>
      <c r="AH286" s="55"/>
      <c r="AI286" s="55"/>
      <c r="AJ286" s="55"/>
      <c r="AK286" s="55"/>
      <c r="AL286" s="55"/>
      <c r="AM286" s="55"/>
      <c r="AN286" s="55"/>
      <c r="AO286" s="55"/>
    </row>
    <row r="287" spans="1:41" ht="15.75" customHeight="1">
      <c r="A287" s="43" t="s">
        <v>552</v>
      </c>
      <c r="B287" s="312">
        <f>('FTE Pivot Table'!$L$151)*100</f>
        <v>93.08045576589743</v>
      </c>
      <c r="C287" s="312">
        <f>('FTE Pivot Table'!$L$154)*100</f>
        <v>1.955740407164463</v>
      </c>
      <c r="D287" s="130">
        <f>SUM(E287:G287)</f>
        <v>4.9638038269381095</v>
      </c>
      <c r="E287" s="312">
        <f>('FTE Pivot Table'!$L$157)*100</f>
        <v>3.672722020188288</v>
      </c>
      <c r="F287" s="312">
        <f>('FTE Pivot Table'!$L$160)*100</f>
        <v>0.11831730279033409</v>
      </c>
      <c r="G287" s="314">
        <f>('FTE Pivot Table'!$L$163)*100</f>
        <v>1.1727645039594874</v>
      </c>
      <c r="H287" s="312">
        <f>('FTE Pivot Table'!$L$166)*100</f>
        <v>0</v>
      </c>
      <c r="I287" s="43"/>
      <c r="J287" s="129"/>
      <c r="K287" s="129"/>
      <c r="L287" s="129"/>
      <c r="M287" s="129"/>
      <c r="N287" s="129"/>
      <c r="O287" s="129"/>
      <c r="P287" s="129"/>
      <c r="Q287" s="42">
        <f t="shared" si="20"/>
        <v>100</v>
      </c>
      <c r="R287" s="42">
        <f t="shared" si="21"/>
        <v>0</v>
      </c>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row>
    <row r="288" spans="1:41" ht="15.75" customHeight="1">
      <c r="A288" s="43" t="s">
        <v>553</v>
      </c>
      <c r="B288" s="312">
        <f>('FTE Pivot Table'!$L$187)*100</f>
        <v>67.13750002628983</v>
      </c>
      <c r="C288" s="312">
        <f>('FTE Pivot Table'!$L$190)*100</f>
        <v>4.450973670207731</v>
      </c>
      <c r="D288" s="130">
        <f>SUM(E288:G288)</f>
        <v>28.411526303502438</v>
      </c>
      <c r="E288" s="312">
        <f>('FTE Pivot Table'!$L$193)*100</f>
        <v>28.122758791845527</v>
      </c>
      <c r="F288" s="312">
        <f>('FTE Pivot Table'!$L$196)*100</f>
        <v>0.1303975653512637</v>
      </c>
      <c r="G288" s="314">
        <f>('FTE Pivot Table'!$L$199)*100</f>
        <v>0.15836994630564769</v>
      </c>
      <c r="H288" s="312">
        <f>('FTE Pivot Table'!$L$202)*100</f>
        <v>0</v>
      </c>
      <c r="I288" s="43"/>
      <c r="J288" s="129"/>
      <c r="K288" s="129"/>
      <c r="L288" s="129"/>
      <c r="M288" s="129"/>
      <c r="N288" s="129"/>
      <c r="O288" s="129"/>
      <c r="P288" s="129"/>
      <c r="Q288" s="42">
        <f t="shared" si="20"/>
        <v>100</v>
      </c>
      <c r="R288" s="42">
        <f t="shared" si="21"/>
        <v>0</v>
      </c>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row>
    <row r="289" spans="1:41" ht="15.75" customHeight="1">
      <c r="A289" s="43" t="s">
        <v>554</v>
      </c>
      <c r="B289" s="312">
        <f>('FTE Pivot Table'!$L$223)*100</f>
        <v>87.05232908142982</v>
      </c>
      <c r="C289" s="312">
        <f>('FTE Pivot Table'!$L$226)*100</f>
        <v>8.609820647667512</v>
      </c>
      <c r="D289" s="130">
        <f>SUM(E289:G289)</f>
        <v>4.337850270902669</v>
      </c>
      <c r="E289" s="312">
        <f>('FTE Pivot Table'!$L$229)*100</f>
        <v>3.9016799373005147</v>
      </c>
      <c r="F289" s="312">
        <f>('FTE Pivot Table'!$L$232)*100</f>
        <v>0.17634230284305819</v>
      </c>
      <c r="G289" s="314">
        <f>('FTE Pivot Table'!$L$235)*100</f>
        <v>0.25982803075909544</v>
      </c>
      <c r="H289" s="312">
        <f>('FTE Pivot Table'!$L$238)*100</f>
        <v>0</v>
      </c>
      <c r="I289" s="43"/>
      <c r="J289" s="129"/>
      <c r="K289" s="129"/>
      <c r="L289" s="129"/>
      <c r="M289" s="129"/>
      <c r="N289" s="129"/>
      <c r="O289" s="129"/>
      <c r="P289" s="129"/>
      <c r="Q289" s="42">
        <f t="shared" si="20"/>
        <v>100</v>
      </c>
      <c r="R289" s="42">
        <f t="shared" si="21"/>
        <v>0</v>
      </c>
      <c r="S289" s="55"/>
      <c r="T289" s="71"/>
      <c r="U289" s="55"/>
      <c r="V289" s="55"/>
      <c r="W289" s="55"/>
      <c r="X289" s="55"/>
      <c r="Y289" s="55"/>
      <c r="Z289" s="55"/>
      <c r="AA289" s="55"/>
      <c r="AB289" s="55"/>
      <c r="AC289" s="55"/>
      <c r="AD289" s="55"/>
      <c r="AE289" s="55"/>
      <c r="AF289" s="55"/>
      <c r="AG289" s="55"/>
      <c r="AH289" s="55"/>
      <c r="AI289" s="55"/>
      <c r="AJ289" s="55"/>
      <c r="AK289" s="55"/>
      <c r="AL289" s="55"/>
      <c r="AM289" s="55"/>
      <c r="AN289" s="55"/>
      <c r="AO289" s="55"/>
    </row>
    <row r="290" spans="1:41" ht="15.75" customHeight="1">
      <c r="A290" s="43" t="s">
        <v>555</v>
      </c>
      <c r="B290" s="312">
        <f>('FTE Pivot Table'!$L$259)*100</f>
        <v>94.16255918354825</v>
      </c>
      <c r="C290" s="312">
        <f>('FTE Pivot Table'!$L$262)*100</f>
        <v>0.8348331611939994</v>
      </c>
      <c r="D290" s="130">
        <f>SUM(E290:G290)</f>
        <v>5.002607655257749</v>
      </c>
      <c r="E290" s="312">
        <f>('FTE Pivot Table'!$L$265)*100</f>
        <v>5.002607655257749</v>
      </c>
      <c r="F290" s="312">
        <f>('FTE Pivot Table'!$L$268)*100</f>
        <v>0</v>
      </c>
      <c r="G290" s="314">
        <f>('FTE Pivot Table'!$L$271)*100</f>
        <v>0</v>
      </c>
      <c r="H290" s="312">
        <f>('FTE Pivot Table'!$L$274)*100</f>
        <v>0</v>
      </c>
      <c r="I290" s="43"/>
      <c r="J290" s="129"/>
      <c r="K290" s="129"/>
      <c r="L290" s="129"/>
      <c r="M290" s="129"/>
      <c r="N290" s="129"/>
      <c r="O290" s="129"/>
      <c r="P290" s="129"/>
      <c r="Q290" s="42">
        <f t="shared" si="20"/>
        <v>100</v>
      </c>
      <c r="R290" s="42">
        <f t="shared" si="21"/>
        <v>0</v>
      </c>
      <c r="S290" s="55"/>
      <c r="U290" s="55"/>
      <c r="V290" s="55"/>
      <c r="W290" s="55"/>
      <c r="X290" s="55"/>
      <c r="Y290" s="55"/>
      <c r="Z290" s="55"/>
      <c r="AA290" s="55"/>
      <c r="AB290" s="55"/>
      <c r="AC290" s="55"/>
      <c r="AD290" s="55"/>
      <c r="AE290" s="55"/>
      <c r="AF290" s="55"/>
      <c r="AG290" s="55"/>
      <c r="AH290" s="55"/>
      <c r="AI290" s="55"/>
      <c r="AJ290" s="55"/>
      <c r="AK290" s="55"/>
      <c r="AL290" s="55"/>
      <c r="AM290" s="55"/>
      <c r="AN290" s="55"/>
      <c r="AO290" s="55"/>
    </row>
    <row r="291" spans="1:41" ht="15.75" customHeight="1">
      <c r="A291" s="43"/>
      <c r="B291" s="115"/>
      <c r="C291" s="116"/>
      <c r="D291" s="130"/>
      <c r="E291" s="115"/>
      <c r="F291" s="115"/>
      <c r="G291" s="116"/>
      <c r="H291" s="115"/>
      <c r="I291" s="43"/>
      <c r="J291" s="129"/>
      <c r="K291" s="129"/>
      <c r="L291" s="129"/>
      <c r="M291" s="129"/>
      <c r="N291" s="129"/>
      <c r="O291" s="129"/>
      <c r="P291" s="129"/>
      <c r="Q291" s="42">
        <f t="shared" si="20"/>
        <v>0</v>
      </c>
      <c r="R291" s="42">
        <f t="shared" si="21"/>
        <v>0</v>
      </c>
      <c r="S291" s="55"/>
      <c r="U291" s="55"/>
      <c r="V291" s="55"/>
      <c r="W291" s="55"/>
      <c r="X291" s="55"/>
      <c r="Y291" s="55"/>
      <c r="Z291" s="55"/>
      <c r="AA291" s="55"/>
      <c r="AB291" s="55"/>
      <c r="AC291" s="55"/>
      <c r="AD291" s="55"/>
      <c r="AE291" s="55"/>
      <c r="AF291" s="55"/>
      <c r="AG291" s="55"/>
      <c r="AH291" s="55"/>
      <c r="AI291" s="55"/>
      <c r="AJ291" s="55"/>
      <c r="AK291" s="55"/>
      <c r="AL291" s="55"/>
      <c r="AM291" s="55"/>
      <c r="AN291" s="55"/>
      <c r="AO291" s="55"/>
    </row>
    <row r="292" spans="1:41" ht="15.75" customHeight="1">
      <c r="A292" s="43" t="s">
        <v>611</v>
      </c>
      <c r="B292" s="312">
        <f>('FTE Pivot Table'!$L$295)*100</f>
        <v>91.71678407493576</v>
      </c>
      <c r="C292" s="312">
        <f>('FTE Pivot Table'!$L$298)*100</f>
        <v>0</v>
      </c>
      <c r="D292" s="130">
        <f>SUM(E292:G292)</f>
        <v>8.283215925064248</v>
      </c>
      <c r="E292" s="312">
        <f>('FTE Pivot Table'!$L$301)*100</f>
        <v>8.283215925064248</v>
      </c>
      <c r="F292" s="312">
        <f>('FTE Pivot Table'!$L$304)*100</f>
        <v>0</v>
      </c>
      <c r="G292" s="314">
        <f>('FTE Pivot Table'!$L$307)*100</f>
        <v>0</v>
      </c>
      <c r="H292" s="312">
        <f>('FTE Pivot Table'!$L$310)*100</f>
        <v>0</v>
      </c>
      <c r="I292" s="43"/>
      <c r="J292" s="129"/>
      <c r="K292" s="129"/>
      <c r="L292" s="129"/>
      <c r="M292" s="129"/>
      <c r="N292" s="129"/>
      <c r="O292" s="129"/>
      <c r="P292" s="129"/>
      <c r="Q292" s="42">
        <f t="shared" si="20"/>
        <v>100</v>
      </c>
      <c r="R292" s="42">
        <f t="shared" si="21"/>
        <v>0</v>
      </c>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row>
    <row r="293" spans="1:41" ht="15.75" customHeight="1">
      <c r="A293" s="43" t="s">
        <v>214</v>
      </c>
      <c r="B293" s="312">
        <f>('FTE Pivot Table'!$L$331)*100</f>
        <v>72.71321877643555</v>
      </c>
      <c r="C293" s="312">
        <f>('FTE Pivot Table'!$L$334)*100</f>
        <v>17.548441228582586</v>
      </c>
      <c r="D293" s="130">
        <f>SUM(E293:G293)</f>
        <v>9.73833999498186</v>
      </c>
      <c r="E293" s="312">
        <f>('FTE Pivot Table'!$L$337)*100</f>
        <v>8.239489460511349</v>
      </c>
      <c r="F293" s="312">
        <f>('FTE Pivot Table'!$L$340)*100</f>
        <v>0.14464443671187624</v>
      </c>
      <c r="G293" s="314">
        <f>('FTE Pivot Table'!$L$343)*100</f>
        <v>1.354206097758634</v>
      </c>
      <c r="H293" s="312">
        <f>('FTE Pivot Table'!$L$346)*100</f>
        <v>0</v>
      </c>
      <c r="I293" s="43"/>
      <c r="J293" s="129"/>
      <c r="K293" s="129"/>
      <c r="L293" s="129"/>
      <c r="M293" s="129"/>
      <c r="N293" s="129"/>
      <c r="O293" s="129"/>
      <c r="P293" s="129"/>
      <c r="Q293" s="42">
        <f t="shared" si="20"/>
        <v>100</v>
      </c>
      <c r="R293" s="42">
        <f t="shared" si="21"/>
        <v>0</v>
      </c>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row>
    <row r="294" spans="1:41" ht="15.75" customHeight="1">
      <c r="A294" s="43" t="s">
        <v>207</v>
      </c>
      <c r="B294" s="312">
        <f>('FTE Pivot Table'!$L$367)*100</f>
        <v>81.08062660412426</v>
      </c>
      <c r="C294" s="312">
        <f>('FTE Pivot Table'!$L$370)*100</f>
        <v>4.559695548278609</v>
      </c>
      <c r="D294" s="130">
        <f>SUM(E294:G294)</f>
        <v>13.200991238162672</v>
      </c>
      <c r="E294" s="312">
        <f>('FTE Pivot Table'!$L$373)*100</f>
        <v>10.947871493052483</v>
      </c>
      <c r="F294" s="312">
        <f>('FTE Pivot Table'!$L$376)*100</f>
        <v>0.2108151163819807</v>
      </c>
      <c r="G294" s="314">
        <f>('FTE Pivot Table'!$L$379)*100</f>
        <v>2.042304628728206</v>
      </c>
      <c r="H294" s="312">
        <f>('FTE Pivot Table'!$L$382)*100</f>
        <v>1.1586866094344632</v>
      </c>
      <c r="I294" s="43"/>
      <c r="J294" s="129"/>
      <c r="K294" s="129"/>
      <c r="L294" s="129"/>
      <c r="M294" s="129"/>
      <c r="N294" s="129"/>
      <c r="O294" s="129"/>
      <c r="P294" s="129"/>
      <c r="Q294" s="42">
        <f t="shared" si="20"/>
        <v>100.00000000000001</v>
      </c>
      <c r="R294" s="42">
        <f t="shared" si="21"/>
        <v>0</v>
      </c>
      <c r="S294" s="55"/>
      <c r="T294" s="71"/>
      <c r="U294" s="55"/>
      <c r="V294" s="55"/>
      <c r="W294" s="55"/>
      <c r="X294" s="55"/>
      <c r="Y294" s="55"/>
      <c r="Z294" s="55"/>
      <c r="AA294" s="55"/>
      <c r="AB294" s="55"/>
      <c r="AC294" s="55"/>
      <c r="AD294" s="55"/>
      <c r="AE294" s="55"/>
      <c r="AF294" s="55"/>
      <c r="AG294" s="55"/>
      <c r="AH294" s="55"/>
      <c r="AI294" s="55"/>
      <c r="AJ294" s="55"/>
      <c r="AK294" s="55"/>
      <c r="AL294" s="55"/>
      <c r="AM294" s="55"/>
      <c r="AN294" s="55"/>
      <c r="AO294" s="55"/>
    </row>
    <row r="295" spans="1:41" ht="15.75" customHeight="1">
      <c r="A295" s="43" t="s">
        <v>556</v>
      </c>
      <c r="B295" s="312">
        <f>('FTE Pivot Table'!$L$403)*100</f>
        <v>0</v>
      </c>
      <c r="C295" s="312">
        <f>('FTE Pivot Table'!$L$406)*100</f>
        <v>0</v>
      </c>
      <c r="D295" s="130">
        <f>SUM(E295:G295)</f>
        <v>0</v>
      </c>
      <c r="E295" s="312">
        <f>('FTE Pivot Table'!$L$409)*100</f>
        <v>0</v>
      </c>
      <c r="F295" s="312">
        <f>('FTE Pivot Table'!$L$412)*100</f>
        <v>0</v>
      </c>
      <c r="G295" s="314">
        <f>('FTE Pivot Table'!$L$415)*100</f>
        <v>0</v>
      </c>
      <c r="H295" s="312">
        <f>('FTE Pivot Table'!$L$418)*100</f>
        <v>0</v>
      </c>
      <c r="I295" s="43"/>
      <c r="J295" s="129"/>
      <c r="K295" s="129"/>
      <c r="L295" s="129"/>
      <c r="M295" s="129"/>
      <c r="N295" s="129"/>
      <c r="O295" s="129"/>
      <c r="P295" s="129"/>
      <c r="Q295" s="42">
        <f t="shared" si="20"/>
        <v>0</v>
      </c>
      <c r="R295" s="42">
        <f t="shared" si="21"/>
        <v>0</v>
      </c>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row>
    <row r="296" spans="1:41" ht="15.75" customHeight="1">
      <c r="A296" s="43"/>
      <c r="B296" s="115"/>
      <c r="C296" s="116"/>
      <c r="D296" s="130"/>
      <c r="E296" s="115"/>
      <c r="F296" s="115"/>
      <c r="G296" s="116"/>
      <c r="H296" s="115"/>
      <c r="I296" s="43"/>
      <c r="J296" s="129"/>
      <c r="K296" s="129"/>
      <c r="L296" s="129"/>
      <c r="M296" s="129"/>
      <c r="N296" s="129"/>
      <c r="O296" s="129"/>
      <c r="P296" s="129"/>
      <c r="Q296" s="42">
        <f t="shared" si="20"/>
        <v>0</v>
      </c>
      <c r="R296" s="42">
        <f t="shared" si="21"/>
        <v>0</v>
      </c>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row>
    <row r="297" spans="1:41" ht="15.75" customHeight="1">
      <c r="A297" s="43" t="s">
        <v>557</v>
      </c>
      <c r="B297" s="312">
        <f>('FTE Pivot Table'!$L$439)*100</f>
        <v>0</v>
      </c>
      <c r="C297" s="312">
        <f>('FTE Pivot Table'!$L$442)*100</f>
        <v>0</v>
      </c>
      <c r="D297" s="130">
        <f>SUM(E297:G297)</f>
        <v>0</v>
      </c>
      <c r="E297" s="312">
        <f>('FTE Pivot Table'!$L$445)*100</f>
        <v>0</v>
      </c>
      <c r="F297" s="312">
        <f>('FTE Pivot Table'!$L$448)*100</f>
        <v>0</v>
      </c>
      <c r="G297" s="314">
        <f>('FTE Pivot Table'!$L$451)*100</f>
        <v>0</v>
      </c>
      <c r="H297" s="312">
        <f>('FTE Pivot Table'!$L$454)*100</f>
        <v>0</v>
      </c>
      <c r="I297" s="43"/>
      <c r="J297" s="129"/>
      <c r="K297" s="129"/>
      <c r="L297" s="129"/>
      <c r="M297" s="129"/>
      <c r="N297" s="129"/>
      <c r="O297" s="129"/>
      <c r="P297" s="129"/>
      <c r="Q297" s="42">
        <f t="shared" si="20"/>
        <v>0</v>
      </c>
      <c r="R297" s="42">
        <f t="shared" si="21"/>
        <v>0</v>
      </c>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row>
    <row r="298" spans="1:41" ht="15.75" customHeight="1">
      <c r="A298" s="43" t="s">
        <v>313</v>
      </c>
      <c r="B298" s="312">
        <f>('FTE Pivot Table'!$L$475)*100</f>
        <v>82.89085181697139</v>
      </c>
      <c r="C298" s="312">
        <f>('FTE Pivot Table'!$L$478)*100</f>
        <v>8.218192446335205</v>
      </c>
      <c r="D298" s="130">
        <f>SUM(E298:G298)</f>
        <v>8.890955736693405</v>
      </c>
      <c r="E298" s="312">
        <f>('FTE Pivot Table'!$L$481)*100</f>
        <v>7.559159549248205</v>
      </c>
      <c r="F298" s="312">
        <f>('FTE Pivot Table'!$L$484)*100</f>
        <v>0.06748286948332413</v>
      </c>
      <c r="G298" s="314">
        <f>('FTE Pivot Table'!$L$487)*100</f>
        <v>1.2643133179618744</v>
      </c>
      <c r="H298" s="312">
        <f>('FTE Pivot Table'!$L$490)*100</f>
        <v>0</v>
      </c>
      <c r="I298" s="43"/>
      <c r="J298" s="129"/>
      <c r="K298" s="129"/>
      <c r="L298" s="129"/>
      <c r="M298" s="129"/>
      <c r="N298" s="129"/>
      <c r="O298" s="129"/>
      <c r="P298" s="129"/>
      <c r="Q298" s="42">
        <f t="shared" si="20"/>
        <v>100</v>
      </c>
      <c r="R298" s="42">
        <f t="shared" si="21"/>
        <v>0</v>
      </c>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row>
    <row r="299" spans="1:41" ht="15.75" customHeight="1">
      <c r="A299" s="43" t="s">
        <v>558</v>
      </c>
      <c r="B299" s="312">
        <f>('FTE Pivot Table'!$L$511)*100</f>
        <v>0</v>
      </c>
      <c r="C299" s="312">
        <f>('FTE Pivot Table'!$L$514)*100</f>
        <v>0</v>
      </c>
      <c r="D299" s="130">
        <f>SUM(E299:G299)</f>
        <v>0</v>
      </c>
      <c r="E299" s="312">
        <f>('FTE Pivot Table'!$L$517)*100</f>
        <v>0</v>
      </c>
      <c r="F299" s="312">
        <f>('FTE Pivot Table'!$L$520)*100</f>
        <v>0</v>
      </c>
      <c r="G299" s="314">
        <f>('FTE Pivot Table'!$L$523)*100</f>
        <v>0</v>
      </c>
      <c r="H299" s="312">
        <f>('FTE Pivot Table'!$L$526)*100</f>
        <v>0</v>
      </c>
      <c r="I299" s="43"/>
      <c r="J299" s="129"/>
      <c r="K299" s="129"/>
      <c r="L299" s="129"/>
      <c r="M299" s="129"/>
      <c r="N299" s="129"/>
      <c r="O299" s="129"/>
      <c r="P299" s="129"/>
      <c r="Q299" s="42">
        <f t="shared" si="20"/>
        <v>0</v>
      </c>
      <c r="R299" s="42">
        <f t="shared" si="21"/>
        <v>0</v>
      </c>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row>
    <row r="300" spans="1:41" ht="15.75" customHeight="1">
      <c r="A300" s="37" t="s">
        <v>208</v>
      </c>
      <c r="B300" s="316">
        <f>('FTE Pivot Table'!$L$547)*100</f>
        <v>0</v>
      </c>
      <c r="C300" s="316">
        <f>('FTE Pivot Table'!$L$550)*100</f>
        <v>0</v>
      </c>
      <c r="D300" s="132">
        <f>SUM(E300:G300)</f>
        <v>0</v>
      </c>
      <c r="E300" s="316">
        <f>('FTE Pivot Table'!$L$553)*100</f>
        <v>0</v>
      </c>
      <c r="F300" s="316">
        <f>('FTE Pivot Table'!$L$556)*100</f>
        <v>0</v>
      </c>
      <c r="G300" s="317">
        <f>('FTE Pivot Table'!$L$559)*100</f>
        <v>0</v>
      </c>
      <c r="H300" s="316">
        <f>('FTE Pivot Table'!$L$562)*100</f>
        <v>0</v>
      </c>
      <c r="I300" s="43"/>
      <c r="J300" s="129"/>
      <c r="K300" s="129"/>
      <c r="L300" s="129"/>
      <c r="M300" s="129"/>
      <c r="N300" s="129"/>
      <c r="O300" s="129"/>
      <c r="P300" s="129"/>
      <c r="Q300" s="42">
        <f t="shared" si="20"/>
        <v>0</v>
      </c>
      <c r="R300" s="42">
        <f t="shared" si="21"/>
        <v>0</v>
      </c>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row>
    <row r="301" spans="1:41" s="76" customFormat="1" ht="18" customHeight="1">
      <c r="A301" s="133" t="s">
        <v>608</v>
      </c>
      <c r="B301" s="80"/>
      <c r="C301" s="80"/>
      <c r="D301" s="81"/>
      <c r="E301" s="80"/>
      <c r="F301" s="81"/>
      <c r="G301" s="81"/>
      <c r="H301" s="80"/>
      <c r="I301" s="133"/>
      <c r="J301" s="80"/>
      <c r="K301" s="80"/>
      <c r="L301" s="81"/>
      <c r="M301" s="80"/>
      <c r="N301" s="81"/>
      <c r="O301" s="81"/>
      <c r="P301" s="80"/>
      <c r="Q301" s="80"/>
      <c r="R301" s="80"/>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row>
    <row r="302" spans="1:18" s="76" customFormat="1" ht="13.5" customHeight="1">
      <c r="A302" s="133" t="s">
        <v>612</v>
      </c>
      <c r="B302" s="75"/>
      <c r="H302" s="74"/>
      <c r="I302" s="133"/>
      <c r="P302" s="77"/>
      <c r="Q302" s="78"/>
      <c r="R302" s="79"/>
    </row>
    <row r="303" spans="1:18" s="76" customFormat="1" ht="13.5" customHeight="1">
      <c r="A303" s="134"/>
      <c r="H303" s="74"/>
      <c r="I303" s="134"/>
      <c r="Q303" s="78"/>
      <c r="R303" s="79"/>
    </row>
    <row r="304" spans="1:18" s="76" customFormat="1" ht="11.25">
      <c r="A304" s="74"/>
      <c r="H304" s="343" t="s">
        <v>60</v>
      </c>
      <c r="I304" s="83"/>
      <c r="J304" s="74"/>
      <c r="K304" s="74"/>
      <c r="L304" s="74"/>
      <c r="M304" s="74"/>
      <c r="N304" s="74"/>
      <c r="O304" s="74"/>
      <c r="P304" s="74"/>
      <c r="Q304" s="78"/>
      <c r="R304" s="79"/>
    </row>
    <row r="305" spans="1:17" ht="18">
      <c r="A305" s="34" t="s">
        <v>581</v>
      </c>
      <c r="B305" s="35"/>
      <c r="C305" s="35"/>
      <c r="D305" s="35"/>
      <c r="E305" s="35"/>
      <c r="F305" s="35"/>
      <c r="G305" s="35"/>
      <c r="H305" s="53"/>
      <c r="I305" s="52"/>
      <c r="J305" s="43"/>
      <c r="K305" s="43"/>
      <c r="L305" s="43"/>
      <c r="M305" s="43"/>
      <c r="N305" s="43"/>
      <c r="O305" s="43"/>
      <c r="P305" s="43"/>
      <c r="Q305" s="67"/>
    </row>
    <row r="306" spans="1:16" ht="12.75">
      <c r="A306" s="90"/>
      <c r="B306" s="36"/>
      <c r="C306" s="36"/>
      <c r="D306" s="36"/>
      <c r="E306" s="36"/>
      <c r="F306" s="36"/>
      <c r="G306" s="36"/>
      <c r="H306" s="48"/>
      <c r="I306" s="52"/>
      <c r="J306" s="43"/>
      <c r="K306" s="43"/>
      <c r="L306" s="43"/>
      <c r="M306" s="43"/>
      <c r="N306" s="43"/>
      <c r="O306" s="43"/>
      <c r="P306" s="43"/>
    </row>
    <row r="307" spans="1:16" ht="15.75">
      <c r="A307" s="45" t="s">
        <v>595</v>
      </c>
      <c r="B307" s="36"/>
      <c r="C307" s="36"/>
      <c r="D307" s="36"/>
      <c r="E307" s="36"/>
      <c r="F307" s="36"/>
      <c r="G307" s="36"/>
      <c r="H307" s="48"/>
      <c r="I307" s="52"/>
      <c r="J307" s="43"/>
      <c r="K307" s="43"/>
      <c r="L307" s="43"/>
      <c r="M307" s="43"/>
      <c r="N307" s="43"/>
      <c r="O307" s="43"/>
      <c r="P307" s="43"/>
    </row>
    <row r="308" spans="1:16" ht="15.75">
      <c r="A308" s="45" t="s">
        <v>817</v>
      </c>
      <c r="B308" s="36"/>
      <c r="C308" s="36"/>
      <c r="D308" s="36"/>
      <c r="E308" s="36"/>
      <c r="F308" s="36"/>
      <c r="G308" s="36"/>
      <c r="H308" s="48"/>
      <c r="I308" s="52"/>
      <c r="J308" s="43"/>
      <c r="K308" s="43"/>
      <c r="L308" s="43"/>
      <c r="M308" s="43"/>
      <c r="N308" s="43"/>
      <c r="O308" s="43"/>
      <c r="P308" s="43"/>
    </row>
    <row r="309" spans="1:16" ht="12.75">
      <c r="A309" s="37"/>
      <c r="B309" s="38"/>
      <c r="C309" s="38"/>
      <c r="D309" s="38"/>
      <c r="E309" s="38"/>
      <c r="F309" s="38"/>
      <c r="G309" s="38"/>
      <c r="H309" s="38"/>
      <c r="I309" s="52"/>
      <c r="J309" s="43"/>
      <c r="K309" s="43"/>
      <c r="L309" s="43"/>
      <c r="M309" s="43"/>
      <c r="N309" s="43"/>
      <c r="O309" s="43"/>
      <c r="P309" s="43"/>
    </row>
    <row r="310" spans="1:16" ht="12.75">
      <c r="A310" s="97"/>
      <c r="B310" s="98" t="s">
        <v>315</v>
      </c>
      <c r="C310" s="98"/>
      <c r="D310" s="98"/>
      <c r="E310" s="98"/>
      <c r="F310" s="98"/>
      <c r="G310" s="98"/>
      <c r="H310" s="99"/>
      <c r="I310" s="52"/>
      <c r="J310" s="43"/>
      <c r="K310" s="43"/>
      <c r="L310" s="43"/>
      <c r="M310" s="43"/>
      <c r="N310" s="43"/>
      <c r="O310" s="43"/>
      <c r="P310" s="43"/>
    </row>
    <row r="311" spans="1:16" ht="12.75">
      <c r="A311" s="97"/>
      <c r="B311" s="98" t="s">
        <v>211</v>
      </c>
      <c r="C311" s="98"/>
      <c r="D311" s="421" t="s">
        <v>603</v>
      </c>
      <c r="E311" s="422"/>
      <c r="F311" s="422"/>
      <c r="G311" s="422"/>
      <c r="H311" s="103" t="s">
        <v>73</v>
      </c>
      <c r="I311" s="52"/>
      <c r="J311" s="43"/>
      <c r="K311" s="43"/>
      <c r="L311" s="43"/>
      <c r="M311" s="43"/>
      <c r="N311" s="43"/>
      <c r="O311" s="43"/>
      <c r="P311" s="43"/>
    </row>
    <row r="312" spans="1:16" ht="36">
      <c r="A312" s="97"/>
      <c r="B312" s="104" t="s">
        <v>594</v>
      </c>
      <c r="C312" s="105" t="s">
        <v>593</v>
      </c>
      <c r="D312" s="106" t="s">
        <v>601</v>
      </c>
      <c r="E312" s="107" t="s">
        <v>71</v>
      </c>
      <c r="F312" s="104" t="s">
        <v>212</v>
      </c>
      <c r="G312" s="108" t="s">
        <v>605</v>
      </c>
      <c r="H312" s="109" t="s">
        <v>604</v>
      </c>
      <c r="I312" s="52"/>
      <c r="J312" s="43"/>
      <c r="K312" s="43"/>
      <c r="L312" s="43"/>
      <c r="M312" s="43"/>
      <c r="N312" s="43"/>
      <c r="O312" s="43"/>
      <c r="P312" s="43"/>
    </row>
    <row r="313" spans="1:41" ht="15.75" customHeight="1">
      <c r="A313" s="44" t="s">
        <v>548</v>
      </c>
      <c r="B313" s="312">
        <f>('FTE Pivot Table'!$M$7)*100</f>
        <v>90.70479562147756</v>
      </c>
      <c r="C313" s="312">
        <f>('FTE Pivot Table'!$M$10)*100</f>
        <v>3.028884955272064</v>
      </c>
      <c r="D313" s="130">
        <f>SUM(E313:G313)</f>
        <v>6.266319423250388</v>
      </c>
      <c r="E313" s="312">
        <f>('FTE Pivot Table'!$M$13)*100</f>
        <v>5.540295835113634</v>
      </c>
      <c r="F313" s="312">
        <f>('FTE Pivot Table'!$M$16)*100</f>
        <v>0.12173865863666267</v>
      </c>
      <c r="G313" s="313">
        <f>('FTE Pivot Table'!$M$19)*100</f>
        <v>0.6042849295000916</v>
      </c>
      <c r="H313" s="312">
        <f>('FTE Pivot Table'!$M$22)*100</f>
        <v>0</v>
      </c>
      <c r="I313" s="43"/>
      <c r="J313" s="129"/>
      <c r="K313" s="129"/>
      <c r="L313" s="129"/>
      <c r="M313" s="129"/>
      <c r="N313" s="129"/>
      <c r="O313" s="129"/>
      <c r="P313" s="129"/>
      <c r="Q313" s="42">
        <f aca="true" t="shared" si="22" ref="Q313:Q331">SUM(B313,C313,D313,H313)</f>
        <v>100.00000000000001</v>
      </c>
      <c r="R313" s="42">
        <f aca="true" t="shared" si="23" ref="R313:R331">SUM(J313,K313,L313,P313)</f>
        <v>0</v>
      </c>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row>
    <row r="314" spans="1:41" ht="15.75" customHeight="1">
      <c r="A314" s="43" t="s">
        <v>549</v>
      </c>
      <c r="B314" s="312">
        <f>('FTE Pivot Table'!$M$43)*100</f>
        <v>88.43882638224952</v>
      </c>
      <c r="C314" s="312">
        <f>('FTE Pivot Table'!$M$46)*100</f>
        <v>9.920305413210974</v>
      </c>
      <c r="D314" s="130">
        <f>SUM(E314:G314)</f>
        <v>1.6408682045395147</v>
      </c>
      <c r="E314" s="312">
        <f>('FTE Pivot Table'!$M$49)*100</f>
        <v>1.3117021030240275</v>
      </c>
      <c r="F314" s="312">
        <f>('FTE Pivot Table'!$M$52)*100</f>
        <v>0.15680877599833265</v>
      </c>
      <c r="G314" s="314">
        <f>('FTE Pivot Table'!$M$55)*100</f>
        <v>0.17235732551715469</v>
      </c>
      <c r="H314" s="312">
        <f>('FTE Pivot Table'!$M$58)*100</f>
        <v>0</v>
      </c>
      <c r="I314" s="43"/>
      <c r="J314" s="129"/>
      <c r="K314" s="129"/>
      <c r="L314" s="129"/>
      <c r="M314" s="129"/>
      <c r="N314" s="129"/>
      <c r="O314" s="129"/>
      <c r="P314" s="129"/>
      <c r="Q314" s="42">
        <f t="shared" si="22"/>
        <v>100</v>
      </c>
      <c r="R314" s="42">
        <f t="shared" si="23"/>
        <v>0</v>
      </c>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row>
    <row r="315" spans="1:41" ht="15.75" customHeight="1">
      <c r="A315" s="43" t="s">
        <v>550</v>
      </c>
      <c r="B315" s="312">
        <f>('FTE Pivot Table'!$M$79)*100</f>
        <v>91.12451677400256</v>
      </c>
      <c r="C315" s="312">
        <f>('FTE Pivot Table'!$M$82)*100</f>
        <v>0</v>
      </c>
      <c r="D315" s="130">
        <f>SUM(E315:G315)</f>
        <v>8.875483225997451</v>
      </c>
      <c r="E315" s="312">
        <f>('FTE Pivot Table'!$M$85)*100</f>
        <v>3.5967889337492327</v>
      </c>
      <c r="F315" s="312">
        <f>('FTE Pivot Table'!$M$88)*100</f>
        <v>0.19736644512998294</v>
      </c>
      <c r="G315" s="314">
        <f>('FTE Pivot Table'!$M$91)*100</f>
        <v>5.081327847118235</v>
      </c>
      <c r="H315" s="312">
        <f>('FTE Pivot Table'!$M$94)*100</f>
        <v>0</v>
      </c>
      <c r="I315" s="43"/>
      <c r="J315" s="129"/>
      <c r="K315" s="129"/>
      <c r="L315" s="129"/>
      <c r="M315" s="129"/>
      <c r="N315" s="129"/>
      <c r="O315" s="129"/>
      <c r="P315" s="129"/>
      <c r="Q315" s="42">
        <f t="shared" si="22"/>
        <v>100.00000000000001</v>
      </c>
      <c r="R315" s="42">
        <f t="shared" si="23"/>
        <v>0</v>
      </c>
      <c r="S315" s="55"/>
      <c r="T315" s="71"/>
      <c r="U315" s="55"/>
      <c r="V315" s="55"/>
      <c r="W315" s="55"/>
      <c r="X315" s="55"/>
      <c r="Y315" s="55"/>
      <c r="Z315" s="55"/>
      <c r="AA315" s="55"/>
      <c r="AB315" s="55"/>
      <c r="AC315" s="55"/>
      <c r="AD315" s="55"/>
      <c r="AE315" s="55"/>
      <c r="AF315" s="55"/>
      <c r="AG315" s="55"/>
      <c r="AH315" s="55"/>
      <c r="AI315" s="55"/>
      <c r="AJ315" s="55"/>
      <c r="AK315" s="55"/>
      <c r="AL315" s="55"/>
      <c r="AM315" s="55"/>
      <c r="AN315" s="55"/>
      <c r="AO315" s="55"/>
    </row>
    <row r="316" spans="1:41" ht="15.75" customHeight="1">
      <c r="A316" s="43" t="s">
        <v>551</v>
      </c>
      <c r="B316" s="312">
        <f>('FTE Pivot Table'!$M$115)*100</f>
        <v>82.43434779561859</v>
      </c>
      <c r="C316" s="312">
        <f>('FTE Pivot Table'!$M$118)*100</f>
        <v>6.1533470925856015</v>
      </c>
      <c r="D316" s="130">
        <f>SUM(E316:G316)</f>
        <v>10.05653651137399</v>
      </c>
      <c r="E316" s="312">
        <f>('FTE Pivot Table'!$M$121)*100</f>
        <v>5.350962657871596</v>
      </c>
      <c r="F316" s="312">
        <f>('FTE Pivot Table'!$M$124)*100</f>
        <v>0.5935090388340956</v>
      </c>
      <c r="G316" s="314">
        <f>('FTE Pivot Table'!$M$127)*100</f>
        <v>4.112064814668297</v>
      </c>
      <c r="H316" s="312">
        <f>('FTE Pivot Table'!$M$130)*100</f>
        <v>1.35576860042182</v>
      </c>
      <c r="I316" s="43"/>
      <c r="J316" s="129"/>
      <c r="K316" s="129"/>
      <c r="L316" s="129"/>
      <c r="M316" s="129"/>
      <c r="N316" s="129"/>
      <c r="O316" s="129"/>
      <c r="P316" s="129"/>
      <c r="Q316" s="42">
        <f t="shared" si="22"/>
        <v>100.00000000000001</v>
      </c>
      <c r="R316" s="42">
        <f t="shared" si="23"/>
        <v>0</v>
      </c>
      <c r="S316" s="55"/>
      <c r="U316" s="55"/>
      <c r="V316" s="55"/>
      <c r="W316" s="55"/>
      <c r="X316" s="55"/>
      <c r="Y316" s="55"/>
      <c r="Z316" s="55"/>
      <c r="AA316" s="55"/>
      <c r="AB316" s="55"/>
      <c r="AC316" s="55"/>
      <c r="AD316" s="55"/>
      <c r="AE316" s="55"/>
      <c r="AF316" s="55"/>
      <c r="AG316" s="55"/>
      <c r="AH316" s="55"/>
      <c r="AI316" s="55"/>
      <c r="AJ316" s="55"/>
      <c r="AK316" s="55"/>
      <c r="AL316" s="55"/>
      <c r="AM316" s="55"/>
      <c r="AN316" s="55"/>
      <c r="AO316" s="55"/>
    </row>
    <row r="317" spans="1:41" ht="15.75" customHeight="1">
      <c r="A317" s="43"/>
      <c r="B317" s="115"/>
      <c r="C317" s="116"/>
      <c r="D317" s="130"/>
      <c r="E317" s="115"/>
      <c r="F317" s="115"/>
      <c r="G317" s="116"/>
      <c r="H317" s="115"/>
      <c r="I317" s="43"/>
      <c r="J317" s="129"/>
      <c r="K317" s="129"/>
      <c r="L317" s="129"/>
      <c r="M317" s="129"/>
      <c r="N317" s="129"/>
      <c r="O317" s="129"/>
      <c r="P317" s="129"/>
      <c r="Q317" s="42">
        <f t="shared" si="22"/>
        <v>0</v>
      </c>
      <c r="R317" s="42">
        <f t="shared" si="23"/>
        <v>0</v>
      </c>
      <c r="S317" s="55"/>
      <c r="U317" s="55"/>
      <c r="V317" s="55"/>
      <c r="W317" s="55"/>
      <c r="X317" s="55"/>
      <c r="Y317" s="55"/>
      <c r="Z317" s="55"/>
      <c r="AA317" s="55"/>
      <c r="AB317" s="55"/>
      <c r="AC317" s="55"/>
      <c r="AD317" s="55"/>
      <c r="AE317" s="55"/>
      <c r="AF317" s="55"/>
      <c r="AG317" s="55"/>
      <c r="AH317" s="55"/>
      <c r="AI317" s="55"/>
      <c r="AJ317" s="55"/>
      <c r="AK317" s="55"/>
      <c r="AL317" s="55"/>
      <c r="AM317" s="55"/>
      <c r="AN317" s="55"/>
      <c r="AO317" s="55"/>
    </row>
    <row r="318" spans="1:41" ht="15.75" customHeight="1">
      <c r="A318" s="43" t="s">
        <v>552</v>
      </c>
      <c r="B318" s="312">
        <f>('FTE Pivot Table'!$M$151)*100</f>
        <v>75.4103550207263</v>
      </c>
      <c r="C318" s="312">
        <f>('FTE Pivot Table'!$M$154)*100</f>
        <v>20.344711051030753</v>
      </c>
      <c r="D318" s="130">
        <f>SUM(E318:G318)</f>
        <v>4.244933928242949</v>
      </c>
      <c r="E318" s="312">
        <f>('FTE Pivot Table'!$M$157)*100</f>
        <v>3.278348398578035</v>
      </c>
      <c r="F318" s="312">
        <f>('FTE Pivot Table'!$M$160)*100</f>
        <v>0.2917509764246388</v>
      </c>
      <c r="G318" s="314">
        <f>('FTE Pivot Table'!$M$163)*100</f>
        <v>0.6748345532402753</v>
      </c>
      <c r="H318" s="312">
        <f>('FTE Pivot Table'!$M$166)*100</f>
        <v>0</v>
      </c>
      <c r="I318" s="43"/>
      <c r="J318" s="129"/>
      <c r="K318" s="129"/>
      <c r="L318" s="129"/>
      <c r="M318" s="129"/>
      <c r="N318" s="129"/>
      <c r="O318" s="129"/>
      <c r="P318" s="129"/>
      <c r="Q318" s="42">
        <f t="shared" si="22"/>
        <v>100</v>
      </c>
      <c r="R318" s="42">
        <f t="shared" si="23"/>
        <v>0</v>
      </c>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row>
    <row r="319" spans="1:41" ht="15.75" customHeight="1">
      <c r="A319" s="43" t="s">
        <v>553</v>
      </c>
      <c r="B319" s="312">
        <f>('FTE Pivot Table'!$M$187)*100</f>
        <v>73.6861704882285</v>
      </c>
      <c r="C319" s="312">
        <f>('FTE Pivot Table'!$M$190)*100</f>
        <v>13.32212489120563</v>
      </c>
      <c r="D319" s="130">
        <f>SUM(E319:G319)</f>
        <v>12.991704620565883</v>
      </c>
      <c r="E319" s="312">
        <f>('FTE Pivot Table'!$M$193)*100</f>
        <v>10.838508780673333</v>
      </c>
      <c r="F319" s="312">
        <f>('FTE Pivot Table'!$M$196)*100</f>
        <v>1.1934666021464304</v>
      </c>
      <c r="G319" s="314">
        <f>('FTE Pivot Table'!$M$199)*100</f>
        <v>0.9597292377461205</v>
      </c>
      <c r="H319" s="312">
        <f>('FTE Pivot Table'!$M$202)*100</f>
        <v>0</v>
      </c>
      <c r="I319" s="43"/>
      <c r="J319" s="129"/>
      <c r="K319" s="129"/>
      <c r="L319" s="129"/>
      <c r="M319" s="129"/>
      <c r="N319" s="129"/>
      <c r="O319" s="129"/>
      <c r="P319" s="129"/>
      <c r="Q319" s="42">
        <f t="shared" si="22"/>
        <v>100.00000000000001</v>
      </c>
      <c r="R319" s="42">
        <f t="shared" si="23"/>
        <v>0</v>
      </c>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row>
    <row r="320" spans="1:41" ht="15.75" customHeight="1">
      <c r="A320" s="43" t="s">
        <v>554</v>
      </c>
      <c r="B320" s="312">
        <f>('FTE Pivot Table'!$M$223)*100</f>
        <v>93.48891818406526</v>
      </c>
      <c r="C320" s="312">
        <f>('FTE Pivot Table'!$M$226)*100</f>
        <v>1.793070775315152</v>
      </c>
      <c r="D320" s="130">
        <f>SUM(E320:G320)</f>
        <v>4.718011040619593</v>
      </c>
      <c r="E320" s="312">
        <f>('FTE Pivot Table'!$M$229)*100</f>
        <v>4.6943231441048034</v>
      </c>
      <c r="F320" s="312">
        <f>('FTE Pivot Table'!$M$232)*100</f>
        <v>0</v>
      </c>
      <c r="G320" s="318">
        <f>('FTE Pivot Table'!$M$235)*100</f>
        <v>0.023687896514789485</v>
      </c>
      <c r="H320" s="312">
        <f>('FTE Pivot Table'!$M$238)*100</f>
        <v>0</v>
      </c>
      <c r="I320" s="43"/>
      <c r="J320" s="129"/>
      <c r="K320" s="129"/>
      <c r="L320" s="129"/>
      <c r="M320" s="129"/>
      <c r="N320" s="129"/>
      <c r="O320" s="129"/>
      <c r="P320" s="129"/>
      <c r="Q320" s="42">
        <f t="shared" si="22"/>
        <v>100</v>
      </c>
      <c r="R320" s="42">
        <f t="shared" si="23"/>
        <v>0</v>
      </c>
      <c r="S320" s="55"/>
      <c r="T320" s="71"/>
      <c r="U320" s="55"/>
      <c r="V320" s="55"/>
      <c r="W320" s="55"/>
      <c r="X320" s="55"/>
      <c r="Y320" s="55"/>
      <c r="Z320" s="55"/>
      <c r="AA320" s="55"/>
      <c r="AB320" s="55"/>
      <c r="AC320" s="55"/>
      <c r="AD320" s="55"/>
      <c r="AE320" s="55"/>
      <c r="AF320" s="55"/>
      <c r="AG320" s="55"/>
      <c r="AH320" s="55"/>
      <c r="AI320" s="55"/>
      <c r="AJ320" s="55"/>
      <c r="AK320" s="55"/>
      <c r="AL320" s="55"/>
      <c r="AM320" s="55"/>
      <c r="AN320" s="55"/>
      <c r="AO320" s="55"/>
    </row>
    <row r="321" spans="1:41" ht="15.75" customHeight="1">
      <c r="A321" s="43" t="s">
        <v>555</v>
      </c>
      <c r="B321" s="312">
        <f>('FTE Pivot Table'!$M$259)*100</f>
        <v>87.29592027140139</v>
      </c>
      <c r="C321" s="312">
        <f>('FTE Pivot Table'!$M$262)*100</f>
        <v>4.857750631320985</v>
      </c>
      <c r="D321" s="130">
        <f>SUM(E321:G321)</f>
        <v>7.846329097277634</v>
      </c>
      <c r="E321" s="312">
        <f>('FTE Pivot Table'!$M$265)*100</f>
        <v>6.459822039455562</v>
      </c>
      <c r="F321" s="312">
        <f>('FTE Pivot Table'!$M$268)*100</f>
        <v>0.33978486215788267</v>
      </c>
      <c r="G321" s="314">
        <f>('FTE Pivot Table'!$M$271)*100</f>
        <v>1.0467221956641888</v>
      </c>
      <c r="H321" s="312">
        <f>('FTE Pivot Table'!$M$274)*100</f>
        <v>0</v>
      </c>
      <c r="I321" s="43"/>
      <c r="J321" s="129"/>
      <c r="K321" s="129"/>
      <c r="L321" s="129"/>
      <c r="M321" s="129"/>
      <c r="N321" s="129"/>
      <c r="O321" s="129"/>
      <c r="P321" s="129"/>
      <c r="Q321" s="42">
        <f t="shared" si="22"/>
        <v>100</v>
      </c>
      <c r="R321" s="42">
        <f t="shared" si="23"/>
        <v>0</v>
      </c>
      <c r="S321" s="55"/>
      <c r="U321" s="55"/>
      <c r="V321" s="55"/>
      <c r="W321" s="55"/>
      <c r="X321" s="55"/>
      <c r="Y321" s="55"/>
      <c r="Z321" s="55"/>
      <c r="AA321" s="55"/>
      <c r="AB321" s="55"/>
      <c r="AC321" s="55"/>
      <c r="AD321" s="55"/>
      <c r="AE321" s="55"/>
      <c r="AF321" s="55"/>
      <c r="AG321" s="55"/>
      <c r="AH321" s="55"/>
      <c r="AI321" s="55"/>
      <c r="AJ321" s="55"/>
      <c r="AK321" s="55"/>
      <c r="AL321" s="55"/>
      <c r="AM321" s="55"/>
      <c r="AN321" s="55"/>
      <c r="AO321" s="55"/>
    </row>
    <row r="322" spans="1:41" ht="15.75" customHeight="1">
      <c r="A322" s="43"/>
      <c r="B322" s="115"/>
      <c r="C322" s="116"/>
      <c r="D322" s="130"/>
      <c r="E322" s="115"/>
      <c r="F322" s="115"/>
      <c r="G322" s="116"/>
      <c r="H322" s="115"/>
      <c r="I322" s="43"/>
      <c r="J322" s="129"/>
      <c r="K322" s="129"/>
      <c r="L322" s="129"/>
      <c r="M322" s="129"/>
      <c r="N322" s="129"/>
      <c r="O322" s="129"/>
      <c r="P322" s="129"/>
      <c r="Q322" s="42">
        <f t="shared" si="22"/>
        <v>0</v>
      </c>
      <c r="R322" s="42">
        <f t="shared" si="23"/>
        <v>0</v>
      </c>
      <c r="S322" s="55"/>
      <c r="U322" s="55"/>
      <c r="V322" s="55"/>
      <c r="W322" s="55"/>
      <c r="X322" s="55"/>
      <c r="Y322" s="55"/>
      <c r="Z322" s="55"/>
      <c r="AA322" s="55"/>
      <c r="AB322" s="55"/>
      <c r="AC322" s="55"/>
      <c r="AD322" s="55"/>
      <c r="AE322" s="55"/>
      <c r="AF322" s="55"/>
      <c r="AG322" s="55"/>
      <c r="AH322" s="55"/>
      <c r="AI322" s="55"/>
      <c r="AJ322" s="55"/>
      <c r="AK322" s="55"/>
      <c r="AL322" s="55"/>
      <c r="AM322" s="55"/>
      <c r="AN322" s="55"/>
      <c r="AO322" s="55"/>
    </row>
    <row r="323" spans="1:41" ht="15.75" customHeight="1">
      <c r="A323" s="43" t="s">
        <v>611</v>
      </c>
      <c r="B323" s="312">
        <f>('FTE Pivot Table'!$M$295)*100</f>
        <v>92.98206456052439</v>
      </c>
      <c r="C323" s="312">
        <f>('FTE Pivot Table'!$M$298)*100</f>
        <v>0</v>
      </c>
      <c r="D323" s="130">
        <f>SUM(E323:G323)</f>
        <v>7.017935439475612</v>
      </c>
      <c r="E323" s="312">
        <f>('FTE Pivot Table'!$M$301)*100</f>
        <v>7.017935439475612</v>
      </c>
      <c r="F323" s="312">
        <f>('FTE Pivot Table'!$M$304)*100</f>
        <v>0</v>
      </c>
      <c r="G323" s="314">
        <f>('FTE Pivot Table'!$M$307)*100</f>
        <v>0</v>
      </c>
      <c r="H323" s="312">
        <f>('FTE Pivot Table'!$M$310)*100</f>
        <v>0</v>
      </c>
      <c r="I323" s="43"/>
      <c r="J323" s="129"/>
      <c r="K323" s="129"/>
      <c r="L323" s="129"/>
      <c r="M323" s="129"/>
      <c r="N323" s="129"/>
      <c r="O323" s="129"/>
      <c r="P323" s="129"/>
      <c r="Q323" s="42">
        <f t="shared" si="22"/>
        <v>100</v>
      </c>
      <c r="R323" s="42">
        <f t="shared" si="23"/>
        <v>0</v>
      </c>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row>
    <row r="324" spans="1:41" ht="15.75" customHeight="1">
      <c r="A324" s="43" t="s">
        <v>214</v>
      </c>
      <c r="B324" s="312">
        <f>('FTE Pivot Table'!$M$331)*100</f>
        <v>73.57657580154832</v>
      </c>
      <c r="C324" s="312">
        <f>('FTE Pivot Table'!$M$334)*100</f>
        <v>18.86129497886897</v>
      </c>
      <c r="D324" s="130">
        <f>SUM(E324:G324)</f>
        <v>7.562129219582717</v>
      </c>
      <c r="E324" s="312">
        <f>('FTE Pivot Table'!$M$337)*100</f>
        <v>5.671407539593905</v>
      </c>
      <c r="F324" s="312">
        <f>('FTE Pivot Table'!$M$340)*100</f>
        <v>0.4247651075658182</v>
      </c>
      <c r="G324" s="314">
        <f>('FTE Pivot Table'!$M$343)*100</f>
        <v>1.4659565724229935</v>
      </c>
      <c r="H324" s="312">
        <f>('FTE Pivot Table'!$M$346)*100</f>
        <v>0</v>
      </c>
      <c r="I324" s="43"/>
      <c r="J324" s="129"/>
      <c r="K324" s="129"/>
      <c r="L324" s="129"/>
      <c r="M324" s="129"/>
      <c r="N324" s="129"/>
      <c r="O324" s="129"/>
      <c r="P324" s="129"/>
      <c r="Q324" s="42">
        <f t="shared" si="22"/>
        <v>100</v>
      </c>
      <c r="R324" s="42">
        <f t="shared" si="23"/>
        <v>0</v>
      </c>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row>
    <row r="325" spans="1:41" ht="15.75" customHeight="1">
      <c r="A325" s="43" t="s">
        <v>207</v>
      </c>
      <c r="B325" s="312">
        <f>('FTE Pivot Table'!$M$367)*100</f>
        <v>83.57872026819362</v>
      </c>
      <c r="C325" s="312">
        <f>('FTE Pivot Table'!$M$370)*100</f>
        <v>5.657499819824847</v>
      </c>
      <c r="D325" s="130">
        <f>SUM(E325:G325)</f>
        <v>10.763779911981532</v>
      </c>
      <c r="E325" s="312">
        <f>('FTE Pivot Table'!$M$373)*100</f>
        <v>7.254897858124272</v>
      </c>
      <c r="F325" s="312">
        <f>('FTE Pivot Table'!$M$376)*100</f>
        <v>2.525009473725813</v>
      </c>
      <c r="G325" s="314">
        <f>('FTE Pivot Table'!$M$379)*100</f>
        <v>0.9838725801314465</v>
      </c>
      <c r="H325" s="312">
        <f>('FTE Pivot Table'!$M$382)*100</f>
        <v>0</v>
      </c>
      <c r="I325" s="43"/>
      <c r="J325" s="129"/>
      <c r="K325" s="129"/>
      <c r="L325" s="129"/>
      <c r="M325" s="129"/>
      <c r="N325" s="129"/>
      <c r="O325" s="129"/>
      <c r="P325" s="129"/>
      <c r="Q325" s="42">
        <f t="shared" si="22"/>
        <v>100</v>
      </c>
      <c r="R325" s="42">
        <f t="shared" si="23"/>
        <v>0</v>
      </c>
      <c r="S325" s="55"/>
      <c r="T325" s="71"/>
      <c r="U325" s="55"/>
      <c r="V325" s="55"/>
      <c r="W325" s="55"/>
      <c r="X325" s="55"/>
      <c r="Y325" s="55"/>
      <c r="Z325" s="55"/>
      <c r="AA325" s="55"/>
      <c r="AB325" s="55"/>
      <c r="AC325" s="55"/>
      <c r="AD325" s="55"/>
      <c r="AE325" s="55"/>
      <c r="AF325" s="55"/>
      <c r="AG325" s="55"/>
      <c r="AH325" s="55"/>
      <c r="AI325" s="55"/>
      <c r="AJ325" s="55"/>
      <c r="AK325" s="55"/>
      <c r="AL325" s="55"/>
      <c r="AM325" s="55"/>
      <c r="AN325" s="55"/>
      <c r="AO325" s="55"/>
    </row>
    <row r="326" spans="1:41" ht="15.75" customHeight="1">
      <c r="A326" s="43" t="s">
        <v>556</v>
      </c>
      <c r="B326" s="312">
        <f>('FTE Pivot Table'!$M$403)*100</f>
        <v>0</v>
      </c>
      <c r="C326" s="312">
        <f>('FTE Pivot Table'!$M$406)*100</f>
        <v>0</v>
      </c>
      <c r="D326" s="130">
        <f>SUM(E326:G326)</f>
        <v>0</v>
      </c>
      <c r="E326" s="312">
        <f>('FTE Pivot Table'!$M$409)*100</f>
        <v>0</v>
      </c>
      <c r="F326" s="312">
        <f>('FTE Pivot Table'!$M$412)*100</f>
        <v>0</v>
      </c>
      <c r="G326" s="314">
        <f>('FTE Pivot Table'!$M$415)*100</f>
        <v>0</v>
      </c>
      <c r="H326" s="312">
        <f>('FTE Pivot Table'!$M$418)*100</f>
        <v>0</v>
      </c>
      <c r="I326" s="43"/>
      <c r="J326" s="129"/>
      <c r="K326" s="129"/>
      <c r="L326" s="129"/>
      <c r="M326" s="129"/>
      <c r="N326" s="129"/>
      <c r="O326" s="129"/>
      <c r="P326" s="129"/>
      <c r="Q326" s="42">
        <f t="shared" si="22"/>
        <v>0</v>
      </c>
      <c r="R326" s="42">
        <f t="shared" si="23"/>
        <v>0</v>
      </c>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row>
    <row r="327" spans="1:41" ht="15.75" customHeight="1">
      <c r="A327" s="43"/>
      <c r="B327" s="115"/>
      <c r="C327" s="116"/>
      <c r="D327" s="130"/>
      <c r="E327" s="115"/>
      <c r="F327" s="115"/>
      <c r="G327" s="116"/>
      <c r="H327" s="115"/>
      <c r="I327" s="43"/>
      <c r="J327" s="129"/>
      <c r="K327" s="129"/>
      <c r="L327" s="129"/>
      <c r="M327" s="129"/>
      <c r="N327" s="129"/>
      <c r="O327" s="129"/>
      <c r="P327" s="129"/>
      <c r="Q327" s="42">
        <f t="shared" si="22"/>
        <v>0</v>
      </c>
      <c r="R327" s="42">
        <f t="shared" si="23"/>
        <v>0</v>
      </c>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row>
    <row r="328" spans="1:41" ht="15.75" customHeight="1">
      <c r="A328" s="43" t="s">
        <v>557</v>
      </c>
      <c r="B328" s="312">
        <f>('FTE Pivot Table'!$M$439)*100</f>
        <v>0</v>
      </c>
      <c r="C328" s="312">
        <f>('FTE Pivot Table'!$M$442)*100</f>
        <v>0</v>
      </c>
      <c r="D328" s="130">
        <f>SUM(E328:G328)</f>
        <v>0</v>
      </c>
      <c r="E328" s="312">
        <f>('FTE Pivot Table'!$M$445)*100</f>
        <v>0</v>
      </c>
      <c r="F328" s="312">
        <f>('FTE Pivot Table'!$M$448)*100</f>
        <v>0</v>
      </c>
      <c r="G328" s="314">
        <f>('FTE Pivot Table'!$M$451)*100</f>
        <v>0</v>
      </c>
      <c r="H328" s="312">
        <f>('FTE Pivot Table'!$M$454)*100</f>
        <v>0</v>
      </c>
      <c r="I328" s="43"/>
      <c r="J328" s="129"/>
      <c r="K328" s="129"/>
      <c r="L328" s="129"/>
      <c r="M328" s="129"/>
      <c r="N328" s="129"/>
      <c r="O328" s="129"/>
      <c r="P328" s="129"/>
      <c r="Q328" s="42">
        <f t="shared" si="22"/>
        <v>0</v>
      </c>
      <c r="R328" s="42">
        <f t="shared" si="23"/>
        <v>0</v>
      </c>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row>
    <row r="329" spans="1:41" ht="15.75" customHeight="1">
      <c r="A329" s="43" t="s">
        <v>313</v>
      </c>
      <c r="B329" s="312">
        <f>('FTE Pivot Table'!$M$475)*100</f>
        <v>70.00536821715127</v>
      </c>
      <c r="C329" s="312">
        <f>('FTE Pivot Table'!$M$478)*100</f>
        <v>21.22591810277946</v>
      </c>
      <c r="D329" s="130">
        <f>SUM(E329:G329)</f>
        <v>8.768713680069274</v>
      </c>
      <c r="E329" s="312">
        <f>('FTE Pivot Table'!$M$481)*100</f>
        <v>6.902225870552138</v>
      </c>
      <c r="F329" s="312">
        <f>('FTE Pivot Table'!$M$484)*100</f>
        <v>0.9662478039111654</v>
      </c>
      <c r="G329" s="314">
        <f>('FTE Pivot Table'!$M$487)*100</f>
        <v>0.9002400056059704</v>
      </c>
      <c r="H329" s="312">
        <f>('FTE Pivot Table'!$M$490)*100</f>
        <v>0</v>
      </c>
      <c r="I329" s="43"/>
      <c r="J329" s="129"/>
      <c r="K329" s="129"/>
      <c r="L329" s="129"/>
      <c r="M329" s="129"/>
      <c r="N329" s="129"/>
      <c r="O329" s="129"/>
      <c r="P329" s="129"/>
      <c r="Q329" s="42">
        <f t="shared" si="22"/>
        <v>100</v>
      </c>
      <c r="R329" s="42">
        <f t="shared" si="23"/>
        <v>0</v>
      </c>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row>
    <row r="330" spans="1:41" ht="15.75" customHeight="1">
      <c r="A330" s="43" t="s">
        <v>558</v>
      </c>
      <c r="B330" s="312">
        <f>('FTE Pivot Table'!$M$511)*100</f>
        <v>0</v>
      </c>
      <c r="C330" s="312">
        <f>('FTE Pivot Table'!$M$514)*100</f>
        <v>0</v>
      </c>
      <c r="D330" s="130">
        <f>SUM(E330:G330)</f>
        <v>0</v>
      </c>
      <c r="E330" s="312">
        <f>('FTE Pivot Table'!$M$517)*100</f>
        <v>0</v>
      </c>
      <c r="F330" s="312">
        <f>('FTE Pivot Table'!$M$520)*100</f>
        <v>0</v>
      </c>
      <c r="G330" s="314">
        <f>('FTE Pivot Table'!$M$523)*100</f>
        <v>0</v>
      </c>
      <c r="H330" s="312">
        <f>('FTE Pivot Table'!$M$526)*100</f>
        <v>0</v>
      </c>
      <c r="I330" s="43"/>
      <c r="J330" s="129"/>
      <c r="K330" s="129"/>
      <c r="L330" s="129"/>
      <c r="M330" s="129"/>
      <c r="N330" s="129"/>
      <c r="O330" s="129"/>
      <c r="P330" s="129"/>
      <c r="Q330" s="42">
        <f t="shared" si="22"/>
        <v>0</v>
      </c>
      <c r="R330" s="42">
        <f t="shared" si="23"/>
        <v>0</v>
      </c>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row>
    <row r="331" spans="1:41" ht="15.75" customHeight="1">
      <c r="A331" s="37" t="s">
        <v>607</v>
      </c>
      <c r="B331" s="316">
        <f>('FTE Pivot Table'!$M$547)*100</f>
        <v>63.2080681256721</v>
      </c>
      <c r="C331" s="316">
        <f>('FTE Pivot Table'!$M$550)*100</f>
        <v>33.37692911326184</v>
      </c>
      <c r="D331" s="132">
        <f>SUM(E331:G331)</f>
        <v>3.415002761066062</v>
      </c>
      <c r="E331" s="316">
        <f>('FTE Pivot Table'!$M$553)*100</f>
        <v>3.415002761066062</v>
      </c>
      <c r="F331" s="316">
        <f>('FTE Pivot Table'!$M$556)*100</f>
        <v>0</v>
      </c>
      <c r="G331" s="317">
        <f>('FTE Pivot Table'!$M$559)*100</f>
        <v>0</v>
      </c>
      <c r="H331" s="316">
        <f>('FTE Pivot Table'!$M$562)*100</f>
        <v>0</v>
      </c>
      <c r="I331" s="43"/>
      <c r="J331" s="129"/>
      <c r="K331" s="129"/>
      <c r="L331" s="129"/>
      <c r="M331" s="129"/>
      <c r="N331" s="129"/>
      <c r="O331" s="129"/>
      <c r="P331" s="129"/>
      <c r="Q331" s="42">
        <f t="shared" si="22"/>
        <v>100</v>
      </c>
      <c r="R331" s="42">
        <f t="shared" si="23"/>
        <v>0</v>
      </c>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row>
    <row r="332" spans="1:41" s="76" customFormat="1" ht="18" customHeight="1">
      <c r="A332" s="133" t="s">
        <v>608</v>
      </c>
      <c r="B332" s="80"/>
      <c r="C332" s="80"/>
      <c r="D332" s="81"/>
      <c r="E332" s="80"/>
      <c r="F332" s="81"/>
      <c r="G332" s="81"/>
      <c r="H332" s="80"/>
      <c r="I332" s="133"/>
      <c r="J332" s="80"/>
      <c r="K332" s="80"/>
      <c r="L332" s="81"/>
      <c r="M332" s="80"/>
      <c r="N332" s="81"/>
      <c r="O332" s="81"/>
      <c r="P332" s="80"/>
      <c r="Q332" s="80"/>
      <c r="R332" s="80"/>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row>
    <row r="333" spans="1:18" s="76" customFormat="1" ht="13.5" customHeight="1">
      <c r="A333" s="133" t="s">
        <v>612</v>
      </c>
      <c r="B333" s="75"/>
      <c r="H333" s="74"/>
      <c r="I333" s="133"/>
      <c r="P333" s="77"/>
      <c r="Q333" s="78"/>
      <c r="R333" s="79"/>
    </row>
    <row r="334" spans="1:18" s="76" customFormat="1" ht="13.5" customHeight="1">
      <c r="A334" s="134" t="s">
        <v>757</v>
      </c>
      <c r="H334" s="74"/>
      <c r="I334" s="134"/>
      <c r="Q334" s="78"/>
      <c r="R334" s="79"/>
    </row>
    <row r="335" spans="8:18" s="76" customFormat="1" ht="11.25">
      <c r="H335" s="343" t="s">
        <v>60</v>
      </c>
      <c r="I335" s="74"/>
      <c r="J335" s="74"/>
      <c r="K335" s="74"/>
      <c r="L335" s="74"/>
      <c r="M335" s="74"/>
      <c r="N335" s="74"/>
      <c r="O335" s="74"/>
      <c r="P335" s="74"/>
      <c r="Q335" s="74"/>
      <c r="R335" s="74"/>
    </row>
    <row r="336" spans="1:17" ht="18">
      <c r="A336" s="34" t="s">
        <v>582</v>
      </c>
      <c r="B336" s="35"/>
      <c r="C336" s="35"/>
      <c r="D336" s="35"/>
      <c r="E336" s="35"/>
      <c r="F336" s="35"/>
      <c r="G336" s="35"/>
      <c r="H336" s="53"/>
      <c r="I336" s="52"/>
      <c r="J336" s="43"/>
      <c r="K336" s="43"/>
      <c r="L336" s="53"/>
      <c r="M336" s="43"/>
      <c r="N336" s="43"/>
      <c r="O336" s="43"/>
      <c r="P336" s="43"/>
      <c r="Q336" s="67"/>
    </row>
    <row r="337" spans="1:16" ht="12.75">
      <c r="A337" s="90"/>
      <c r="B337" s="36"/>
      <c r="C337" s="36"/>
      <c r="D337" s="36"/>
      <c r="E337" s="36"/>
      <c r="F337" s="36"/>
      <c r="G337" s="36"/>
      <c r="H337" s="48"/>
      <c r="I337" s="52"/>
      <c r="J337" s="43"/>
      <c r="K337" s="43"/>
      <c r="L337" s="43"/>
      <c r="M337" s="43"/>
      <c r="N337" s="43"/>
      <c r="O337" s="43"/>
      <c r="P337" s="43"/>
    </row>
    <row r="338" spans="1:16" ht="15.75">
      <c r="A338" s="45" t="s">
        <v>595</v>
      </c>
      <c r="B338" s="36"/>
      <c r="C338" s="36"/>
      <c r="D338" s="36"/>
      <c r="E338" s="36"/>
      <c r="F338" s="36"/>
      <c r="G338" s="36"/>
      <c r="H338" s="48"/>
      <c r="I338" s="52"/>
      <c r="J338" s="43"/>
      <c r="K338" s="43"/>
      <c r="L338" s="48"/>
      <c r="M338" s="43"/>
      <c r="N338" s="43"/>
      <c r="O338" s="43"/>
      <c r="P338" s="43"/>
    </row>
    <row r="339" spans="1:16" ht="15.75">
      <c r="A339" s="45" t="s">
        <v>818</v>
      </c>
      <c r="B339" s="36"/>
      <c r="C339" s="36"/>
      <c r="D339" s="36"/>
      <c r="E339" s="36"/>
      <c r="F339" s="36"/>
      <c r="G339" s="36"/>
      <c r="H339" s="48"/>
      <c r="I339" s="52"/>
      <c r="J339" s="43"/>
      <c r="K339" s="43"/>
      <c r="L339" s="43"/>
      <c r="M339" s="43"/>
      <c r="N339" s="43"/>
      <c r="O339" s="43"/>
      <c r="P339" s="43"/>
    </row>
    <row r="340" spans="1:16" ht="12.75">
      <c r="A340" s="37"/>
      <c r="B340" s="38"/>
      <c r="C340" s="38"/>
      <c r="D340" s="38"/>
      <c r="E340" s="38"/>
      <c r="F340" s="38"/>
      <c r="G340" s="38"/>
      <c r="H340" s="38"/>
      <c r="I340" s="52"/>
      <c r="J340" s="43"/>
      <c r="K340" s="43"/>
      <c r="L340" s="43"/>
      <c r="M340" s="43"/>
      <c r="N340" s="43"/>
      <c r="O340" s="43"/>
      <c r="P340" s="43"/>
    </row>
    <row r="341" spans="1:16" ht="12.75">
      <c r="A341" s="97"/>
      <c r="B341" s="98" t="s">
        <v>315</v>
      </c>
      <c r="C341" s="98"/>
      <c r="D341" s="98"/>
      <c r="E341" s="98"/>
      <c r="F341" s="98"/>
      <c r="G341" s="98"/>
      <c r="H341" s="99"/>
      <c r="I341" s="52"/>
      <c r="J341" s="43"/>
      <c r="K341" s="43"/>
      <c r="L341" s="43"/>
      <c r="M341" s="43"/>
      <c r="N341" s="43"/>
      <c r="O341" s="43"/>
      <c r="P341" s="43"/>
    </row>
    <row r="342" spans="1:16" ht="12.75">
      <c r="A342" s="97"/>
      <c r="B342" s="98" t="s">
        <v>211</v>
      </c>
      <c r="C342" s="98"/>
      <c r="D342" s="421" t="s">
        <v>603</v>
      </c>
      <c r="E342" s="422"/>
      <c r="F342" s="422"/>
      <c r="G342" s="422"/>
      <c r="H342" s="103" t="s">
        <v>73</v>
      </c>
      <c r="I342" s="52"/>
      <c r="J342" s="43"/>
      <c r="K342" s="43"/>
      <c r="L342" s="43"/>
      <c r="M342" s="43"/>
      <c r="N342" s="43"/>
      <c r="O342" s="43"/>
      <c r="P342" s="43"/>
    </row>
    <row r="343" spans="1:16" ht="36">
      <c r="A343" s="97"/>
      <c r="B343" s="104" t="s">
        <v>594</v>
      </c>
      <c r="C343" s="105" t="s">
        <v>593</v>
      </c>
      <c r="D343" s="106" t="s">
        <v>601</v>
      </c>
      <c r="E343" s="107" t="s">
        <v>71</v>
      </c>
      <c r="F343" s="104" t="s">
        <v>212</v>
      </c>
      <c r="G343" s="108" t="s">
        <v>605</v>
      </c>
      <c r="H343" s="109" t="s">
        <v>604</v>
      </c>
      <c r="I343" s="52"/>
      <c r="J343" s="43"/>
      <c r="K343" s="43"/>
      <c r="L343" s="43"/>
      <c r="M343" s="43"/>
      <c r="N343" s="43"/>
      <c r="O343" s="43"/>
      <c r="P343" s="43"/>
    </row>
    <row r="344" spans="1:41" ht="15.75" customHeight="1">
      <c r="A344" s="44" t="s">
        <v>548</v>
      </c>
      <c r="B344" s="312">
        <f>('FTE Pivot Table'!$N$7)*100</f>
        <v>90.19761717913961</v>
      </c>
      <c r="C344" s="312">
        <f>('FTE Pivot Table'!$N$10)*100</f>
        <v>1.6234944523885593</v>
      </c>
      <c r="D344" s="130">
        <f>SUM(E344:G344)</f>
        <v>8.178888368471824</v>
      </c>
      <c r="E344" s="312">
        <f>('FTE Pivot Table'!$N$13)*100</f>
        <v>7.991848407678874</v>
      </c>
      <c r="F344" s="312">
        <f>('FTE Pivot Table'!$N$16)*100</f>
        <v>0.18703996079295016</v>
      </c>
      <c r="G344" s="313">
        <f>('FTE Pivot Table'!$N$19)*100</f>
        <v>0</v>
      </c>
      <c r="H344" s="312">
        <f>('FTE Pivot Table'!$N$22)*100</f>
        <v>0</v>
      </c>
      <c r="I344" s="43"/>
      <c r="J344" s="129"/>
      <c r="K344" s="129"/>
      <c r="L344" s="129"/>
      <c r="M344" s="129"/>
      <c r="N344" s="129"/>
      <c r="O344" s="129"/>
      <c r="P344" s="129"/>
      <c r="Q344" s="42">
        <f aca="true" t="shared" si="24" ref="Q344:Q362">SUM(B344,C344,D344,H344)</f>
        <v>100</v>
      </c>
      <c r="R344" s="42">
        <f aca="true" t="shared" si="25" ref="R344:R362">SUM(J344,K344,L344,P344)</f>
        <v>0</v>
      </c>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row>
    <row r="345" spans="1:41" ht="15.75" customHeight="1">
      <c r="A345" s="43" t="s">
        <v>549</v>
      </c>
      <c r="B345" s="312">
        <f>('FTE Pivot Table'!$N$43)*100</f>
        <v>82.69103131448968</v>
      </c>
      <c r="C345" s="312">
        <f>('FTE Pivot Table'!$N$46)*100</f>
        <v>8.894115940703792</v>
      </c>
      <c r="D345" s="130">
        <f>SUM(E345:G345)</f>
        <v>8.414852744806536</v>
      </c>
      <c r="E345" s="312">
        <f>('FTE Pivot Table'!$N$49)*100</f>
        <v>5.278831859020947</v>
      </c>
      <c r="F345" s="312">
        <f>('FTE Pivot Table'!$N$52)*100</f>
        <v>1.2504985756108635</v>
      </c>
      <c r="G345" s="314">
        <f>('FTE Pivot Table'!$N$55)*100</f>
        <v>1.885522310174726</v>
      </c>
      <c r="H345" s="312">
        <f>('FTE Pivot Table'!$N$58)*100</f>
        <v>0</v>
      </c>
      <c r="I345" s="43"/>
      <c r="J345" s="129"/>
      <c r="K345" s="129"/>
      <c r="L345" s="129"/>
      <c r="M345" s="129"/>
      <c r="N345" s="129"/>
      <c r="O345" s="129"/>
      <c r="P345" s="129"/>
      <c r="Q345" s="42">
        <f t="shared" si="24"/>
        <v>100.00000000000001</v>
      </c>
      <c r="R345" s="42">
        <f t="shared" si="25"/>
        <v>0</v>
      </c>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row>
    <row r="346" spans="1:41" ht="15.75" customHeight="1">
      <c r="A346" s="43" t="s">
        <v>550</v>
      </c>
      <c r="B346" s="312">
        <f>('FTE Pivot Table'!$N$79)*100</f>
        <v>88.23552334190632</v>
      </c>
      <c r="C346" s="312">
        <f>('FTE Pivot Table'!$N$82)*100</f>
        <v>0</v>
      </c>
      <c r="D346" s="130">
        <f>SUM(E346:G346)</f>
        <v>11.76447665809368</v>
      </c>
      <c r="E346" s="312">
        <f>('FTE Pivot Table'!$N$85)*100</f>
        <v>7.840386563790819</v>
      </c>
      <c r="F346" s="312">
        <f>('FTE Pivot Table'!$N$88)*100</f>
        <v>0.2513444002805705</v>
      </c>
      <c r="G346" s="314">
        <f>('FTE Pivot Table'!$N$91)*100</f>
        <v>3.67274569402229</v>
      </c>
      <c r="H346" s="312">
        <f>('FTE Pivot Table'!$N$94)*100</f>
        <v>0</v>
      </c>
      <c r="I346" s="43"/>
      <c r="J346" s="129"/>
      <c r="K346" s="129"/>
      <c r="L346" s="129"/>
      <c r="M346" s="129"/>
      <c r="N346" s="129"/>
      <c r="O346" s="129"/>
      <c r="P346" s="129"/>
      <c r="Q346" s="42">
        <f t="shared" si="24"/>
        <v>100</v>
      </c>
      <c r="R346" s="42">
        <f t="shared" si="25"/>
        <v>0</v>
      </c>
      <c r="S346" s="55"/>
      <c r="T346" s="71"/>
      <c r="U346" s="55"/>
      <c r="V346" s="55"/>
      <c r="W346" s="55"/>
      <c r="X346" s="55"/>
      <c r="Y346" s="55"/>
      <c r="Z346" s="55"/>
      <c r="AA346" s="55"/>
      <c r="AB346" s="55"/>
      <c r="AC346" s="55"/>
      <c r="AD346" s="55"/>
      <c r="AE346" s="55"/>
      <c r="AF346" s="55"/>
      <c r="AG346" s="55"/>
      <c r="AH346" s="55"/>
      <c r="AI346" s="55"/>
      <c r="AJ346" s="55"/>
      <c r="AK346" s="55"/>
      <c r="AL346" s="55"/>
      <c r="AM346" s="55"/>
      <c r="AN346" s="55"/>
      <c r="AO346" s="55"/>
    </row>
    <row r="347" spans="1:41" ht="15.75" customHeight="1">
      <c r="A347" s="43" t="s">
        <v>551</v>
      </c>
      <c r="B347" s="312">
        <f>('FTE Pivot Table'!$N$115)*100</f>
        <v>84.23510521614257</v>
      </c>
      <c r="C347" s="312">
        <f>('FTE Pivot Table'!$N$118)*100</f>
        <v>8.506620532130217</v>
      </c>
      <c r="D347" s="130">
        <f>SUM(E347:G347)</f>
        <v>5.674095683933195</v>
      </c>
      <c r="E347" s="312">
        <f>('FTE Pivot Table'!$N$121)*100</f>
        <v>2.702488777321709</v>
      </c>
      <c r="F347" s="312">
        <f>('FTE Pivot Table'!$N$124)*100</f>
        <v>1.5027646799416534</v>
      </c>
      <c r="G347" s="314">
        <f>('FTE Pivot Table'!$N$127)*100</f>
        <v>1.4688422266698329</v>
      </c>
      <c r="H347" s="312">
        <f>('FTE Pivot Table'!$N$130)*100</f>
        <v>1.584178567794023</v>
      </c>
      <c r="I347" s="43"/>
      <c r="J347" s="129"/>
      <c r="K347" s="129"/>
      <c r="L347" s="129"/>
      <c r="M347" s="129"/>
      <c r="N347" s="129"/>
      <c r="O347" s="129"/>
      <c r="P347" s="129"/>
      <c r="Q347" s="42">
        <f t="shared" si="24"/>
        <v>100</v>
      </c>
      <c r="R347" s="42">
        <f t="shared" si="25"/>
        <v>0</v>
      </c>
      <c r="S347" s="55"/>
      <c r="U347" s="55"/>
      <c r="V347" s="55"/>
      <c r="W347" s="55"/>
      <c r="X347" s="55"/>
      <c r="Y347" s="55"/>
      <c r="Z347" s="55"/>
      <c r="AA347" s="55"/>
      <c r="AB347" s="55"/>
      <c r="AC347" s="55"/>
      <c r="AD347" s="55"/>
      <c r="AE347" s="55"/>
      <c r="AF347" s="55"/>
      <c r="AG347" s="55"/>
      <c r="AH347" s="55"/>
      <c r="AI347" s="55"/>
      <c r="AJ347" s="55"/>
      <c r="AK347" s="55"/>
      <c r="AL347" s="55"/>
      <c r="AM347" s="55"/>
      <c r="AN347" s="55"/>
      <c r="AO347" s="55"/>
    </row>
    <row r="348" spans="1:41" ht="15.75" customHeight="1">
      <c r="A348" s="43"/>
      <c r="B348" s="115"/>
      <c r="C348" s="116"/>
      <c r="D348" s="130"/>
      <c r="E348" s="115"/>
      <c r="F348" s="115"/>
      <c r="G348" s="116"/>
      <c r="H348" s="115"/>
      <c r="I348" s="43"/>
      <c r="J348" s="129"/>
      <c r="K348" s="129"/>
      <c r="L348" s="129"/>
      <c r="M348" s="129"/>
      <c r="N348" s="129"/>
      <c r="O348" s="129"/>
      <c r="P348" s="129"/>
      <c r="Q348" s="42">
        <f t="shared" si="24"/>
        <v>0</v>
      </c>
      <c r="R348" s="42">
        <f t="shared" si="25"/>
        <v>0</v>
      </c>
      <c r="S348" s="55"/>
      <c r="U348" s="55"/>
      <c r="V348" s="55"/>
      <c r="W348" s="55"/>
      <c r="X348" s="55"/>
      <c r="Y348" s="55"/>
      <c r="Z348" s="55"/>
      <c r="AA348" s="55"/>
      <c r="AB348" s="55"/>
      <c r="AC348" s="55"/>
      <c r="AD348" s="55"/>
      <c r="AE348" s="55"/>
      <c r="AF348" s="55"/>
      <c r="AG348" s="55"/>
      <c r="AH348" s="55"/>
      <c r="AI348" s="55"/>
      <c r="AJ348" s="55"/>
      <c r="AK348" s="55"/>
      <c r="AL348" s="55"/>
      <c r="AM348" s="55"/>
      <c r="AN348" s="55"/>
      <c r="AO348" s="55"/>
    </row>
    <row r="349" spans="1:41" ht="15.75" customHeight="1">
      <c r="A349" s="43" t="s">
        <v>552</v>
      </c>
      <c r="B349" s="312">
        <f>('FTE Pivot Table'!$N$151)*100</f>
        <v>77.38464576710643</v>
      </c>
      <c r="C349" s="312">
        <f>('FTE Pivot Table'!$N$154)*100</f>
        <v>18.880635523306555</v>
      </c>
      <c r="D349" s="130">
        <f>SUM(E349:G349)</f>
        <v>3.734718709586999</v>
      </c>
      <c r="E349" s="312">
        <f>('FTE Pivot Table'!$N$157)*100</f>
        <v>3.1193262535595294</v>
      </c>
      <c r="F349" s="312">
        <f>('FTE Pivot Table'!$N$160)*100</f>
        <v>0.6153924560274697</v>
      </c>
      <c r="G349" s="314">
        <f>('FTE Pivot Table'!$N$163)*100</f>
        <v>0</v>
      </c>
      <c r="H349" s="312">
        <f>('FTE Pivot Table'!$N$166)*100</f>
        <v>0</v>
      </c>
      <c r="I349" s="43"/>
      <c r="J349" s="129"/>
      <c r="K349" s="129"/>
      <c r="L349" s="129"/>
      <c r="M349" s="129"/>
      <c r="N349" s="129"/>
      <c r="O349" s="129"/>
      <c r="P349" s="129"/>
      <c r="Q349" s="42">
        <f t="shared" si="24"/>
        <v>99.99999999999999</v>
      </c>
      <c r="R349" s="42">
        <f t="shared" si="25"/>
        <v>0</v>
      </c>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row>
    <row r="350" spans="1:41" ht="15.75" customHeight="1">
      <c r="A350" s="43" t="s">
        <v>553</v>
      </c>
      <c r="B350" s="312">
        <f>('FTE Pivot Table'!$N$187)*100</f>
        <v>63.1457906762812</v>
      </c>
      <c r="C350" s="312">
        <f>('FTE Pivot Table'!$N$190)*100</f>
        <v>12.71922015490074</v>
      </c>
      <c r="D350" s="130">
        <f>SUM(E350:G350)</f>
        <v>24.134989168818066</v>
      </c>
      <c r="E350" s="312">
        <f>('FTE Pivot Table'!$N$193)*100</f>
        <v>22.299623134217633</v>
      </c>
      <c r="F350" s="312">
        <f>('FTE Pivot Table'!$N$196)*100</f>
        <v>1.2641324668387788</v>
      </c>
      <c r="G350" s="314">
        <f>('FTE Pivot Table'!$N$199)*100</f>
        <v>0.5712335677616547</v>
      </c>
      <c r="H350" s="312">
        <f>('FTE Pivot Table'!$N$202)*100</f>
        <v>0</v>
      </c>
      <c r="I350" s="43"/>
      <c r="J350" s="129"/>
      <c r="K350" s="129"/>
      <c r="L350" s="129"/>
      <c r="M350" s="129"/>
      <c r="N350" s="129"/>
      <c r="O350" s="129"/>
      <c r="P350" s="129"/>
      <c r="Q350" s="42">
        <f t="shared" si="24"/>
        <v>100</v>
      </c>
      <c r="R350" s="42">
        <f t="shared" si="25"/>
        <v>0</v>
      </c>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row>
    <row r="351" spans="1:41" ht="15.75" customHeight="1">
      <c r="A351" s="43" t="s">
        <v>554</v>
      </c>
      <c r="B351" s="312">
        <f>('FTE Pivot Table'!$N$223)*100</f>
        <v>92.5789955321096</v>
      </c>
      <c r="C351" s="312">
        <f>('FTE Pivot Table'!$N$226)*100</f>
        <v>7.421004467890402</v>
      </c>
      <c r="D351" s="130">
        <f>SUM(E351:G351)</f>
        <v>0</v>
      </c>
      <c r="E351" s="312">
        <f>('FTE Pivot Table'!$N$229)*100</f>
        <v>0</v>
      </c>
      <c r="F351" s="312">
        <f>('FTE Pivot Table'!$N$232)*100</f>
        <v>0</v>
      </c>
      <c r="G351" s="314">
        <f>('FTE Pivot Table'!$N$235)*100</f>
        <v>0</v>
      </c>
      <c r="H351" s="312">
        <f>('FTE Pivot Table'!$N$238)*100</f>
        <v>0</v>
      </c>
      <c r="I351" s="43"/>
      <c r="J351" s="129"/>
      <c r="K351" s="129"/>
      <c r="L351" s="129"/>
      <c r="M351" s="129"/>
      <c r="N351" s="129"/>
      <c r="O351" s="129"/>
      <c r="P351" s="129"/>
      <c r="Q351" s="42">
        <f t="shared" si="24"/>
        <v>100</v>
      </c>
      <c r="R351" s="42">
        <f t="shared" si="25"/>
        <v>0</v>
      </c>
      <c r="S351" s="55"/>
      <c r="T351" s="71"/>
      <c r="U351" s="55"/>
      <c r="V351" s="55"/>
      <c r="W351" s="55"/>
      <c r="X351" s="55"/>
      <c r="Y351" s="55"/>
      <c r="Z351" s="55"/>
      <c r="AA351" s="55"/>
      <c r="AB351" s="55"/>
      <c r="AC351" s="55"/>
      <c r="AD351" s="55"/>
      <c r="AE351" s="55"/>
      <c r="AF351" s="55"/>
      <c r="AG351" s="55"/>
      <c r="AH351" s="55"/>
      <c r="AI351" s="55"/>
      <c r="AJ351" s="55"/>
      <c r="AK351" s="55"/>
      <c r="AL351" s="55"/>
      <c r="AM351" s="55"/>
      <c r="AN351" s="55"/>
      <c r="AO351" s="55"/>
    </row>
    <row r="352" spans="1:41" ht="15.75" customHeight="1">
      <c r="A352" s="43" t="s">
        <v>555</v>
      </c>
      <c r="B352" s="312">
        <f>('FTE Pivot Table'!$N$259)*100</f>
        <v>85.59796909468196</v>
      </c>
      <c r="C352" s="312">
        <f>('FTE Pivot Table'!$N$262)*100</f>
        <v>8.709606171247202</v>
      </c>
      <c r="D352" s="130">
        <f>SUM(E352:G352)</f>
        <v>5.439924959030138</v>
      </c>
      <c r="E352" s="312">
        <f>('FTE Pivot Table'!$N$265)*100</f>
        <v>3.806311403664246</v>
      </c>
      <c r="F352" s="312">
        <f>('FTE Pivot Table'!$N$268)*100</f>
        <v>0.6688789937093199</v>
      </c>
      <c r="G352" s="314">
        <f>('FTE Pivot Table'!$N$271)*100</f>
        <v>0.964734561656573</v>
      </c>
      <c r="H352" s="312">
        <f>('FTE Pivot Table'!$N$274)*100</f>
        <v>0.2524997750406972</v>
      </c>
      <c r="I352" s="43"/>
      <c r="J352" s="129"/>
      <c r="K352" s="129"/>
      <c r="L352" s="129"/>
      <c r="M352" s="129"/>
      <c r="N352" s="129"/>
      <c r="O352" s="129"/>
      <c r="P352" s="129"/>
      <c r="Q352" s="42">
        <f t="shared" si="24"/>
        <v>100</v>
      </c>
      <c r="R352" s="42">
        <f t="shared" si="25"/>
        <v>0</v>
      </c>
      <c r="S352" s="55"/>
      <c r="U352" s="55"/>
      <c r="V352" s="55"/>
      <c r="W352" s="55"/>
      <c r="X352" s="55"/>
      <c r="Y352" s="55"/>
      <c r="Z352" s="55"/>
      <c r="AA352" s="55"/>
      <c r="AB352" s="55"/>
      <c r="AC352" s="55"/>
      <c r="AD352" s="55"/>
      <c r="AE352" s="55"/>
      <c r="AF352" s="55"/>
      <c r="AG352" s="55"/>
      <c r="AH352" s="55"/>
      <c r="AI352" s="55"/>
      <c r="AJ352" s="55"/>
      <c r="AK352" s="55"/>
      <c r="AL352" s="55"/>
      <c r="AM352" s="55"/>
      <c r="AN352" s="55"/>
      <c r="AO352" s="55"/>
    </row>
    <row r="353" spans="1:41" ht="15.75" customHeight="1">
      <c r="A353" s="43"/>
      <c r="B353" s="115"/>
      <c r="C353" s="116"/>
      <c r="D353" s="130"/>
      <c r="E353" s="115"/>
      <c r="F353" s="115"/>
      <c r="G353" s="116"/>
      <c r="H353" s="115"/>
      <c r="I353" s="43"/>
      <c r="J353" s="129"/>
      <c r="K353" s="129"/>
      <c r="L353" s="129"/>
      <c r="M353" s="129"/>
      <c r="N353" s="129"/>
      <c r="O353" s="129"/>
      <c r="P353" s="129"/>
      <c r="Q353" s="42">
        <f t="shared" si="24"/>
        <v>0</v>
      </c>
      <c r="R353" s="42">
        <f t="shared" si="25"/>
        <v>0</v>
      </c>
      <c r="S353" s="55"/>
      <c r="U353" s="55"/>
      <c r="V353" s="55"/>
      <c r="W353" s="55"/>
      <c r="X353" s="55"/>
      <c r="Y353" s="55"/>
      <c r="Z353" s="55"/>
      <c r="AA353" s="55"/>
      <c r="AB353" s="55"/>
      <c r="AC353" s="55"/>
      <c r="AD353" s="55"/>
      <c r="AE353" s="55"/>
      <c r="AF353" s="55"/>
      <c r="AG353" s="55"/>
      <c r="AH353" s="55"/>
      <c r="AI353" s="55"/>
      <c r="AJ353" s="55"/>
      <c r="AK353" s="55"/>
      <c r="AL353" s="55"/>
      <c r="AM353" s="55"/>
      <c r="AN353" s="55"/>
      <c r="AO353" s="55"/>
    </row>
    <row r="354" spans="1:41" ht="15.75" customHeight="1">
      <c r="A354" s="43" t="s">
        <v>611</v>
      </c>
      <c r="B354" s="312">
        <f>('FTE Pivot Table'!$N$295)*100</f>
        <v>89.97250021262722</v>
      </c>
      <c r="C354" s="312">
        <f>('FTE Pivot Table'!$N$298)*100</f>
        <v>0</v>
      </c>
      <c r="D354" s="130">
        <f>SUM(E354:G354)</f>
        <v>10.027499787372777</v>
      </c>
      <c r="E354" s="312">
        <f>('FTE Pivot Table'!$N$301)*100</f>
        <v>10.027499787372777</v>
      </c>
      <c r="F354" s="312">
        <f>('FTE Pivot Table'!$N$304)*100</f>
        <v>0</v>
      </c>
      <c r="G354" s="314">
        <f>('FTE Pivot Table'!$N$307)*100</f>
        <v>0</v>
      </c>
      <c r="H354" s="312">
        <f>('FTE Pivot Table'!$N$310)*100</f>
        <v>0</v>
      </c>
      <c r="I354" s="43"/>
      <c r="J354" s="129"/>
      <c r="K354" s="129"/>
      <c r="L354" s="129"/>
      <c r="M354" s="129"/>
      <c r="N354" s="129"/>
      <c r="O354" s="129"/>
      <c r="P354" s="129"/>
      <c r="Q354" s="42">
        <f t="shared" si="24"/>
        <v>100</v>
      </c>
      <c r="R354" s="42">
        <f t="shared" si="25"/>
        <v>0</v>
      </c>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row>
    <row r="355" spans="1:41" ht="15.75" customHeight="1">
      <c r="A355" s="43" t="s">
        <v>214</v>
      </c>
      <c r="B355" s="312">
        <f>('FTE Pivot Table'!$N$331)*100</f>
        <v>68.32692766378293</v>
      </c>
      <c r="C355" s="312">
        <f>('FTE Pivot Table'!$N$334)*100</f>
        <v>22.03517028910867</v>
      </c>
      <c r="D355" s="130">
        <f>SUM(E355:G355)</f>
        <v>9.637902047108401</v>
      </c>
      <c r="E355" s="312">
        <f>('FTE Pivot Table'!$N$337)*100</f>
        <v>6.592528780675852</v>
      </c>
      <c r="F355" s="312">
        <f>('FTE Pivot Table'!$N$340)*100</f>
        <v>0.8910812919389638</v>
      </c>
      <c r="G355" s="314">
        <f>('FTE Pivot Table'!$N$343)*100</f>
        <v>2.1542919744935856</v>
      </c>
      <c r="H355" s="312">
        <f>('FTE Pivot Table'!$N$346)*100</f>
        <v>0</v>
      </c>
      <c r="I355" s="43"/>
      <c r="J355" s="129"/>
      <c r="K355" s="129"/>
      <c r="L355" s="129"/>
      <c r="M355" s="129"/>
      <c r="N355" s="129"/>
      <c r="O355" s="129"/>
      <c r="P355" s="129"/>
      <c r="Q355" s="42">
        <f t="shared" si="24"/>
        <v>99.99999999999999</v>
      </c>
      <c r="R355" s="42">
        <f t="shared" si="25"/>
        <v>0</v>
      </c>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row>
    <row r="356" spans="1:41" ht="15.75" customHeight="1">
      <c r="A356" s="43" t="s">
        <v>207</v>
      </c>
      <c r="B356" s="312">
        <f>('FTE Pivot Table'!$N$367)*100</f>
        <v>81.13651743217346</v>
      </c>
      <c r="C356" s="312">
        <f>('FTE Pivot Table'!$N$370)*100</f>
        <v>6.993909685930863</v>
      </c>
      <c r="D356" s="130">
        <f>SUM(E356:G356)</f>
        <v>11.86701392640444</v>
      </c>
      <c r="E356" s="312">
        <f>('FTE Pivot Table'!$N$373)*100</f>
        <v>7.3805962934951355</v>
      </c>
      <c r="F356" s="312">
        <f>('FTE Pivot Table'!$N$376)*100</f>
        <v>3.521691412714028</v>
      </c>
      <c r="G356" s="314">
        <f>('FTE Pivot Table'!$N$379)*100</f>
        <v>0.9647262201952768</v>
      </c>
      <c r="H356" s="320">
        <f>('FTE Pivot Table'!$N$382)*100</f>
        <v>0.0025589554912341557</v>
      </c>
      <c r="I356" s="43"/>
      <c r="J356" s="129"/>
      <c r="K356" s="129"/>
      <c r="L356" s="129"/>
      <c r="M356" s="129"/>
      <c r="N356" s="129"/>
      <c r="O356" s="129"/>
      <c r="P356" s="129"/>
      <c r="Q356" s="42">
        <f t="shared" si="24"/>
        <v>100</v>
      </c>
      <c r="R356" s="42">
        <f t="shared" si="25"/>
        <v>0</v>
      </c>
      <c r="S356" s="55"/>
      <c r="T356" s="71"/>
      <c r="U356" s="55"/>
      <c r="V356" s="55"/>
      <c r="W356" s="55"/>
      <c r="X356" s="55"/>
      <c r="Y356" s="55"/>
      <c r="Z356" s="55"/>
      <c r="AA356" s="55"/>
      <c r="AB356" s="55"/>
      <c r="AC356" s="55"/>
      <c r="AD356" s="55"/>
      <c r="AE356" s="55"/>
      <c r="AF356" s="55"/>
      <c r="AG356" s="55"/>
      <c r="AH356" s="55"/>
      <c r="AI356" s="55"/>
      <c r="AJ356" s="55"/>
      <c r="AK356" s="55"/>
      <c r="AL356" s="55"/>
      <c r="AM356" s="55"/>
      <c r="AN356" s="55"/>
      <c r="AO356" s="55"/>
    </row>
    <row r="357" spans="1:41" ht="15.75" customHeight="1">
      <c r="A357" s="43" t="s">
        <v>556</v>
      </c>
      <c r="B357" s="312">
        <f>('FTE Pivot Table'!$N$403)*100</f>
        <v>0</v>
      </c>
      <c r="C357" s="312">
        <f>('FTE Pivot Table'!$N$406)*100</f>
        <v>0</v>
      </c>
      <c r="D357" s="130">
        <f>SUM(E357:G357)</f>
        <v>0</v>
      </c>
      <c r="E357" s="312">
        <f>('FTE Pivot Table'!$N$409)*100</f>
        <v>0</v>
      </c>
      <c r="F357" s="312">
        <f>('FTE Pivot Table'!$N$412)*100</f>
        <v>0</v>
      </c>
      <c r="G357" s="314">
        <f>('FTE Pivot Table'!$N$415)*100</f>
        <v>0</v>
      </c>
      <c r="H357" s="312">
        <f>('FTE Pivot Table'!$N$418)*100</f>
        <v>0</v>
      </c>
      <c r="I357" s="43"/>
      <c r="J357" s="129"/>
      <c r="K357" s="129"/>
      <c r="L357" s="129"/>
      <c r="M357" s="129"/>
      <c r="N357" s="129"/>
      <c r="O357" s="129"/>
      <c r="P357" s="129"/>
      <c r="Q357" s="42">
        <f t="shared" si="24"/>
        <v>0</v>
      </c>
      <c r="R357" s="42">
        <f t="shared" si="25"/>
        <v>0</v>
      </c>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row>
    <row r="358" spans="1:41" ht="15.75" customHeight="1">
      <c r="A358" s="43"/>
      <c r="B358" s="115"/>
      <c r="C358" s="116"/>
      <c r="D358" s="130"/>
      <c r="E358" s="115"/>
      <c r="F358" s="115"/>
      <c r="G358" s="116"/>
      <c r="H358" s="115"/>
      <c r="I358" s="43"/>
      <c r="J358" s="129"/>
      <c r="K358" s="129"/>
      <c r="L358" s="129"/>
      <c r="M358" s="129"/>
      <c r="N358" s="129"/>
      <c r="O358" s="129"/>
      <c r="P358" s="129"/>
      <c r="Q358" s="42">
        <f t="shared" si="24"/>
        <v>0</v>
      </c>
      <c r="R358" s="42">
        <f t="shared" si="25"/>
        <v>0</v>
      </c>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row>
    <row r="359" spans="1:41" ht="15.75" customHeight="1">
      <c r="A359" s="43" t="s">
        <v>557</v>
      </c>
      <c r="B359" s="312">
        <f>('FTE Pivot Table'!$N$439)*100</f>
        <v>0</v>
      </c>
      <c r="C359" s="312">
        <f>('FTE Pivot Table'!$N$442)*100</f>
        <v>0</v>
      </c>
      <c r="D359" s="130">
        <f>SUM(E359:G359)</f>
        <v>0</v>
      </c>
      <c r="E359" s="312">
        <f>('FTE Pivot Table'!$N$445)*100</f>
        <v>0</v>
      </c>
      <c r="F359" s="312">
        <f>('FTE Pivot Table'!$N$448)*100</f>
        <v>0</v>
      </c>
      <c r="G359" s="314">
        <f>('FTE Pivot Table'!$N$451)*100</f>
        <v>0</v>
      </c>
      <c r="H359" s="312">
        <f>('FTE Pivot Table'!$N$454)*100</f>
        <v>0</v>
      </c>
      <c r="I359" s="43"/>
      <c r="J359" s="129"/>
      <c r="K359" s="129"/>
      <c r="L359" s="129"/>
      <c r="M359" s="129"/>
      <c r="N359" s="129"/>
      <c r="O359" s="129"/>
      <c r="P359" s="129"/>
      <c r="Q359" s="42">
        <f t="shared" si="24"/>
        <v>0</v>
      </c>
      <c r="R359" s="42">
        <f t="shared" si="25"/>
        <v>0</v>
      </c>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row>
    <row r="360" spans="1:41" ht="15.75" customHeight="1">
      <c r="A360" s="43" t="s">
        <v>313</v>
      </c>
      <c r="B360" s="312">
        <f>('FTE Pivot Table'!$N$475)*100</f>
        <v>76.65372510956205</v>
      </c>
      <c r="C360" s="312">
        <f>('FTE Pivot Table'!$N$478)*100</f>
        <v>14.95191035030442</v>
      </c>
      <c r="D360" s="130">
        <f>SUM(E360:G360)</f>
        <v>8.394364540133534</v>
      </c>
      <c r="E360" s="312">
        <f>('FTE Pivot Table'!$N$481)*100</f>
        <v>5.077600321578086</v>
      </c>
      <c r="F360" s="312">
        <f>('FTE Pivot Table'!$N$484)*100</f>
        <v>2.893467454925145</v>
      </c>
      <c r="G360" s="314">
        <f>('FTE Pivot Table'!$N$487)*100</f>
        <v>0.42329676363030283</v>
      </c>
      <c r="H360" s="312">
        <f>('FTE Pivot Table'!$N$490)*100</f>
        <v>0</v>
      </c>
      <c r="I360" s="43"/>
      <c r="J360" s="129"/>
      <c r="K360" s="129"/>
      <c r="L360" s="129"/>
      <c r="M360" s="129"/>
      <c r="N360" s="129"/>
      <c r="O360" s="129"/>
      <c r="P360" s="129"/>
      <c r="Q360" s="42">
        <f t="shared" si="24"/>
        <v>100</v>
      </c>
      <c r="R360" s="42">
        <f t="shared" si="25"/>
        <v>0</v>
      </c>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row>
    <row r="361" spans="1:41" ht="15.75" customHeight="1">
      <c r="A361" s="43" t="s">
        <v>558</v>
      </c>
      <c r="B361" s="312">
        <f>('FTE Pivot Table'!$N$511)*100</f>
        <v>0</v>
      </c>
      <c r="C361" s="312">
        <f>('FTE Pivot Table'!$N$514)*100</f>
        <v>0</v>
      </c>
      <c r="D361" s="130">
        <f>SUM(E361:G361)</f>
        <v>0</v>
      </c>
      <c r="E361" s="312">
        <f>('FTE Pivot Table'!$N$517)*100</f>
        <v>0</v>
      </c>
      <c r="F361" s="312">
        <f>('FTE Pivot Table'!$N$520)*100</f>
        <v>0</v>
      </c>
      <c r="G361" s="314">
        <f>('FTE Pivot Table'!$N$523)*100</f>
        <v>0</v>
      </c>
      <c r="H361" s="312">
        <f>('FTE Pivot Table'!$N$526)*100</f>
        <v>0</v>
      </c>
      <c r="I361" s="43"/>
      <c r="J361" s="129"/>
      <c r="K361" s="129"/>
      <c r="L361" s="129"/>
      <c r="M361" s="129"/>
      <c r="N361" s="129"/>
      <c r="O361" s="129"/>
      <c r="P361" s="129"/>
      <c r="Q361" s="42">
        <f t="shared" si="24"/>
        <v>0</v>
      </c>
      <c r="R361" s="42">
        <f t="shared" si="25"/>
        <v>0</v>
      </c>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row>
    <row r="362" spans="1:41" ht="15.75" customHeight="1">
      <c r="A362" s="37" t="s">
        <v>607</v>
      </c>
      <c r="B362" s="316">
        <f>('FTE Pivot Table'!$N$547)*100</f>
        <v>75.457444134263</v>
      </c>
      <c r="C362" s="316">
        <f>('FTE Pivot Table'!$N$550)*100</f>
        <v>17.7850839474485</v>
      </c>
      <c r="D362" s="132">
        <f>SUM(E362:G362)</f>
        <v>6.757471918288504</v>
      </c>
      <c r="E362" s="316">
        <f>('FTE Pivot Table'!$N$553)*100</f>
        <v>3.1058571371869332</v>
      </c>
      <c r="F362" s="316">
        <f>('FTE Pivot Table'!$N$556)*100</f>
        <v>3.44125001653811</v>
      </c>
      <c r="G362" s="317">
        <f>('FTE Pivot Table'!$N$559)*100</f>
        <v>0.21036476456346</v>
      </c>
      <c r="H362" s="316">
        <f>('FTE Pivot Table'!$N$562)*100</f>
        <v>0</v>
      </c>
      <c r="I362" s="43"/>
      <c r="J362" s="129"/>
      <c r="K362" s="129"/>
      <c r="L362" s="129"/>
      <c r="M362" s="129"/>
      <c r="N362" s="129"/>
      <c r="O362" s="129"/>
      <c r="P362" s="129"/>
      <c r="Q362" s="42">
        <f t="shared" si="24"/>
        <v>100</v>
      </c>
      <c r="R362" s="42">
        <f t="shared" si="25"/>
        <v>0</v>
      </c>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row>
    <row r="363" spans="1:41" s="76" customFormat="1" ht="18" customHeight="1">
      <c r="A363" s="133" t="s">
        <v>608</v>
      </c>
      <c r="B363" s="80"/>
      <c r="C363" s="80"/>
      <c r="D363" s="81"/>
      <c r="E363" s="80"/>
      <c r="F363" s="81"/>
      <c r="G363" s="81"/>
      <c r="H363" s="80"/>
      <c r="I363" s="133"/>
      <c r="J363" s="80"/>
      <c r="K363" s="80"/>
      <c r="L363" s="81"/>
      <c r="M363" s="80"/>
      <c r="N363" s="81"/>
      <c r="O363" s="81"/>
      <c r="P363" s="80"/>
      <c r="Q363" s="80"/>
      <c r="R363" s="80"/>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row>
    <row r="364" spans="1:18" s="76" customFormat="1" ht="13.5" customHeight="1">
      <c r="A364" s="133" t="s">
        <v>612</v>
      </c>
      <c r="B364" s="75"/>
      <c r="H364" s="74"/>
      <c r="I364" s="133"/>
      <c r="P364" s="77"/>
      <c r="Q364" s="78"/>
      <c r="R364" s="79"/>
    </row>
    <row r="365" spans="1:18" s="76" customFormat="1" ht="13.5" customHeight="1">
      <c r="A365" s="134" t="s">
        <v>757</v>
      </c>
      <c r="H365" s="74"/>
      <c r="I365" s="134"/>
      <c r="Q365" s="78"/>
      <c r="R365" s="79"/>
    </row>
    <row r="366" spans="1:41" s="76" customFormat="1" ht="11.25">
      <c r="A366" s="74"/>
      <c r="B366" s="80"/>
      <c r="C366" s="80"/>
      <c r="D366" s="81"/>
      <c r="E366" s="80"/>
      <c r="F366" s="81"/>
      <c r="G366" s="81"/>
      <c r="H366" s="343" t="s">
        <v>60</v>
      </c>
      <c r="I366" s="83"/>
      <c r="J366" s="74"/>
      <c r="K366" s="74"/>
      <c r="L366" s="74"/>
      <c r="M366" s="74"/>
      <c r="N366" s="74"/>
      <c r="O366" s="74"/>
      <c r="P366" s="74"/>
      <c r="Q366" s="80"/>
      <c r="R366" s="80"/>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row>
    <row r="367" spans="1:16" ht="18">
      <c r="A367" s="34" t="s">
        <v>583</v>
      </c>
      <c r="B367" s="35"/>
      <c r="C367" s="35"/>
      <c r="D367" s="35"/>
      <c r="E367" s="35"/>
      <c r="F367" s="35"/>
      <c r="G367" s="35"/>
      <c r="H367" s="53"/>
      <c r="I367" s="52"/>
      <c r="J367" s="43"/>
      <c r="K367" s="43"/>
      <c r="L367" s="43"/>
      <c r="M367" s="43"/>
      <c r="N367" s="43"/>
      <c r="O367" s="43"/>
      <c r="P367" s="43"/>
    </row>
    <row r="368" spans="1:16" ht="12.75">
      <c r="A368" s="90"/>
      <c r="B368" s="36"/>
      <c r="C368" s="36"/>
      <c r="D368" s="36"/>
      <c r="E368" s="36"/>
      <c r="F368" s="36"/>
      <c r="G368" s="36"/>
      <c r="H368" s="48"/>
      <c r="I368" s="52"/>
      <c r="J368" s="43"/>
      <c r="K368" s="43"/>
      <c r="L368" s="43"/>
      <c r="M368" s="43"/>
      <c r="N368" s="43"/>
      <c r="O368" s="43"/>
      <c r="P368" s="43"/>
    </row>
    <row r="369" spans="1:16" ht="15.75">
      <c r="A369" s="45" t="s">
        <v>595</v>
      </c>
      <c r="B369" s="36"/>
      <c r="C369" s="36"/>
      <c r="D369" s="36"/>
      <c r="E369" s="36"/>
      <c r="F369" s="36"/>
      <c r="G369" s="36"/>
      <c r="H369" s="48"/>
      <c r="I369" s="52"/>
      <c r="J369" s="43"/>
      <c r="K369" s="43"/>
      <c r="L369" s="43"/>
      <c r="M369" s="43"/>
      <c r="N369" s="43"/>
      <c r="O369" s="43"/>
      <c r="P369" s="43"/>
    </row>
    <row r="370" spans="1:16" ht="15.75">
      <c r="A370" s="45" t="s">
        <v>819</v>
      </c>
      <c r="B370" s="36"/>
      <c r="C370" s="36"/>
      <c r="D370" s="36"/>
      <c r="E370" s="36"/>
      <c r="F370" s="36"/>
      <c r="G370" s="36"/>
      <c r="H370" s="48"/>
      <c r="I370" s="52"/>
      <c r="J370" s="43"/>
      <c r="K370" s="43"/>
      <c r="L370" s="43"/>
      <c r="M370" s="43"/>
      <c r="N370" s="43"/>
      <c r="O370" s="43"/>
      <c r="P370" s="43"/>
    </row>
    <row r="371" spans="1:16" ht="12.75">
      <c r="A371" s="37"/>
      <c r="B371" s="38"/>
      <c r="C371" s="38"/>
      <c r="D371" s="38"/>
      <c r="E371" s="38"/>
      <c r="F371" s="38"/>
      <c r="G371" s="38"/>
      <c r="H371" s="38"/>
      <c r="I371" s="52"/>
      <c r="J371" s="43"/>
      <c r="K371" s="43"/>
      <c r="L371" s="43"/>
      <c r="M371" s="43"/>
      <c r="N371" s="43"/>
      <c r="O371" s="43"/>
      <c r="P371" s="43"/>
    </row>
    <row r="372" spans="1:16" ht="12.75">
      <c r="A372" s="97"/>
      <c r="B372" s="98" t="s">
        <v>315</v>
      </c>
      <c r="C372" s="98"/>
      <c r="D372" s="98"/>
      <c r="E372" s="98"/>
      <c r="F372" s="98"/>
      <c r="G372" s="98"/>
      <c r="H372" s="99"/>
      <c r="I372" s="52"/>
      <c r="J372" s="43"/>
      <c r="K372" s="43"/>
      <c r="L372" s="43"/>
      <c r="M372" s="43"/>
      <c r="N372" s="43"/>
      <c r="O372" s="43"/>
      <c r="P372" s="43"/>
    </row>
    <row r="373" spans="1:16" ht="12.75">
      <c r="A373" s="97"/>
      <c r="B373" s="98" t="s">
        <v>211</v>
      </c>
      <c r="C373" s="98"/>
      <c r="D373" s="421" t="s">
        <v>603</v>
      </c>
      <c r="E373" s="422"/>
      <c r="F373" s="422"/>
      <c r="G373" s="422"/>
      <c r="H373" s="103" t="s">
        <v>73</v>
      </c>
      <c r="I373" s="52"/>
      <c r="J373" s="43"/>
      <c r="K373" s="43"/>
      <c r="L373" s="43"/>
      <c r="M373" s="43"/>
      <c r="N373" s="43"/>
      <c r="O373" s="43"/>
      <c r="P373" s="43"/>
    </row>
    <row r="374" spans="1:16" ht="36">
      <c r="A374" s="97"/>
      <c r="B374" s="104" t="s">
        <v>594</v>
      </c>
      <c r="C374" s="105" t="s">
        <v>593</v>
      </c>
      <c r="D374" s="106" t="s">
        <v>601</v>
      </c>
      <c r="E374" s="107" t="s">
        <v>71</v>
      </c>
      <c r="F374" s="104" t="s">
        <v>212</v>
      </c>
      <c r="G374" s="108" t="s">
        <v>605</v>
      </c>
      <c r="H374" s="109" t="s">
        <v>604</v>
      </c>
      <c r="I374" s="52"/>
      <c r="J374" s="43"/>
      <c r="K374" s="43"/>
      <c r="L374" s="43"/>
      <c r="M374" s="43"/>
      <c r="N374" s="43"/>
      <c r="O374" s="43"/>
      <c r="P374" s="43"/>
    </row>
    <row r="375" spans="1:41" ht="15.75" customHeight="1">
      <c r="A375" s="44" t="s">
        <v>548</v>
      </c>
      <c r="B375" s="312">
        <f>('FTE Pivot Table'!$S$7)*100</f>
        <v>0</v>
      </c>
      <c r="C375" s="312">
        <f>('FTE Pivot Table'!$S$10)*100</f>
        <v>0</v>
      </c>
      <c r="D375" s="130">
        <f>SUM(E375:G375)</f>
        <v>0</v>
      </c>
      <c r="E375" s="312">
        <f>('FTE Pivot Table'!$S$13)*100</f>
        <v>0</v>
      </c>
      <c r="F375" s="312">
        <f>('FTE Pivot Table'!$S$16)*100</f>
        <v>0</v>
      </c>
      <c r="G375" s="313">
        <f>('FTE Pivot Table'!$S$19)*100</f>
        <v>0</v>
      </c>
      <c r="H375" s="312">
        <f>('FTE Pivot Table'!$S$22)*100</f>
        <v>0</v>
      </c>
      <c r="I375" s="43"/>
      <c r="J375" s="129"/>
      <c r="K375" s="129"/>
      <c r="L375" s="129"/>
      <c r="M375" s="129"/>
      <c r="N375" s="129"/>
      <c r="O375" s="129"/>
      <c r="P375" s="129"/>
      <c r="Q375" s="42">
        <f aca="true" t="shared" si="26" ref="Q375:Q393">SUM(B375,C375,D375,H375)</f>
        <v>0</v>
      </c>
      <c r="R375" s="42">
        <f aca="true" t="shared" si="27" ref="R375:R393">SUM(J375,K375,L375,P375)</f>
        <v>0</v>
      </c>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row>
    <row r="376" spans="1:41" ht="15.75" customHeight="1">
      <c r="A376" s="43" t="s">
        <v>549</v>
      </c>
      <c r="B376" s="312">
        <f>('FTE Pivot Table'!$S$43)*100</f>
        <v>0</v>
      </c>
      <c r="C376" s="312">
        <f>('FTE Pivot Table'!$S$46)*100</f>
        <v>0</v>
      </c>
      <c r="D376" s="130">
        <f>SUM(E376:G376)</f>
        <v>0</v>
      </c>
      <c r="E376" s="312">
        <f>('FTE Pivot Table'!$S$49)*100</f>
        <v>0</v>
      </c>
      <c r="F376" s="312">
        <f>('FTE Pivot Table'!$S$52)*100</f>
        <v>0</v>
      </c>
      <c r="G376" s="314">
        <f>('FTE Pivot Table'!$S$55)*100</f>
        <v>0</v>
      </c>
      <c r="H376" s="312">
        <f>('FTE Pivot Table'!$S$58)*100</f>
        <v>0</v>
      </c>
      <c r="I376" s="43"/>
      <c r="J376" s="129"/>
      <c r="K376" s="129"/>
      <c r="L376" s="129"/>
      <c r="M376" s="129"/>
      <c r="N376" s="129"/>
      <c r="O376" s="129"/>
      <c r="P376" s="129"/>
      <c r="Q376" s="42">
        <f t="shared" si="26"/>
        <v>0</v>
      </c>
      <c r="R376" s="42">
        <f t="shared" si="27"/>
        <v>0</v>
      </c>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row>
    <row r="377" spans="1:41" ht="15.75" customHeight="1">
      <c r="A377" s="43" t="s">
        <v>550</v>
      </c>
      <c r="B377" s="312">
        <f>('FTE Pivot Table'!$S$79)*100</f>
        <v>0</v>
      </c>
      <c r="C377" s="312">
        <f>('FTE Pivot Table'!$S$82)*100</f>
        <v>0</v>
      </c>
      <c r="D377" s="130">
        <f>SUM(E377:G377)</f>
        <v>0</v>
      </c>
      <c r="E377" s="312">
        <f>('FTE Pivot Table'!$S$85)*100</f>
        <v>0</v>
      </c>
      <c r="F377" s="312">
        <f>('FTE Pivot Table'!$S$88)*100</f>
        <v>0</v>
      </c>
      <c r="G377" s="314">
        <f>('FTE Pivot Table'!$S$91)*100</f>
        <v>0</v>
      </c>
      <c r="H377" s="312">
        <f>('FTE Pivot Table'!$S$94)*100</f>
        <v>0</v>
      </c>
      <c r="I377" s="43"/>
      <c r="J377" s="129"/>
      <c r="K377" s="129"/>
      <c r="L377" s="129"/>
      <c r="M377" s="129"/>
      <c r="N377" s="129"/>
      <c r="O377" s="129"/>
      <c r="P377" s="129"/>
      <c r="Q377" s="42">
        <f t="shared" si="26"/>
        <v>0</v>
      </c>
      <c r="R377" s="42">
        <f t="shared" si="27"/>
        <v>0</v>
      </c>
      <c r="S377" s="55"/>
      <c r="T377" s="71"/>
      <c r="U377" s="55"/>
      <c r="V377" s="55"/>
      <c r="W377" s="55"/>
      <c r="X377" s="55"/>
      <c r="Y377" s="55"/>
      <c r="Z377" s="55"/>
      <c r="AA377" s="55"/>
      <c r="AB377" s="55"/>
      <c r="AC377" s="55"/>
      <c r="AD377" s="55"/>
      <c r="AE377" s="55"/>
      <c r="AF377" s="55"/>
      <c r="AG377" s="55"/>
      <c r="AH377" s="55"/>
      <c r="AI377" s="55"/>
      <c r="AJ377" s="55"/>
      <c r="AK377" s="55"/>
      <c r="AL377" s="55"/>
      <c r="AM377" s="55"/>
      <c r="AN377" s="55"/>
      <c r="AO377" s="55"/>
    </row>
    <row r="378" spans="1:41" ht="15.75" customHeight="1">
      <c r="A378" s="43" t="s">
        <v>551</v>
      </c>
      <c r="B378" s="312">
        <f>('FTE Pivot Table'!$S$115)*100</f>
        <v>0</v>
      </c>
      <c r="C378" s="312">
        <f>('FTE Pivot Table'!$S$118)*100</f>
        <v>0</v>
      </c>
      <c r="D378" s="130">
        <f>SUM(E378:G378)</f>
        <v>0</v>
      </c>
      <c r="E378" s="312">
        <f>('FTE Pivot Table'!$S$121)*100</f>
        <v>0</v>
      </c>
      <c r="F378" s="312">
        <f>('FTE Pivot Table'!$S$124)*100</f>
        <v>0</v>
      </c>
      <c r="G378" s="314">
        <f>('FTE Pivot Table'!$S$127)*100</f>
        <v>0</v>
      </c>
      <c r="H378" s="312">
        <f>('FTE Pivot Table'!$S$130)*100</f>
        <v>0</v>
      </c>
      <c r="I378" s="43"/>
      <c r="J378" s="129"/>
      <c r="K378" s="129"/>
      <c r="L378" s="129"/>
      <c r="M378" s="129"/>
      <c r="N378" s="129"/>
      <c r="O378" s="129"/>
      <c r="P378" s="129"/>
      <c r="Q378" s="42">
        <f t="shared" si="26"/>
        <v>0</v>
      </c>
      <c r="R378" s="42">
        <f t="shared" si="27"/>
        <v>0</v>
      </c>
      <c r="S378" s="55"/>
      <c r="U378" s="55"/>
      <c r="V378" s="55"/>
      <c r="W378" s="55"/>
      <c r="X378" s="55"/>
      <c r="Y378" s="55"/>
      <c r="Z378" s="55"/>
      <c r="AA378" s="55"/>
      <c r="AB378" s="55"/>
      <c r="AC378" s="55"/>
      <c r="AD378" s="55"/>
      <c r="AE378" s="55"/>
      <c r="AF378" s="55"/>
      <c r="AG378" s="55"/>
      <c r="AH378" s="55"/>
      <c r="AI378" s="55"/>
      <c r="AJ378" s="55"/>
      <c r="AK378" s="55"/>
      <c r="AL378" s="55"/>
      <c r="AM378" s="55"/>
      <c r="AN378" s="55"/>
      <c r="AO378" s="55"/>
    </row>
    <row r="379" spans="1:41" ht="15.75" customHeight="1">
      <c r="A379" s="43"/>
      <c r="B379" s="115"/>
      <c r="C379" s="116"/>
      <c r="D379" s="130"/>
      <c r="E379" s="115"/>
      <c r="F379" s="115"/>
      <c r="G379" s="116"/>
      <c r="H379" s="115"/>
      <c r="I379" s="43"/>
      <c r="J379" s="129"/>
      <c r="K379" s="129"/>
      <c r="L379" s="129"/>
      <c r="M379" s="129"/>
      <c r="N379" s="129"/>
      <c r="O379" s="129"/>
      <c r="P379" s="129"/>
      <c r="Q379" s="42">
        <f t="shared" si="26"/>
        <v>0</v>
      </c>
      <c r="R379" s="42">
        <f t="shared" si="27"/>
        <v>0</v>
      </c>
      <c r="S379" s="55"/>
      <c r="U379" s="55"/>
      <c r="V379" s="55"/>
      <c r="W379" s="55"/>
      <c r="X379" s="55"/>
      <c r="Y379" s="55"/>
      <c r="Z379" s="55"/>
      <c r="AA379" s="55"/>
      <c r="AB379" s="55"/>
      <c r="AC379" s="55"/>
      <c r="AD379" s="55"/>
      <c r="AE379" s="55"/>
      <c r="AF379" s="55"/>
      <c r="AG379" s="55"/>
      <c r="AH379" s="55"/>
      <c r="AI379" s="55"/>
      <c r="AJ379" s="55"/>
      <c r="AK379" s="55"/>
      <c r="AL379" s="55"/>
      <c r="AM379" s="55"/>
      <c r="AN379" s="55"/>
      <c r="AO379" s="55"/>
    </row>
    <row r="380" spans="1:41" ht="15.75" customHeight="1">
      <c r="A380" s="43" t="s">
        <v>552</v>
      </c>
      <c r="B380" s="312">
        <f>('FTE Pivot Table'!$S$151)*100</f>
        <v>88.7856668239148</v>
      </c>
      <c r="C380" s="312">
        <f>('FTE Pivot Table'!$S$154)*100</f>
        <v>0</v>
      </c>
      <c r="D380" s="130">
        <f>SUM(E380:G380)</f>
        <v>11.214333176085203</v>
      </c>
      <c r="E380" s="312">
        <f>('FTE Pivot Table'!$S$157)*100</f>
        <v>11.19204983326338</v>
      </c>
      <c r="F380" s="315">
        <f>('FTE Pivot Table'!$S$160)*100</f>
        <v>0.02228334282182161</v>
      </c>
      <c r="G380" s="314">
        <f>('FTE Pivot Table'!$S$163)*100</f>
        <v>0</v>
      </c>
      <c r="H380" s="312">
        <f>('FTE Pivot Table'!$S$166)*100</f>
        <v>0</v>
      </c>
      <c r="I380" s="43"/>
      <c r="J380" s="129"/>
      <c r="K380" s="129"/>
      <c r="L380" s="129"/>
      <c r="M380" s="129"/>
      <c r="N380" s="129"/>
      <c r="O380" s="129"/>
      <c r="P380" s="129"/>
      <c r="Q380" s="42">
        <f t="shared" si="26"/>
        <v>100</v>
      </c>
      <c r="R380" s="42">
        <f t="shared" si="27"/>
        <v>0</v>
      </c>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row>
    <row r="381" spans="1:41" ht="15.75" customHeight="1">
      <c r="A381" s="43" t="s">
        <v>553</v>
      </c>
      <c r="B381" s="312">
        <f>('FTE Pivot Table'!$S$187)*100</f>
        <v>94.2641101983946</v>
      </c>
      <c r="C381" s="312">
        <f>('FTE Pivot Table'!$S$190)*100</f>
        <v>0.14644412332340873</v>
      </c>
      <c r="D381" s="130">
        <f>SUM(E381:G381)</f>
        <v>5.58944567828198</v>
      </c>
      <c r="E381" s="312">
        <f>('FTE Pivot Table'!$S$193)*100</f>
        <v>5.58944567828198</v>
      </c>
      <c r="F381" s="312">
        <f>('FTE Pivot Table'!$S$196)*100</f>
        <v>0</v>
      </c>
      <c r="G381" s="314">
        <f>('FTE Pivot Table'!$S$199)*100</f>
        <v>0</v>
      </c>
      <c r="H381" s="312">
        <f>('FTE Pivot Table'!$S$202)*100</f>
        <v>0</v>
      </c>
      <c r="I381" s="43"/>
      <c r="J381" s="129"/>
      <c r="K381" s="129"/>
      <c r="L381" s="129"/>
      <c r="M381" s="129"/>
      <c r="N381" s="129"/>
      <c r="O381" s="129"/>
      <c r="P381" s="129"/>
      <c r="Q381" s="42">
        <f t="shared" si="26"/>
        <v>99.99999999999999</v>
      </c>
      <c r="R381" s="42">
        <f t="shared" si="27"/>
        <v>0</v>
      </c>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row>
    <row r="382" spans="1:41" ht="15.75" customHeight="1">
      <c r="A382" s="43" t="s">
        <v>554</v>
      </c>
      <c r="B382" s="312">
        <f>('FTE Pivot Table'!$S$223)*100</f>
        <v>99.04855895345757</v>
      </c>
      <c r="C382" s="312">
        <f>('FTE Pivot Table'!$S$226)*100</f>
        <v>0.9514410465424281</v>
      </c>
      <c r="D382" s="130">
        <f>SUM(E382:G382)</f>
        <v>0</v>
      </c>
      <c r="E382" s="312">
        <f>('FTE Pivot Table'!$S$229)*100</f>
        <v>0</v>
      </c>
      <c r="F382" s="312">
        <f>('FTE Pivot Table'!$S$232)*100</f>
        <v>0</v>
      </c>
      <c r="G382" s="314">
        <f>('FTE Pivot Table'!$S$235)*100</f>
        <v>0</v>
      </c>
      <c r="H382" s="312">
        <f>('FTE Pivot Table'!$S$238)*100</f>
        <v>0</v>
      </c>
      <c r="I382" s="43"/>
      <c r="J382" s="129"/>
      <c r="K382" s="129"/>
      <c r="L382" s="129"/>
      <c r="M382" s="129"/>
      <c r="N382" s="129"/>
      <c r="O382" s="129"/>
      <c r="P382" s="129"/>
      <c r="Q382" s="42">
        <f t="shared" si="26"/>
        <v>100</v>
      </c>
      <c r="R382" s="42">
        <f t="shared" si="27"/>
        <v>0</v>
      </c>
      <c r="S382" s="55"/>
      <c r="T382" s="71"/>
      <c r="U382" s="55"/>
      <c r="V382" s="55"/>
      <c r="W382" s="55"/>
      <c r="X382" s="55"/>
      <c r="Y382" s="55"/>
      <c r="Z382" s="55"/>
      <c r="AA382" s="55"/>
      <c r="AB382" s="55"/>
      <c r="AC382" s="55"/>
      <c r="AD382" s="55"/>
      <c r="AE382" s="55"/>
      <c r="AF382" s="55"/>
      <c r="AG382" s="55"/>
      <c r="AH382" s="55"/>
      <c r="AI382" s="55"/>
      <c r="AJ382" s="55"/>
      <c r="AK382" s="55"/>
      <c r="AL382" s="55"/>
      <c r="AM382" s="55"/>
      <c r="AN382" s="55"/>
      <c r="AO382" s="55"/>
    </row>
    <row r="383" spans="1:41" ht="15.75" customHeight="1">
      <c r="A383" s="43" t="s">
        <v>555</v>
      </c>
      <c r="B383" s="312">
        <f>('FTE Pivot Table'!$S$259)*100</f>
        <v>0</v>
      </c>
      <c r="C383" s="312">
        <f>('FTE Pivot Table'!$S$262)*100</f>
        <v>0</v>
      </c>
      <c r="D383" s="130">
        <f>SUM(E383:G383)</f>
        <v>0</v>
      </c>
      <c r="E383" s="312">
        <f>('FTE Pivot Table'!$S$265)*100</f>
        <v>0</v>
      </c>
      <c r="F383" s="312">
        <f>('FTE Pivot Table'!$S$268)*100</f>
        <v>0</v>
      </c>
      <c r="G383" s="314">
        <f>('FTE Pivot Table'!$S$271)*100</f>
        <v>0</v>
      </c>
      <c r="H383" s="312">
        <f>('FTE Pivot Table'!$S$274)*100</f>
        <v>0</v>
      </c>
      <c r="I383" s="43"/>
      <c r="J383" s="129"/>
      <c r="K383" s="129"/>
      <c r="L383" s="129"/>
      <c r="M383" s="129"/>
      <c r="N383" s="129"/>
      <c r="O383" s="129"/>
      <c r="P383" s="129"/>
      <c r="Q383" s="42">
        <f t="shared" si="26"/>
        <v>0</v>
      </c>
      <c r="R383" s="42">
        <f t="shared" si="27"/>
        <v>0</v>
      </c>
      <c r="S383" s="55"/>
      <c r="U383" s="55"/>
      <c r="V383" s="55"/>
      <c r="W383" s="55"/>
      <c r="X383" s="55"/>
      <c r="Y383" s="55"/>
      <c r="Z383" s="55"/>
      <c r="AA383" s="55"/>
      <c r="AB383" s="55"/>
      <c r="AC383" s="55"/>
      <c r="AD383" s="55"/>
      <c r="AE383" s="55"/>
      <c r="AF383" s="55"/>
      <c r="AG383" s="55"/>
      <c r="AH383" s="55"/>
      <c r="AI383" s="55"/>
      <c r="AJ383" s="55"/>
      <c r="AK383" s="55"/>
      <c r="AL383" s="55"/>
      <c r="AM383" s="55"/>
      <c r="AN383" s="55"/>
      <c r="AO383" s="55"/>
    </row>
    <row r="384" spans="1:41" ht="15.75" customHeight="1">
      <c r="A384" s="43"/>
      <c r="B384" s="115"/>
      <c r="C384" s="116"/>
      <c r="D384" s="130"/>
      <c r="E384" s="115"/>
      <c r="F384" s="115"/>
      <c r="G384" s="116"/>
      <c r="H384" s="115"/>
      <c r="I384" s="43"/>
      <c r="J384" s="129"/>
      <c r="K384" s="129"/>
      <c r="L384" s="129"/>
      <c r="M384" s="129"/>
      <c r="N384" s="129"/>
      <c r="O384" s="129"/>
      <c r="P384" s="129"/>
      <c r="Q384" s="42">
        <f t="shared" si="26"/>
        <v>0</v>
      </c>
      <c r="R384" s="42">
        <f t="shared" si="27"/>
        <v>0</v>
      </c>
      <c r="S384" s="55"/>
      <c r="U384" s="55"/>
      <c r="V384" s="55"/>
      <c r="W384" s="55"/>
      <c r="X384" s="55"/>
      <c r="Y384" s="55"/>
      <c r="Z384" s="55"/>
      <c r="AA384" s="55"/>
      <c r="AB384" s="55"/>
      <c r="AC384" s="55"/>
      <c r="AD384" s="55"/>
      <c r="AE384" s="55"/>
      <c r="AF384" s="55"/>
      <c r="AG384" s="55"/>
      <c r="AH384" s="55"/>
      <c r="AI384" s="55"/>
      <c r="AJ384" s="55"/>
      <c r="AK384" s="55"/>
      <c r="AL384" s="55"/>
      <c r="AM384" s="55"/>
      <c r="AN384" s="55"/>
      <c r="AO384" s="55"/>
    </row>
    <row r="385" spans="1:41" ht="15.75" customHeight="1">
      <c r="A385" s="43" t="s">
        <v>206</v>
      </c>
      <c r="B385" s="312">
        <f>('FTE Pivot Table'!$S$295)*100</f>
        <v>0</v>
      </c>
      <c r="C385" s="312">
        <f>('FTE Pivot Table'!$S$298)*100</f>
        <v>0</v>
      </c>
      <c r="D385" s="130">
        <f>SUM(E385:G385)</f>
        <v>0</v>
      </c>
      <c r="E385" s="312">
        <f>('FTE Pivot Table'!$S$301)*100</f>
        <v>0</v>
      </c>
      <c r="F385" s="312">
        <f>('FTE Pivot Table'!$S$304)*100</f>
        <v>0</v>
      </c>
      <c r="G385" s="314">
        <f>('FTE Pivot Table'!$S$307)*100</f>
        <v>0</v>
      </c>
      <c r="H385" s="312">
        <f>('FTE Pivot Table'!$S$310)*100</f>
        <v>0</v>
      </c>
      <c r="I385" s="43"/>
      <c r="J385" s="129"/>
      <c r="K385" s="129"/>
      <c r="L385" s="129"/>
      <c r="M385" s="129"/>
      <c r="N385" s="129"/>
      <c r="O385" s="129"/>
      <c r="P385" s="129"/>
      <c r="Q385" s="42">
        <f t="shared" si="26"/>
        <v>0</v>
      </c>
      <c r="R385" s="42">
        <f t="shared" si="27"/>
        <v>0</v>
      </c>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row>
    <row r="386" spans="1:41" ht="15.75" customHeight="1">
      <c r="A386" s="43" t="s">
        <v>214</v>
      </c>
      <c r="B386" s="312">
        <f>('FTE Pivot Table'!$S$331)*100</f>
        <v>0</v>
      </c>
      <c r="C386" s="312">
        <f>('FTE Pivot Table'!$S$334)*100</f>
        <v>0</v>
      </c>
      <c r="D386" s="130">
        <f>SUM(E386:G386)</f>
        <v>0</v>
      </c>
      <c r="E386" s="312">
        <f>('FTE Pivot Table'!$S$337)*100</f>
        <v>0</v>
      </c>
      <c r="F386" s="312">
        <f>('FTE Pivot Table'!$S$340)*100</f>
        <v>0</v>
      </c>
      <c r="G386" s="314">
        <f>('FTE Pivot Table'!$S$343)*100</f>
        <v>0</v>
      </c>
      <c r="H386" s="312">
        <f>('FTE Pivot Table'!$S$346)*100</f>
        <v>0</v>
      </c>
      <c r="I386" s="43"/>
      <c r="J386" s="129"/>
      <c r="K386" s="129"/>
      <c r="L386" s="129"/>
      <c r="M386" s="129"/>
      <c r="N386" s="129"/>
      <c r="O386" s="129"/>
      <c r="P386" s="129"/>
      <c r="Q386" s="42">
        <f t="shared" si="26"/>
        <v>0</v>
      </c>
      <c r="R386" s="42">
        <f t="shared" si="27"/>
        <v>0</v>
      </c>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row>
    <row r="387" spans="1:41" ht="15.75" customHeight="1">
      <c r="A387" s="43" t="s">
        <v>207</v>
      </c>
      <c r="B387" s="312">
        <f>('FTE Pivot Table'!$S$367)*100</f>
        <v>0</v>
      </c>
      <c r="C387" s="312">
        <f>('FTE Pivot Table'!$S$370)*100</f>
        <v>0</v>
      </c>
      <c r="D387" s="130">
        <f>SUM(E387:G387)</f>
        <v>0</v>
      </c>
      <c r="E387" s="312">
        <f>('FTE Pivot Table'!$S$373)*100</f>
        <v>0</v>
      </c>
      <c r="F387" s="312">
        <f>('FTE Pivot Table'!$S$376)*100</f>
        <v>0</v>
      </c>
      <c r="G387" s="314">
        <f>('FTE Pivot Table'!$S$379)*100</f>
        <v>0</v>
      </c>
      <c r="H387" s="312">
        <f>('FTE Pivot Table'!$S$382)*100</f>
        <v>0</v>
      </c>
      <c r="I387" s="43"/>
      <c r="J387" s="129"/>
      <c r="K387" s="129"/>
      <c r="L387" s="129"/>
      <c r="M387" s="129"/>
      <c r="N387" s="129"/>
      <c r="O387" s="129"/>
      <c r="P387" s="129"/>
      <c r="Q387" s="42">
        <f t="shared" si="26"/>
        <v>0</v>
      </c>
      <c r="R387" s="42">
        <f t="shared" si="27"/>
        <v>0</v>
      </c>
      <c r="S387" s="55"/>
      <c r="T387" s="71"/>
      <c r="U387" s="55"/>
      <c r="V387" s="55"/>
      <c r="W387" s="55"/>
      <c r="X387" s="55"/>
      <c r="Y387" s="55"/>
      <c r="Z387" s="55"/>
      <c r="AA387" s="55"/>
      <c r="AB387" s="55"/>
      <c r="AC387" s="55"/>
      <c r="AD387" s="55"/>
      <c r="AE387" s="55"/>
      <c r="AF387" s="55"/>
      <c r="AG387" s="55"/>
      <c r="AH387" s="55"/>
      <c r="AI387" s="55"/>
      <c r="AJ387" s="55"/>
      <c r="AK387" s="55"/>
      <c r="AL387" s="55"/>
      <c r="AM387" s="55"/>
      <c r="AN387" s="55"/>
      <c r="AO387" s="55"/>
    </row>
    <row r="388" spans="1:41" ht="15.75" customHeight="1">
      <c r="A388" s="43" t="s">
        <v>556</v>
      </c>
      <c r="B388" s="312">
        <f>('FTE Pivot Table'!$S$403)*100</f>
        <v>0</v>
      </c>
      <c r="C388" s="312">
        <f>('FTE Pivot Table'!$S$406)*100</f>
        <v>0</v>
      </c>
      <c r="D388" s="130">
        <f>SUM(E388:G388)</f>
        <v>0</v>
      </c>
      <c r="E388" s="312">
        <f>('FTE Pivot Table'!$S$409)*100</f>
        <v>0</v>
      </c>
      <c r="F388" s="312">
        <f>('FTE Pivot Table'!$S$412)*100</f>
        <v>0</v>
      </c>
      <c r="G388" s="314">
        <f>('FTE Pivot Table'!$S$415)*100</f>
        <v>0</v>
      </c>
      <c r="H388" s="312">
        <f>('FTE Pivot Table'!$S$418)*100</f>
        <v>0</v>
      </c>
      <c r="I388" s="43"/>
      <c r="J388" s="129"/>
      <c r="K388" s="129"/>
      <c r="L388" s="129"/>
      <c r="M388" s="129"/>
      <c r="N388" s="129"/>
      <c r="O388" s="129"/>
      <c r="P388" s="129"/>
      <c r="Q388" s="42">
        <f t="shared" si="26"/>
        <v>0</v>
      </c>
      <c r="R388" s="42">
        <f t="shared" si="27"/>
        <v>0</v>
      </c>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row>
    <row r="389" spans="1:41" ht="15.75" customHeight="1">
      <c r="A389" s="43"/>
      <c r="B389" s="115"/>
      <c r="C389" s="116"/>
      <c r="D389" s="130"/>
      <c r="E389" s="115"/>
      <c r="F389" s="115"/>
      <c r="G389" s="116"/>
      <c r="H389" s="115"/>
      <c r="I389" s="43"/>
      <c r="J389" s="129"/>
      <c r="K389" s="129"/>
      <c r="L389" s="129"/>
      <c r="M389" s="129"/>
      <c r="N389" s="129"/>
      <c r="O389" s="129"/>
      <c r="P389" s="129"/>
      <c r="Q389" s="42">
        <f t="shared" si="26"/>
        <v>0</v>
      </c>
      <c r="R389" s="42">
        <f t="shared" si="27"/>
        <v>0</v>
      </c>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row>
    <row r="390" spans="1:41" ht="15.75" customHeight="1">
      <c r="A390" s="43" t="s">
        <v>557</v>
      </c>
      <c r="B390" s="312">
        <f>('FTE Pivot Table'!$S$439)*100</f>
        <v>0</v>
      </c>
      <c r="C390" s="312">
        <f>('FTE Pivot Table'!$S$442)*100</f>
        <v>0</v>
      </c>
      <c r="D390" s="130">
        <f>SUM(E390:G390)</f>
        <v>0</v>
      </c>
      <c r="E390" s="312">
        <f>('FTE Pivot Table'!$S$445)*100</f>
        <v>0</v>
      </c>
      <c r="F390" s="312">
        <f>('FTE Pivot Table'!$S$448)*100</f>
        <v>0</v>
      </c>
      <c r="G390" s="314">
        <f>('FTE Pivot Table'!$S$451)*100</f>
        <v>0</v>
      </c>
      <c r="H390" s="312">
        <f>('FTE Pivot Table'!$S$454)*100</f>
        <v>0</v>
      </c>
      <c r="I390" s="43"/>
      <c r="J390" s="129"/>
      <c r="K390" s="129"/>
      <c r="L390" s="129"/>
      <c r="M390" s="129"/>
      <c r="N390" s="129"/>
      <c r="O390" s="129"/>
      <c r="P390" s="129"/>
      <c r="Q390" s="42">
        <f t="shared" si="26"/>
        <v>0</v>
      </c>
      <c r="R390" s="42">
        <f t="shared" si="27"/>
        <v>0</v>
      </c>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row>
    <row r="391" spans="1:41" ht="15.75" customHeight="1">
      <c r="A391" s="43" t="s">
        <v>313</v>
      </c>
      <c r="B391" s="312">
        <f>('FTE Pivot Table'!$S$475)*100</f>
        <v>0</v>
      </c>
      <c r="C391" s="312">
        <f>('FTE Pivot Table'!$S$478)*100</f>
        <v>0</v>
      </c>
      <c r="D391" s="130">
        <f>SUM(E391:G391)</f>
        <v>0</v>
      </c>
      <c r="E391" s="312">
        <f>('FTE Pivot Table'!$S$481)*100</f>
        <v>0</v>
      </c>
      <c r="F391" s="312">
        <f>('FTE Pivot Table'!$S$484)*100</f>
        <v>0</v>
      </c>
      <c r="G391" s="314">
        <f>('FTE Pivot Table'!$S$487)*100</f>
        <v>0</v>
      </c>
      <c r="H391" s="312">
        <f>('FTE Pivot Table'!$S$490)*100</f>
        <v>0</v>
      </c>
      <c r="I391" s="43"/>
      <c r="J391" s="129"/>
      <c r="K391" s="129"/>
      <c r="L391" s="129"/>
      <c r="M391" s="129"/>
      <c r="N391" s="129"/>
      <c r="O391" s="129"/>
      <c r="P391" s="129"/>
      <c r="Q391" s="42">
        <f t="shared" si="26"/>
        <v>0</v>
      </c>
      <c r="R391" s="42">
        <f t="shared" si="27"/>
        <v>0</v>
      </c>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row>
    <row r="392" spans="1:41" ht="15.75" customHeight="1">
      <c r="A392" s="43" t="s">
        <v>558</v>
      </c>
      <c r="B392" s="312">
        <f>('FTE Pivot Table'!$S$511)*100</f>
        <v>0</v>
      </c>
      <c r="C392" s="312">
        <f>('FTE Pivot Table'!$S$514)*100</f>
        <v>0</v>
      </c>
      <c r="D392" s="130">
        <f>SUM(E392:G392)</f>
        <v>0</v>
      </c>
      <c r="E392" s="312">
        <f>('FTE Pivot Table'!$S$517)*100</f>
        <v>0</v>
      </c>
      <c r="F392" s="312">
        <f>('FTE Pivot Table'!$S$520)*100</f>
        <v>0</v>
      </c>
      <c r="G392" s="314">
        <f>('FTE Pivot Table'!$S$523)*100</f>
        <v>0</v>
      </c>
      <c r="H392" s="312">
        <f>('FTE Pivot Table'!$S$526)*100</f>
        <v>0</v>
      </c>
      <c r="I392" s="43"/>
      <c r="J392" s="129"/>
      <c r="K392" s="129"/>
      <c r="L392" s="129"/>
      <c r="M392" s="129"/>
      <c r="N392" s="129"/>
      <c r="O392" s="129"/>
      <c r="P392" s="129"/>
      <c r="Q392" s="42">
        <f t="shared" si="26"/>
        <v>0</v>
      </c>
      <c r="R392" s="42">
        <f t="shared" si="27"/>
        <v>0</v>
      </c>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row>
    <row r="393" spans="1:41" ht="15.75" customHeight="1">
      <c r="A393" s="37" t="s">
        <v>208</v>
      </c>
      <c r="B393" s="316">
        <f>('FTE Pivot Table'!$S$547)*100</f>
        <v>0</v>
      </c>
      <c r="C393" s="316">
        <f>('FTE Pivot Table'!$S$550)*100</f>
        <v>0</v>
      </c>
      <c r="D393" s="132">
        <f>SUM(E393:G393)</f>
        <v>0</v>
      </c>
      <c r="E393" s="316">
        <f>('FTE Pivot Table'!$S$553)*100</f>
        <v>0</v>
      </c>
      <c r="F393" s="316">
        <f>('FTE Pivot Table'!$S$556)*100</f>
        <v>0</v>
      </c>
      <c r="G393" s="317">
        <f>('FTE Pivot Table'!$S$559)*100</f>
        <v>0</v>
      </c>
      <c r="H393" s="316">
        <f>('FTE Pivot Table'!$S$562)*100</f>
        <v>0</v>
      </c>
      <c r="I393" s="43"/>
      <c r="J393" s="129"/>
      <c r="K393" s="129"/>
      <c r="L393" s="129"/>
      <c r="M393" s="129"/>
      <c r="N393" s="129"/>
      <c r="O393" s="129"/>
      <c r="P393" s="129"/>
      <c r="Q393" s="42">
        <f t="shared" si="26"/>
        <v>0</v>
      </c>
      <c r="R393" s="42">
        <f t="shared" si="27"/>
        <v>0</v>
      </c>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row>
    <row r="394" spans="1:41" s="76" customFormat="1" ht="18" customHeight="1">
      <c r="A394" s="133" t="s">
        <v>608</v>
      </c>
      <c r="B394" s="80"/>
      <c r="C394" s="80"/>
      <c r="D394" s="81"/>
      <c r="E394" s="80"/>
      <c r="F394" s="81"/>
      <c r="G394" s="81"/>
      <c r="H394" s="80"/>
      <c r="I394" s="133"/>
      <c r="J394" s="80"/>
      <c r="K394" s="80"/>
      <c r="L394" s="81"/>
      <c r="M394" s="80"/>
      <c r="N394" s="81"/>
      <c r="O394" s="81"/>
      <c r="P394" s="80"/>
      <c r="Q394" s="80"/>
      <c r="R394" s="80"/>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row>
    <row r="395" spans="2:41" s="43" customFormat="1" ht="15.75" customHeight="1">
      <c r="B395" s="115"/>
      <c r="C395" s="115"/>
      <c r="D395" s="115"/>
      <c r="E395" s="115"/>
      <c r="F395" s="115"/>
      <c r="G395" s="115"/>
      <c r="H395" s="343" t="s">
        <v>60</v>
      </c>
      <c r="J395" s="129"/>
      <c r="K395" s="129"/>
      <c r="L395" s="129"/>
      <c r="M395" s="129"/>
      <c r="N395" s="129"/>
      <c r="O395" s="129"/>
      <c r="P395" s="129"/>
      <c r="Q395" s="42"/>
      <c r="R395" s="42"/>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c r="AO395" s="136"/>
    </row>
    <row r="396" spans="1:16" ht="18">
      <c r="A396" s="34" t="s">
        <v>584</v>
      </c>
      <c r="B396" s="35"/>
      <c r="C396" s="35"/>
      <c r="D396" s="35"/>
      <c r="E396" s="35"/>
      <c r="F396" s="35"/>
      <c r="G396" s="35"/>
      <c r="H396" s="53"/>
      <c r="I396" s="52"/>
      <c r="J396" s="43"/>
      <c r="K396" s="43"/>
      <c r="L396" s="43"/>
      <c r="M396" s="43"/>
      <c r="N396" s="43"/>
      <c r="O396" s="43"/>
      <c r="P396" s="43"/>
    </row>
    <row r="397" spans="1:16" ht="12.75">
      <c r="A397" s="90"/>
      <c r="B397" s="36"/>
      <c r="C397" s="36"/>
      <c r="D397" s="36"/>
      <c r="E397" s="36"/>
      <c r="F397" s="36"/>
      <c r="G397" s="36"/>
      <c r="H397" s="48"/>
      <c r="I397" s="52"/>
      <c r="J397" s="43"/>
      <c r="K397" s="43"/>
      <c r="L397" s="43"/>
      <c r="M397" s="43"/>
      <c r="N397" s="43"/>
      <c r="O397" s="43"/>
      <c r="P397" s="43"/>
    </row>
    <row r="398" spans="1:16" ht="15.75">
      <c r="A398" s="45" t="s">
        <v>595</v>
      </c>
      <c r="B398" s="36"/>
      <c r="C398" s="36"/>
      <c r="D398" s="36"/>
      <c r="E398" s="36"/>
      <c r="F398" s="36"/>
      <c r="G398" s="36"/>
      <c r="H398" s="48"/>
      <c r="I398" s="52"/>
      <c r="J398" s="43"/>
      <c r="K398" s="43"/>
      <c r="L398" s="43"/>
      <c r="M398" s="43"/>
      <c r="N398" s="43"/>
      <c r="O398" s="43"/>
      <c r="P398" s="43"/>
    </row>
    <row r="399" spans="1:16" ht="15.75">
      <c r="A399" s="45" t="s">
        <v>820</v>
      </c>
      <c r="B399" s="36"/>
      <c r="C399" s="36"/>
      <c r="D399" s="36"/>
      <c r="E399" s="36"/>
      <c r="F399" s="36"/>
      <c r="G399" s="36"/>
      <c r="H399" s="48"/>
      <c r="I399" s="52"/>
      <c r="J399" s="43"/>
      <c r="K399" s="43"/>
      <c r="L399" s="43"/>
      <c r="M399" s="43"/>
      <c r="N399" s="43"/>
      <c r="O399" s="43"/>
      <c r="P399" s="43"/>
    </row>
    <row r="400" spans="1:16" ht="12.75">
      <c r="A400" s="37"/>
      <c r="B400" s="38"/>
      <c r="C400" s="38"/>
      <c r="D400" s="38"/>
      <c r="E400" s="38"/>
      <c r="F400" s="38"/>
      <c r="G400" s="38"/>
      <c r="H400" s="38"/>
      <c r="I400" s="52"/>
      <c r="J400" s="43"/>
      <c r="K400" s="43"/>
      <c r="L400" s="43"/>
      <c r="M400" s="43"/>
      <c r="N400" s="43"/>
      <c r="O400" s="43"/>
      <c r="P400" s="43"/>
    </row>
    <row r="401" spans="1:16" ht="12.75">
      <c r="A401" s="97"/>
      <c r="B401" s="98" t="s">
        <v>315</v>
      </c>
      <c r="C401" s="98"/>
      <c r="D401" s="98"/>
      <c r="E401" s="98"/>
      <c r="F401" s="98"/>
      <c r="G401" s="98"/>
      <c r="H401" s="99"/>
      <c r="I401" s="52"/>
      <c r="J401" s="43"/>
      <c r="K401" s="43"/>
      <c r="L401" s="43"/>
      <c r="M401" s="43"/>
      <c r="N401" s="43"/>
      <c r="O401" s="43"/>
      <c r="P401" s="43"/>
    </row>
    <row r="402" spans="1:16" ht="12.75">
      <c r="A402" s="97"/>
      <c r="B402" s="98" t="s">
        <v>211</v>
      </c>
      <c r="C402" s="98"/>
      <c r="D402" s="421" t="s">
        <v>603</v>
      </c>
      <c r="E402" s="422"/>
      <c r="F402" s="422"/>
      <c r="G402" s="422"/>
      <c r="H402" s="103" t="s">
        <v>73</v>
      </c>
      <c r="I402" s="52"/>
      <c r="J402" s="43"/>
      <c r="K402" s="43"/>
      <c r="L402" s="43"/>
      <c r="M402" s="43"/>
      <c r="N402" s="43"/>
      <c r="O402" s="43"/>
      <c r="P402" s="43"/>
    </row>
    <row r="403" spans="1:16" ht="36">
      <c r="A403" s="97"/>
      <c r="B403" s="104" t="s">
        <v>594</v>
      </c>
      <c r="C403" s="105" t="s">
        <v>593</v>
      </c>
      <c r="D403" s="106" t="s">
        <v>601</v>
      </c>
      <c r="E403" s="107" t="s">
        <v>71</v>
      </c>
      <c r="F403" s="104" t="s">
        <v>212</v>
      </c>
      <c r="G403" s="108" t="s">
        <v>605</v>
      </c>
      <c r="H403" s="109" t="s">
        <v>604</v>
      </c>
      <c r="I403" s="52"/>
      <c r="J403" s="43"/>
      <c r="K403" s="43"/>
      <c r="L403" s="43"/>
      <c r="M403" s="43"/>
      <c r="N403" s="43"/>
      <c r="O403" s="43"/>
      <c r="P403" s="43"/>
    </row>
    <row r="404" spans="1:41" ht="15.75" customHeight="1">
      <c r="A404" s="44" t="s">
        <v>548</v>
      </c>
      <c r="B404" s="312">
        <f>('FTE Pivot Table'!$P$7)*100</f>
        <v>0</v>
      </c>
      <c r="C404" s="312">
        <f>('FTE Pivot Table'!$P$10)*100</f>
        <v>0</v>
      </c>
      <c r="D404" s="130">
        <f>SUM(E404:G404)</f>
        <v>0</v>
      </c>
      <c r="E404" s="312">
        <f>('FTE Pivot Table'!$P$13)*100</f>
        <v>0</v>
      </c>
      <c r="F404" s="312">
        <f>('FTE Pivot Table'!$P$16)*100</f>
        <v>0</v>
      </c>
      <c r="G404" s="313">
        <f>('FTE Pivot Table'!$P$19)*100</f>
        <v>0</v>
      </c>
      <c r="H404" s="312">
        <f>('FTE Pivot Table'!$P$22)*100</f>
        <v>0</v>
      </c>
      <c r="I404" s="43"/>
      <c r="J404" s="129"/>
      <c r="K404" s="129"/>
      <c r="L404" s="129"/>
      <c r="M404" s="129"/>
      <c r="N404" s="129"/>
      <c r="O404" s="129"/>
      <c r="P404" s="129"/>
      <c r="Q404" s="42">
        <f aca="true" t="shared" si="28" ref="Q404:Q422">SUM(B404,C404,D404,H404)</f>
        <v>0</v>
      </c>
      <c r="R404" s="42">
        <f aca="true" t="shared" si="29" ref="R404:R422">SUM(J404,K404,L404,P404)</f>
        <v>0</v>
      </c>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row>
    <row r="405" spans="1:41" ht="15.75" customHeight="1">
      <c r="A405" s="43" t="s">
        <v>549</v>
      </c>
      <c r="B405" s="312">
        <f>('FTE Pivot Table'!$P$43)*100</f>
        <v>0</v>
      </c>
      <c r="C405" s="312">
        <f>('FTE Pivot Table'!$P$46)*100</f>
        <v>0</v>
      </c>
      <c r="D405" s="130">
        <f>SUM(E405:G405)</f>
        <v>0</v>
      </c>
      <c r="E405" s="312">
        <f>('FTE Pivot Table'!$P$49)*100</f>
        <v>0</v>
      </c>
      <c r="F405" s="312">
        <f>('FTE Pivot Table'!$P$52)*100</f>
        <v>0</v>
      </c>
      <c r="G405" s="314">
        <f>('FTE Pivot Table'!$P$55)*100</f>
        <v>0</v>
      </c>
      <c r="H405" s="312">
        <f>('FTE Pivot Table'!$P$58)*100</f>
        <v>0</v>
      </c>
      <c r="I405" s="43"/>
      <c r="J405" s="129"/>
      <c r="K405" s="129"/>
      <c r="L405" s="129"/>
      <c r="M405" s="129"/>
      <c r="N405" s="129"/>
      <c r="O405" s="129"/>
      <c r="P405" s="129"/>
      <c r="Q405" s="42">
        <f t="shared" si="28"/>
        <v>0</v>
      </c>
      <c r="R405" s="42">
        <f t="shared" si="29"/>
        <v>0</v>
      </c>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row>
    <row r="406" spans="1:41" ht="15.75" customHeight="1">
      <c r="A406" s="43" t="s">
        <v>550</v>
      </c>
      <c r="B406" s="312">
        <f>('FTE Pivot Table'!$P$79)*100</f>
        <v>0</v>
      </c>
      <c r="C406" s="312">
        <f>('FTE Pivot Table'!$P$82)*100</f>
        <v>0</v>
      </c>
      <c r="D406" s="130">
        <f>SUM(E406:G406)</f>
        <v>0</v>
      </c>
      <c r="E406" s="312">
        <f>('FTE Pivot Table'!$P$85)*100</f>
        <v>0</v>
      </c>
      <c r="F406" s="312">
        <f>('FTE Pivot Table'!$P$88)*100</f>
        <v>0</v>
      </c>
      <c r="G406" s="314">
        <f>('FTE Pivot Table'!$P$91)*100</f>
        <v>0</v>
      </c>
      <c r="H406" s="312">
        <f>('FTE Pivot Table'!$P$94)*100</f>
        <v>0</v>
      </c>
      <c r="I406" s="43"/>
      <c r="J406" s="129"/>
      <c r="K406" s="129"/>
      <c r="L406" s="129"/>
      <c r="M406" s="129"/>
      <c r="N406" s="129"/>
      <c r="O406" s="129"/>
      <c r="P406" s="129"/>
      <c r="Q406" s="42">
        <f t="shared" si="28"/>
        <v>0</v>
      </c>
      <c r="R406" s="42">
        <f t="shared" si="29"/>
        <v>0</v>
      </c>
      <c r="S406" s="55"/>
      <c r="T406" s="71"/>
      <c r="U406" s="55"/>
      <c r="V406" s="55"/>
      <c r="W406" s="55"/>
      <c r="X406" s="55"/>
      <c r="Y406" s="55"/>
      <c r="Z406" s="55"/>
      <c r="AA406" s="55"/>
      <c r="AB406" s="55"/>
      <c r="AC406" s="55"/>
      <c r="AD406" s="55"/>
      <c r="AE406" s="55"/>
      <c r="AF406" s="55"/>
      <c r="AG406" s="55"/>
      <c r="AH406" s="55"/>
      <c r="AI406" s="55"/>
      <c r="AJ406" s="55"/>
      <c r="AK406" s="55"/>
      <c r="AL406" s="55"/>
      <c r="AM406" s="55"/>
      <c r="AN406" s="55"/>
      <c r="AO406" s="55"/>
    </row>
    <row r="407" spans="1:41" ht="15.75" customHeight="1">
      <c r="A407" s="43" t="s">
        <v>551</v>
      </c>
      <c r="B407" s="312">
        <f>('FTE Pivot Table'!$P$115)*100</f>
        <v>0</v>
      </c>
      <c r="C407" s="312">
        <f>('FTE Pivot Table'!$P$118)*100</f>
        <v>0</v>
      </c>
      <c r="D407" s="130">
        <f>SUM(E407:G407)</f>
        <v>0</v>
      </c>
      <c r="E407" s="312">
        <f>('FTE Pivot Table'!$P$121)*100</f>
        <v>0</v>
      </c>
      <c r="F407" s="312">
        <f>('FTE Pivot Table'!$P$124)*100</f>
        <v>0</v>
      </c>
      <c r="G407" s="314">
        <f>('FTE Pivot Table'!$P$127)*100</f>
        <v>0</v>
      </c>
      <c r="H407" s="312">
        <f>('FTE Pivot Table'!$P$130)*100</f>
        <v>0</v>
      </c>
      <c r="I407" s="43"/>
      <c r="J407" s="129"/>
      <c r="K407" s="129"/>
      <c r="L407" s="129"/>
      <c r="M407" s="129"/>
      <c r="N407" s="129"/>
      <c r="O407" s="129"/>
      <c r="P407" s="129"/>
      <c r="Q407" s="42">
        <f t="shared" si="28"/>
        <v>0</v>
      </c>
      <c r="R407" s="42">
        <f t="shared" si="29"/>
        <v>0</v>
      </c>
      <c r="S407" s="55"/>
      <c r="U407" s="55"/>
      <c r="V407" s="55"/>
      <c r="W407" s="55"/>
      <c r="X407" s="55"/>
      <c r="Y407" s="55"/>
      <c r="Z407" s="55"/>
      <c r="AA407" s="55"/>
      <c r="AB407" s="55"/>
      <c r="AC407" s="55"/>
      <c r="AD407" s="55"/>
      <c r="AE407" s="55"/>
      <c r="AF407" s="55"/>
      <c r="AG407" s="55"/>
      <c r="AH407" s="55"/>
      <c r="AI407" s="55"/>
      <c r="AJ407" s="55"/>
      <c r="AK407" s="55"/>
      <c r="AL407" s="55"/>
      <c r="AM407" s="55"/>
      <c r="AN407" s="55"/>
      <c r="AO407" s="55"/>
    </row>
    <row r="408" spans="1:41" ht="15.75" customHeight="1">
      <c r="A408" s="43"/>
      <c r="B408" s="115"/>
      <c r="C408" s="116"/>
      <c r="D408" s="130"/>
      <c r="E408" s="115"/>
      <c r="F408" s="115"/>
      <c r="G408" s="116"/>
      <c r="H408" s="115"/>
      <c r="I408" s="43"/>
      <c r="J408" s="129"/>
      <c r="K408" s="129"/>
      <c r="L408" s="129"/>
      <c r="M408" s="129"/>
      <c r="N408" s="129"/>
      <c r="O408" s="129"/>
      <c r="P408" s="129"/>
      <c r="Q408" s="42">
        <f t="shared" si="28"/>
        <v>0</v>
      </c>
      <c r="R408" s="42">
        <f t="shared" si="29"/>
        <v>0</v>
      </c>
      <c r="S408" s="55"/>
      <c r="U408" s="55"/>
      <c r="V408" s="55"/>
      <c r="W408" s="55"/>
      <c r="X408" s="55"/>
      <c r="Y408" s="55"/>
      <c r="Z408" s="55"/>
      <c r="AA408" s="55"/>
      <c r="AB408" s="55"/>
      <c r="AC408" s="55"/>
      <c r="AD408" s="55"/>
      <c r="AE408" s="55"/>
      <c r="AF408" s="55"/>
      <c r="AG408" s="55"/>
      <c r="AH408" s="55"/>
      <c r="AI408" s="55"/>
      <c r="AJ408" s="55"/>
      <c r="AK408" s="55"/>
      <c r="AL408" s="55"/>
      <c r="AM408" s="55"/>
      <c r="AN408" s="55"/>
      <c r="AO408" s="55"/>
    </row>
    <row r="409" spans="1:41" ht="15.75" customHeight="1">
      <c r="A409" s="43" t="s">
        <v>552</v>
      </c>
      <c r="B409" s="312">
        <f>('FTE Pivot Table'!$P$151)*100</f>
        <v>88.79118692503421</v>
      </c>
      <c r="C409" s="312">
        <f>('FTE Pivot Table'!$P$154)*100</f>
        <v>0</v>
      </c>
      <c r="D409" s="130">
        <f>SUM(E409:G409)</f>
        <v>11.208813074965795</v>
      </c>
      <c r="E409" s="312">
        <f>('FTE Pivot Table'!$P$157)*100</f>
        <v>11.18586313424487</v>
      </c>
      <c r="F409" s="315">
        <f>('FTE Pivot Table'!$P$160)*100</f>
        <v>0.022949940720923385</v>
      </c>
      <c r="G409" s="314">
        <f>('FTE Pivot Table'!$P$163)*100</f>
        <v>0</v>
      </c>
      <c r="H409" s="312">
        <f>('FTE Pivot Table'!$P$166)*100</f>
        <v>0</v>
      </c>
      <c r="I409" s="43"/>
      <c r="J409" s="129"/>
      <c r="K409" s="129"/>
      <c r="L409" s="129"/>
      <c r="M409" s="129"/>
      <c r="N409" s="129"/>
      <c r="O409" s="129"/>
      <c r="P409" s="129"/>
      <c r="Q409" s="42">
        <f t="shared" si="28"/>
        <v>100</v>
      </c>
      <c r="R409" s="42">
        <f t="shared" si="29"/>
        <v>0</v>
      </c>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row>
    <row r="410" spans="1:41" ht="15.75" customHeight="1">
      <c r="A410" s="43" t="s">
        <v>553</v>
      </c>
      <c r="B410" s="312">
        <f>('FTE Pivot Table'!$P$187)*100</f>
        <v>92.96892193997522</v>
      </c>
      <c r="C410" s="312">
        <f>('FTE Pivot Table'!$P$190)*100</f>
        <v>0.14189572691153815</v>
      </c>
      <c r="D410" s="130">
        <f>SUM(E410:G410)</f>
        <v>6.88918233311325</v>
      </c>
      <c r="E410" s="312">
        <f>('FTE Pivot Table'!$P$193)*100</f>
        <v>6.88918233311325</v>
      </c>
      <c r="F410" s="312">
        <f>('FTE Pivot Table'!$P$196)*100</f>
        <v>0</v>
      </c>
      <c r="G410" s="314">
        <f>('FTE Pivot Table'!$P$199)*100</f>
        <v>0</v>
      </c>
      <c r="H410" s="312">
        <f>('FTE Pivot Table'!$P$202)*100</f>
        <v>0</v>
      </c>
      <c r="I410" s="43"/>
      <c r="J410" s="129"/>
      <c r="K410" s="129"/>
      <c r="L410" s="129"/>
      <c r="M410" s="129"/>
      <c r="N410" s="129"/>
      <c r="O410" s="129"/>
      <c r="P410" s="129"/>
      <c r="Q410" s="42">
        <f t="shared" si="28"/>
        <v>100.00000000000001</v>
      </c>
      <c r="R410" s="42">
        <f t="shared" si="29"/>
        <v>0</v>
      </c>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row>
    <row r="411" spans="1:41" ht="15.75" customHeight="1">
      <c r="A411" s="43" t="s">
        <v>554</v>
      </c>
      <c r="B411" s="312">
        <f>('FTE Pivot Table'!$P$223)*100</f>
        <v>99.45520135463447</v>
      </c>
      <c r="C411" s="312">
        <f>('FTE Pivot Table'!$P$226)*100</f>
        <v>0.5447986453655305</v>
      </c>
      <c r="D411" s="130">
        <f>SUM(E411:G411)</f>
        <v>0</v>
      </c>
      <c r="E411" s="312">
        <f>('FTE Pivot Table'!$P$229)*100</f>
        <v>0</v>
      </c>
      <c r="F411" s="312">
        <f>('FTE Pivot Table'!$P$232)*100</f>
        <v>0</v>
      </c>
      <c r="G411" s="314">
        <f>('FTE Pivot Table'!$P$235)*100</f>
        <v>0</v>
      </c>
      <c r="H411" s="312">
        <f>('FTE Pivot Table'!$P$238)*100</f>
        <v>0</v>
      </c>
      <c r="I411" s="43"/>
      <c r="J411" s="129"/>
      <c r="K411" s="129"/>
      <c r="L411" s="129"/>
      <c r="M411" s="129"/>
      <c r="N411" s="129"/>
      <c r="O411" s="129"/>
      <c r="P411" s="129"/>
      <c r="Q411" s="42">
        <f t="shared" si="28"/>
        <v>100</v>
      </c>
      <c r="R411" s="42">
        <f t="shared" si="29"/>
        <v>0</v>
      </c>
      <c r="S411" s="55"/>
      <c r="T411" s="71"/>
      <c r="U411" s="55"/>
      <c r="V411" s="55"/>
      <c r="W411" s="55"/>
      <c r="X411" s="55"/>
      <c r="Y411" s="55"/>
      <c r="Z411" s="55"/>
      <c r="AA411" s="55"/>
      <c r="AB411" s="55"/>
      <c r="AC411" s="55"/>
      <c r="AD411" s="55"/>
      <c r="AE411" s="55"/>
      <c r="AF411" s="55"/>
      <c r="AG411" s="55"/>
      <c r="AH411" s="55"/>
      <c r="AI411" s="55"/>
      <c r="AJ411" s="55"/>
      <c r="AK411" s="55"/>
      <c r="AL411" s="55"/>
      <c r="AM411" s="55"/>
      <c r="AN411" s="55"/>
      <c r="AO411" s="55"/>
    </row>
    <row r="412" spans="1:41" ht="15.75" customHeight="1">
      <c r="A412" s="43" t="s">
        <v>555</v>
      </c>
      <c r="B412" s="312">
        <f>('FTE Pivot Table'!$P$259)*100</f>
        <v>0</v>
      </c>
      <c r="C412" s="312">
        <f>('FTE Pivot Table'!$P$262)*100</f>
        <v>0</v>
      </c>
      <c r="D412" s="130">
        <f>SUM(E412:G412)</f>
        <v>0</v>
      </c>
      <c r="E412" s="312">
        <f>('FTE Pivot Table'!$P$265)*100</f>
        <v>0</v>
      </c>
      <c r="F412" s="312">
        <f>('FTE Pivot Table'!$P$268)*100</f>
        <v>0</v>
      </c>
      <c r="G412" s="314">
        <f>('FTE Pivot Table'!$P$271)*100</f>
        <v>0</v>
      </c>
      <c r="H412" s="312">
        <f>('FTE Pivot Table'!$P$274)*100</f>
        <v>0</v>
      </c>
      <c r="I412" s="43"/>
      <c r="J412" s="129"/>
      <c r="K412" s="129"/>
      <c r="L412" s="129"/>
      <c r="M412" s="129"/>
      <c r="N412" s="129"/>
      <c r="O412" s="129"/>
      <c r="P412" s="129"/>
      <c r="Q412" s="42">
        <f t="shared" si="28"/>
        <v>0</v>
      </c>
      <c r="R412" s="42">
        <f t="shared" si="29"/>
        <v>0</v>
      </c>
      <c r="S412" s="55"/>
      <c r="U412" s="55"/>
      <c r="V412" s="55"/>
      <c r="W412" s="55"/>
      <c r="X412" s="55"/>
      <c r="Y412" s="55"/>
      <c r="Z412" s="55"/>
      <c r="AA412" s="55"/>
      <c r="AB412" s="55"/>
      <c r="AC412" s="55"/>
      <c r="AD412" s="55"/>
      <c r="AE412" s="55"/>
      <c r="AF412" s="55"/>
      <c r="AG412" s="55"/>
      <c r="AH412" s="55"/>
      <c r="AI412" s="55"/>
      <c r="AJ412" s="55"/>
      <c r="AK412" s="55"/>
      <c r="AL412" s="55"/>
      <c r="AM412" s="55"/>
      <c r="AN412" s="55"/>
      <c r="AO412" s="55"/>
    </row>
    <row r="413" spans="1:41" ht="15.75" customHeight="1">
      <c r="A413" s="43"/>
      <c r="B413" s="115"/>
      <c r="C413" s="116"/>
      <c r="D413" s="130"/>
      <c r="E413" s="115"/>
      <c r="F413" s="115"/>
      <c r="G413" s="116"/>
      <c r="H413" s="115"/>
      <c r="I413" s="43"/>
      <c r="J413" s="129"/>
      <c r="K413" s="129"/>
      <c r="L413" s="129"/>
      <c r="M413" s="129"/>
      <c r="N413" s="129"/>
      <c r="O413" s="129"/>
      <c r="P413" s="129"/>
      <c r="Q413" s="42">
        <f t="shared" si="28"/>
        <v>0</v>
      </c>
      <c r="R413" s="42">
        <f t="shared" si="29"/>
        <v>0</v>
      </c>
      <c r="S413" s="55"/>
      <c r="U413" s="55"/>
      <c r="V413" s="55"/>
      <c r="W413" s="55"/>
      <c r="X413" s="55"/>
      <c r="Y413" s="55"/>
      <c r="Z413" s="55"/>
      <c r="AA413" s="55"/>
      <c r="AB413" s="55"/>
      <c r="AC413" s="55"/>
      <c r="AD413" s="55"/>
      <c r="AE413" s="55"/>
      <c r="AF413" s="55"/>
      <c r="AG413" s="55"/>
      <c r="AH413" s="55"/>
      <c r="AI413" s="55"/>
      <c r="AJ413" s="55"/>
      <c r="AK413" s="55"/>
      <c r="AL413" s="55"/>
      <c r="AM413" s="55"/>
      <c r="AN413" s="55"/>
      <c r="AO413" s="55"/>
    </row>
    <row r="414" spans="1:41" ht="15.75" customHeight="1">
      <c r="A414" s="43" t="s">
        <v>206</v>
      </c>
      <c r="B414" s="312">
        <f>('FTE Pivot Table'!$P$295)*100</f>
        <v>0</v>
      </c>
      <c r="C414" s="312">
        <f>('FTE Pivot Table'!$P$298)*100</f>
        <v>0</v>
      </c>
      <c r="D414" s="130">
        <f>SUM(E414:G414)</f>
        <v>0</v>
      </c>
      <c r="E414" s="312">
        <f>('FTE Pivot Table'!$P$301)*100</f>
        <v>0</v>
      </c>
      <c r="F414" s="312">
        <f>('FTE Pivot Table'!$P$304)*100</f>
        <v>0</v>
      </c>
      <c r="G414" s="314">
        <f>('FTE Pivot Table'!$P$307)*100</f>
        <v>0</v>
      </c>
      <c r="H414" s="312">
        <f>('FTE Pivot Table'!$P$310)*100</f>
        <v>0</v>
      </c>
      <c r="I414" s="43"/>
      <c r="J414" s="129"/>
      <c r="K414" s="129"/>
      <c r="L414" s="129"/>
      <c r="M414" s="129"/>
      <c r="N414" s="129"/>
      <c r="O414" s="129"/>
      <c r="P414" s="129"/>
      <c r="Q414" s="42">
        <f t="shared" si="28"/>
        <v>0</v>
      </c>
      <c r="R414" s="42">
        <f t="shared" si="29"/>
        <v>0</v>
      </c>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row>
    <row r="415" spans="1:41" ht="15.75" customHeight="1">
      <c r="A415" s="43" t="s">
        <v>214</v>
      </c>
      <c r="B415" s="312">
        <f>('FTE Pivot Table'!$P$331)*100</f>
        <v>0</v>
      </c>
      <c r="C415" s="312">
        <f>('FTE Pivot Table'!$P$334)*100</f>
        <v>0</v>
      </c>
      <c r="D415" s="130">
        <f>SUM(E415:G415)</f>
        <v>0</v>
      </c>
      <c r="E415" s="312">
        <f>('FTE Pivot Table'!$P$337)*100</f>
        <v>0</v>
      </c>
      <c r="F415" s="312">
        <f>('FTE Pivot Table'!$P$340)*100</f>
        <v>0</v>
      </c>
      <c r="G415" s="314">
        <f>('FTE Pivot Table'!$P$343)*100</f>
        <v>0</v>
      </c>
      <c r="H415" s="312">
        <f>('FTE Pivot Table'!$P$346)*100</f>
        <v>0</v>
      </c>
      <c r="I415" s="43"/>
      <c r="J415" s="129"/>
      <c r="K415" s="129"/>
      <c r="L415" s="129"/>
      <c r="M415" s="129"/>
      <c r="N415" s="129"/>
      <c r="O415" s="129"/>
      <c r="P415" s="129"/>
      <c r="Q415" s="42">
        <f t="shared" si="28"/>
        <v>0</v>
      </c>
      <c r="R415" s="42">
        <f t="shared" si="29"/>
        <v>0</v>
      </c>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row>
    <row r="416" spans="1:41" ht="15.75" customHeight="1">
      <c r="A416" s="43" t="s">
        <v>207</v>
      </c>
      <c r="B416" s="312">
        <f>('FTE Pivot Table'!$P$367)*100</f>
        <v>0</v>
      </c>
      <c r="C416" s="312">
        <f>('FTE Pivot Table'!$P$370)*100</f>
        <v>0</v>
      </c>
      <c r="D416" s="130">
        <f>SUM(E416:G416)</f>
        <v>0</v>
      </c>
      <c r="E416" s="312">
        <f>('FTE Pivot Table'!$P$373)*100</f>
        <v>0</v>
      </c>
      <c r="F416" s="312">
        <f>('FTE Pivot Table'!$P$376)*100</f>
        <v>0</v>
      </c>
      <c r="G416" s="314">
        <f>('FTE Pivot Table'!$P$379)*100</f>
        <v>0</v>
      </c>
      <c r="H416" s="312">
        <f>('FTE Pivot Table'!$P$382)*100</f>
        <v>0</v>
      </c>
      <c r="I416" s="43"/>
      <c r="J416" s="129"/>
      <c r="K416" s="129"/>
      <c r="L416" s="129"/>
      <c r="M416" s="129"/>
      <c r="N416" s="129"/>
      <c r="O416" s="129"/>
      <c r="P416" s="129"/>
      <c r="Q416" s="42">
        <f t="shared" si="28"/>
        <v>0</v>
      </c>
      <c r="R416" s="42">
        <f t="shared" si="29"/>
        <v>0</v>
      </c>
      <c r="S416" s="55"/>
      <c r="T416" s="71"/>
      <c r="U416" s="55"/>
      <c r="V416" s="55"/>
      <c r="W416" s="55"/>
      <c r="X416" s="55"/>
      <c r="Y416" s="55"/>
      <c r="Z416" s="55"/>
      <c r="AA416" s="55"/>
      <c r="AB416" s="55"/>
      <c r="AC416" s="55"/>
      <c r="AD416" s="55"/>
      <c r="AE416" s="55"/>
      <c r="AF416" s="55"/>
      <c r="AG416" s="55"/>
      <c r="AH416" s="55"/>
      <c r="AI416" s="55"/>
      <c r="AJ416" s="55"/>
      <c r="AK416" s="55"/>
      <c r="AL416" s="55"/>
      <c r="AM416" s="55"/>
      <c r="AN416" s="55"/>
      <c r="AO416" s="55"/>
    </row>
    <row r="417" spans="1:41" ht="15.75" customHeight="1">
      <c r="A417" s="43" t="s">
        <v>556</v>
      </c>
      <c r="B417" s="312">
        <f>('FTE Pivot Table'!$P$403)*100</f>
        <v>0</v>
      </c>
      <c r="C417" s="312">
        <f>('FTE Pivot Table'!$P$406)*100</f>
        <v>0</v>
      </c>
      <c r="D417" s="130">
        <f>SUM(E417:G417)</f>
        <v>0</v>
      </c>
      <c r="E417" s="312">
        <f>('FTE Pivot Table'!$P$409)*100</f>
        <v>0</v>
      </c>
      <c r="F417" s="312">
        <f>('FTE Pivot Table'!$P$412)*100</f>
        <v>0</v>
      </c>
      <c r="G417" s="314">
        <f>('FTE Pivot Table'!$P$415)*100</f>
        <v>0</v>
      </c>
      <c r="H417" s="312">
        <f>('FTE Pivot Table'!$P$418)*100</f>
        <v>0</v>
      </c>
      <c r="I417" s="43"/>
      <c r="J417" s="129"/>
      <c r="K417" s="129"/>
      <c r="L417" s="129"/>
      <c r="M417" s="129"/>
      <c r="N417" s="129"/>
      <c r="O417" s="129"/>
      <c r="P417" s="129"/>
      <c r="Q417" s="42">
        <f t="shared" si="28"/>
        <v>0</v>
      </c>
      <c r="R417" s="42">
        <f t="shared" si="29"/>
        <v>0</v>
      </c>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row>
    <row r="418" spans="1:41" ht="15.75" customHeight="1">
      <c r="A418" s="43"/>
      <c r="B418" s="115"/>
      <c r="C418" s="116"/>
      <c r="D418" s="130"/>
      <c r="E418" s="115"/>
      <c r="F418" s="115"/>
      <c r="G418" s="116"/>
      <c r="H418" s="115"/>
      <c r="I418" s="43"/>
      <c r="J418" s="129"/>
      <c r="K418" s="129"/>
      <c r="L418" s="129"/>
      <c r="M418" s="129"/>
      <c r="N418" s="129"/>
      <c r="O418" s="129"/>
      <c r="P418" s="129"/>
      <c r="Q418" s="42">
        <f t="shared" si="28"/>
        <v>0</v>
      </c>
      <c r="R418" s="42">
        <f t="shared" si="29"/>
        <v>0</v>
      </c>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row>
    <row r="419" spans="1:41" ht="15.75" customHeight="1">
      <c r="A419" s="43" t="s">
        <v>557</v>
      </c>
      <c r="B419" s="312">
        <f>('FTE Pivot Table'!$P$439)*100</f>
        <v>0</v>
      </c>
      <c r="C419" s="312">
        <f>('FTE Pivot Table'!$P$442)*100</f>
        <v>0</v>
      </c>
      <c r="D419" s="130">
        <f>SUM(E419:G419)</f>
        <v>0</v>
      </c>
      <c r="E419" s="312">
        <f>('FTE Pivot Table'!$P$445)*100</f>
        <v>0</v>
      </c>
      <c r="F419" s="312">
        <f>('FTE Pivot Table'!$P$448)*100</f>
        <v>0</v>
      </c>
      <c r="G419" s="314">
        <f>('FTE Pivot Table'!$P$451)*100</f>
        <v>0</v>
      </c>
      <c r="H419" s="312">
        <f>('FTE Pivot Table'!$P$454)*100</f>
        <v>0</v>
      </c>
      <c r="I419" s="43"/>
      <c r="J419" s="129"/>
      <c r="K419" s="129"/>
      <c r="L419" s="129"/>
      <c r="M419" s="129"/>
      <c r="N419" s="129"/>
      <c r="O419" s="129"/>
      <c r="P419" s="129"/>
      <c r="Q419" s="42">
        <f t="shared" si="28"/>
        <v>0</v>
      </c>
      <c r="R419" s="42">
        <f t="shared" si="29"/>
        <v>0</v>
      </c>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row>
    <row r="420" spans="1:41" ht="15.75" customHeight="1">
      <c r="A420" s="43" t="s">
        <v>313</v>
      </c>
      <c r="B420" s="312">
        <f>('FTE Pivot Table'!$P$475)*100</f>
        <v>0</v>
      </c>
      <c r="C420" s="312">
        <f>('FTE Pivot Table'!$P$478)*100</f>
        <v>0</v>
      </c>
      <c r="D420" s="130">
        <f>SUM(E420:G420)</f>
        <v>0</v>
      </c>
      <c r="E420" s="312">
        <f>('FTE Pivot Table'!$P$481)*100</f>
        <v>0</v>
      </c>
      <c r="F420" s="312">
        <f>('FTE Pivot Table'!$P$484)*100</f>
        <v>0</v>
      </c>
      <c r="G420" s="314">
        <f>('FTE Pivot Table'!$P$487)*100</f>
        <v>0</v>
      </c>
      <c r="H420" s="312">
        <f>('FTE Pivot Table'!$P$490)*100</f>
        <v>0</v>
      </c>
      <c r="I420" s="43"/>
      <c r="J420" s="129"/>
      <c r="K420" s="129"/>
      <c r="L420" s="129"/>
      <c r="M420" s="129"/>
      <c r="N420" s="129"/>
      <c r="O420" s="129"/>
      <c r="P420" s="129"/>
      <c r="Q420" s="42">
        <f t="shared" si="28"/>
        <v>0</v>
      </c>
      <c r="R420" s="42">
        <f t="shared" si="29"/>
        <v>0</v>
      </c>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row>
    <row r="421" spans="1:41" ht="15.75" customHeight="1">
      <c r="A421" s="43" t="s">
        <v>558</v>
      </c>
      <c r="B421" s="312">
        <f>('FTE Pivot Table'!$P$511)*100</f>
        <v>0</v>
      </c>
      <c r="C421" s="312">
        <f>('FTE Pivot Table'!$P$514)*100</f>
        <v>0</v>
      </c>
      <c r="D421" s="130">
        <f>SUM(E421:G421)</f>
        <v>0</v>
      </c>
      <c r="E421" s="312">
        <f>('FTE Pivot Table'!$P$517)*100</f>
        <v>0</v>
      </c>
      <c r="F421" s="312">
        <f>('FTE Pivot Table'!$P$520)*100</f>
        <v>0</v>
      </c>
      <c r="G421" s="314">
        <f>('FTE Pivot Table'!$P$523)*100</f>
        <v>0</v>
      </c>
      <c r="H421" s="312">
        <f>('FTE Pivot Table'!$P$526)*100</f>
        <v>0</v>
      </c>
      <c r="I421" s="43"/>
      <c r="J421" s="129"/>
      <c r="K421" s="129"/>
      <c r="L421" s="129"/>
      <c r="M421" s="129"/>
      <c r="N421" s="129"/>
      <c r="O421" s="129"/>
      <c r="P421" s="129"/>
      <c r="Q421" s="42">
        <f t="shared" si="28"/>
        <v>0</v>
      </c>
      <c r="R421" s="42">
        <f t="shared" si="29"/>
        <v>0</v>
      </c>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row>
    <row r="422" spans="1:41" ht="15.75" customHeight="1">
      <c r="A422" s="37" t="s">
        <v>208</v>
      </c>
      <c r="B422" s="316">
        <f>('FTE Pivot Table'!$P$547)*100</f>
        <v>0</v>
      </c>
      <c r="C422" s="316">
        <f>('FTE Pivot Table'!$P$550)*100</f>
        <v>0</v>
      </c>
      <c r="D422" s="132">
        <f>SUM(E422:G422)</f>
        <v>0</v>
      </c>
      <c r="E422" s="316">
        <f>('FTE Pivot Table'!$P$553)*100</f>
        <v>0</v>
      </c>
      <c r="F422" s="316">
        <f>('FTE Pivot Table'!$P$556)*100</f>
        <v>0</v>
      </c>
      <c r="G422" s="317">
        <f>('FTE Pivot Table'!$P$559)*100</f>
        <v>0</v>
      </c>
      <c r="H422" s="316">
        <f>('FTE Pivot Table'!$P$562)*100</f>
        <v>0</v>
      </c>
      <c r="I422" s="43"/>
      <c r="J422" s="129"/>
      <c r="K422" s="129"/>
      <c r="L422" s="129"/>
      <c r="M422" s="129"/>
      <c r="N422" s="129"/>
      <c r="O422" s="129"/>
      <c r="P422" s="129"/>
      <c r="Q422" s="42">
        <f t="shared" si="28"/>
        <v>0</v>
      </c>
      <c r="R422" s="42">
        <f t="shared" si="29"/>
        <v>0</v>
      </c>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row>
    <row r="423" spans="1:41" s="76" customFormat="1" ht="18" customHeight="1">
      <c r="A423" s="133" t="s">
        <v>608</v>
      </c>
      <c r="B423" s="80"/>
      <c r="C423" s="80"/>
      <c r="D423" s="81"/>
      <c r="E423" s="80"/>
      <c r="F423" s="81"/>
      <c r="G423" s="81"/>
      <c r="H423" s="80"/>
      <c r="I423" s="133"/>
      <c r="J423" s="80"/>
      <c r="K423" s="80"/>
      <c r="L423" s="81"/>
      <c r="M423" s="80"/>
      <c r="N423" s="81"/>
      <c r="O423" s="81"/>
      <c r="P423" s="80"/>
      <c r="Q423" s="80"/>
      <c r="R423" s="80"/>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row>
    <row r="424" spans="1:18" s="76" customFormat="1" ht="13.5" customHeight="1">
      <c r="A424" s="133"/>
      <c r="B424" s="75"/>
      <c r="H424" s="343"/>
      <c r="I424" s="133"/>
      <c r="P424" s="77"/>
      <c r="Q424" s="78"/>
      <c r="R424" s="79"/>
    </row>
    <row r="425" spans="1:18" s="76" customFormat="1" ht="13.5" customHeight="1">
      <c r="A425" s="134"/>
      <c r="H425" s="343" t="s">
        <v>60</v>
      </c>
      <c r="I425" s="134"/>
      <c r="Q425" s="78"/>
      <c r="R425" s="79"/>
    </row>
    <row r="426" spans="1:16" ht="17.25" customHeight="1">
      <c r="A426" s="74"/>
      <c r="B426" s="80"/>
      <c r="C426" s="80"/>
      <c r="D426" s="81"/>
      <c r="E426" s="80"/>
      <c r="F426" s="81"/>
      <c r="G426" s="81"/>
      <c r="H426" s="80"/>
      <c r="I426" s="52"/>
      <c r="J426" s="43"/>
      <c r="K426" s="43"/>
      <c r="L426" s="43"/>
      <c r="M426" s="43"/>
      <c r="N426" s="43"/>
      <c r="O426" s="43"/>
      <c r="P426" s="43"/>
    </row>
    <row r="427" spans="1:16" ht="18">
      <c r="A427" s="34" t="s">
        <v>585</v>
      </c>
      <c r="B427" s="35"/>
      <c r="C427" s="35"/>
      <c r="D427" s="35"/>
      <c r="E427" s="35"/>
      <c r="F427" s="35"/>
      <c r="G427" s="35"/>
      <c r="H427" s="53"/>
      <c r="I427" s="52"/>
      <c r="J427" s="43"/>
      <c r="K427" s="43"/>
      <c r="L427" s="43"/>
      <c r="M427" s="43"/>
      <c r="N427" s="43"/>
      <c r="O427" s="43"/>
      <c r="P427" s="43"/>
    </row>
    <row r="428" spans="1:16" ht="12.75">
      <c r="A428" s="90"/>
      <c r="B428" s="36"/>
      <c r="C428" s="36"/>
      <c r="D428" s="36"/>
      <c r="E428" s="36"/>
      <c r="F428" s="36"/>
      <c r="G428" s="36"/>
      <c r="H428" s="48"/>
      <c r="I428" s="52"/>
      <c r="J428" s="43"/>
      <c r="K428" s="43"/>
      <c r="L428" s="43"/>
      <c r="M428" s="43"/>
      <c r="N428" s="43"/>
      <c r="O428" s="43"/>
      <c r="P428" s="43"/>
    </row>
    <row r="429" spans="1:16" ht="15.75">
      <c r="A429" s="45" t="s">
        <v>595</v>
      </c>
      <c r="B429" s="36"/>
      <c r="C429" s="36"/>
      <c r="D429" s="36"/>
      <c r="E429" s="36"/>
      <c r="F429" s="36"/>
      <c r="G429" s="36"/>
      <c r="H429" s="48"/>
      <c r="I429" s="52"/>
      <c r="J429" s="43"/>
      <c r="K429" s="43"/>
      <c r="L429" s="43"/>
      <c r="M429" s="43"/>
      <c r="N429" s="43"/>
      <c r="O429" s="43"/>
      <c r="P429" s="43"/>
    </row>
    <row r="430" spans="1:16" ht="15.75">
      <c r="A430" s="45" t="s">
        <v>821</v>
      </c>
      <c r="B430" s="36"/>
      <c r="C430" s="36"/>
      <c r="D430" s="36"/>
      <c r="E430" s="36"/>
      <c r="F430" s="36"/>
      <c r="G430" s="36"/>
      <c r="H430" s="48"/>
      <c r="I430" s="52"/>
      <c r="J430" s="43"/>
      <c r="K430" s="43"/>
      <c r="L430" s="43"/>
      <c r="M430" s="43"/>
      <c r="N430" s="43"/>
      <c r="O430" s="43"/>
      <c r="P430" s="43"/>
    </row>
    <row r="431" spans="1:16" ht="12.75">
      <c r="A431" s="37"/>
      <c r="B431" s="38"/>
      <c r="C431" s="38"/>
      <c r="D431" s="38"/>
      <c r="E431" s="38"/>
      <c r="F431" s="38"/>
      <c r="G431" s="38"/>
      <c r="H431" s="38"/>
      <c r="I431" s="52"/>
      <c r="J431" s="43"/>
      <c r="K431" s="43"/>
      <c r="L431" s="43"/>
      <c r="M431" s="43"/>
      <c r="N431" s="43"/>
      <c r="O431" s="43"/>
      <c r="P431" s="43"/>
    </row>
    <row r="432" spans="1:16" ht="12.75">
      <c r="A432" s="97"/>
      <c r="B432" s="98" t="s">
        <v>315</v>
      </c>
      <c r="C432" s="98"/>
      <c r="D432" s="98"/>
      <c r="E432" s="98"/>
      <c r="F432" s="98"/>
      <c r="G432" s="98"/>
      <c r="H432" s="99"/>
      <c r="I432" s="52"/>
      <c r="J432" s="43"/>
      <c r="K432" s="43"/>
      <c r="L432" s="43"/>
      <c r="M432" s="43"/>
      <c r="N432" s="43"/>
      <c r="O432" s="43"/>
      <c r="P432" s="43"/>
    </row>
    <row r="433" spans="1:16" ht="12.75">
      <c r="A433" s="97"/>
      <c r="B433" s="98" t="s">
        <v>211</v>
      </c>
      <c r="C433" s="98"/>
      <c r="D433" s="421" t="s">
        <v>603</v>
      </c>
      <c r="E433" s="422"/>
      <c r="F433" s="422"/>
      <c r="G433" s="422"/>
      <c r="H433" s="103" t="s">
        <v>73</v>
      </c>
      <c r="I433" s="52"/>
      <c r="J433" s="43"/>
      <c r="K433" s="43"/>
      <c r="L433" s="43"/>
      <c r="M433" s="43"/>
      <c r="N433" s="43"/>
      <c r="O433" s="43"/>
      <c r="P433" s="43"/>
    </row>
    <row r="434" spans="1:16" ht="36">
      <c r="A434" s="97"/>
      <c r="B434" s="104" t="s">
        <v>594</v>
      </c>
      <c r="C434" s="105" t="s">
        <v>593</v>
      </c>
      <c r="D434" s="106" t="s">
        <v>601</v>
      </c>
      <c r="E434" s="107" t="s">
        <v>71</v>
      </c>
      <c r="F434" s="104" t="s">
        <v>212</v>
      </c>
      <c r="G434" s="108" t="s">
        <v>605</v>
      </c>
      <c r="H434" s="109" t="s">
        <v>604</v>
      </c>
      <c r="I434" s="52"/>
      <c r="J434" s="43"/>
      <c r="K434" s="43"/>
      <c r="L434" s="43"/>
      <c r="M434" s="43"/>
      <c r="N434" s="43"/>
      <c r="O434" s="43"/>
      <c r="P434" s="43"/>
    </row>
    <row r="435" spans="1:41" ht="15.75" customHeight="1">
      <c r="A435" s="44" t="s">
        <v>548</v>
      </c>
      <c r="B435" s="312">
        <f>('FTE Pivot Table'!$Q$7)*100</f>
        <v>0</v>
      </c>
      <c r="C435" s="312">
        <f>('FTE Pivot Table'!$Q$10)*100</f>
        <v>0</v>
      </c>
      <c r="D435" s="130">
        <f>SUM(E435:G435)</f>
        <v>0</v>
      </c>
      <c r="E435" s="312">
        <f>('FTE Pivot Table'!$Q$13)*100</f>
        <v>0</v>
      </c>
      <c r="F435" s="312">
        <f>('FTE Pivot Table'!$Q$16)*100</f>
        <v>0</v>
      </c>
      <c r="G435" s="313">
        <f>('FTE Pivot Table'!$Q$19)*100</f>
        <v>0</v>
      </c>
      <c r="H435" s="312">
        <f>('FTE Pivot Table'!$Q$22)*100</f>
        <v>0</v>
      </c>
      <c r="I435" s="43"/>
      <c r="J435" s="129"/>
      <c r="K435" s="129"/>
      <c r="L435" s="129"/>
      <c r="M435" s="129"/>
      <c r="N435" s="129"/>
      <c r="O435" s="129"/>
      <c r="P435" s="129"/>
      <c r="Q435" s="42">
        <f aca="true" t="shared" si="30" ref="Q435:Q453">SUM(B435,C435,D435,H435)</f>
        <v>0</v>
      </c>
      <c r="R435" s="42">
        <f aca="true" t="shared" si="31" ref="R435:R453">SUM(J435,K435,L435,P435)</f>
        <v>0</v>
      </c>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row>
    <row r="436" spans="1:41" ht="15.75" customHeight="1">
      <c r="A436" s="43" t="s">
        <v>549</v>
      </c>
      <c r="B436" s="312">
        <f>('FTE Pivot Table'!$Q$43)*100</f>
        <v>0</v>
      </c>
      <c r="C436" s="312">
        <f>('FTE Pivot Table'!$Q$46)*100</f>
        <v>0</v>
      </c>
      <c r="D436" s="130">
        <f>SUM(E436:G436)</f>
        <v>0</v>
      </c>
      <c r="E436" s="312">
        <f>('FTE Pivot Table'!$Q$49)*100</f>
        <v>0</v>
      </c>
      <c r="F436" s="312">
        <f>('FTE Pivot Table'!$Q$52)*100</f>
        <v>0</v>
      </c>
      <c r="G436" s="314">
        <f>('FTE Pivot Table'!$Q$55)*100</f>
        <v>0</v>
      </c>
      <c r="H436" s="312">
        <f>('FTE Pivot Table'!$Q$58)*100</f>
        <v>0</v>
      </c>
      <c r="I436" s="43"/>
      <c r="J436" s="129"/>
      <c r="K436" s="129"/>
      <c r="L436" s="129"/>
      <c r="M436" s="129"/>
      <c r="N436" s="129"/>
      <c r="O436" s="129"/>
      <c r="P436" s="129"/>
      <c r="Q436" s="42">
        <f t="shared" si="30"/>
        <v>0</v>
      </c>
      <c r="R436" s="42">
        <f t="shared" si="31"/>
        <v>0</v>
      </c>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row>
    <row r="437" spans="1:41" ht="15.75" customHeight="1">
      <c r="A437" s="43" t="s">
        <v>550</v>
      </c>
      <c r="B437" s="312">
        <f>('FTE Pivot Table'!$Q$79)*100</f>
        <v>0</v>
      </c>
      <c r="C437" s="312">
        <f>('FTE Pivot Table'!$Q$82)*100</f>
        <v>0</v>
      </c>
      <c r="D437" s="130">
        <f>SUM(E437:G437)</f>
        <v>0</v>
      </c>
      <c r="E437" s="312">
        <f>('FTE Pivot Table'!$Q$85)*100</f>
        <v>0</v>
      </c>
      <c r="F437" s="312">
        <f>('FTE Pivot Table'!$Q$88)*100</f>
        <v>0</v>
      </c>
      <c r="G437" s="314">
        <f>('FTE Pivot Table'!$Q$91)*100</f>
        <v>0</v>
      </c>
      <c r="H437" s="312">
        <f>('FTE Pivot Table'!$Q$94)*100</f>
        <v>0</v>
      </c>
      <c r="I437" s="43"/>
      <c r="J437" s="129"/>
      <c r="K437" s="129"/>
      <c r="L437" s="129"/>
      <c r="M437" s="129"/>
      <c r="N437" s="129"/>
      <c r="O437" s="129"/>
      <c r="P437" s="129"/>
      <c r="Q437" s="42">
        <f t="shared" si="30"/>
        <v>0</v>
      </c>
      <c r="R437" s="42">
        <f t="shared" si="31"/>
        <v>0</v>
      </c>
      <c r="S437" s="55"/>
      <c r="T437" s="71"/>
      <c r="U437" s="55"/>
      <c r="V437" s="55"/>
      <c r="W437" s="55"/>
      <c r="X437" s="55"/>
      <c r="Y437" s="55"/>
      <c r="Z437" s="55"/>
      <c r="AA437" s="55"/>
      <c r="AB437" s="55"/>
      <c r="AC437" s="55"/>
      <c r="AD437" s="55"/>
      <c r="AE437" s="55"/>
      <c r="AF437" s="55"/>
      <c r="AG437" s="55"/>
      <c r="AH437" s="55"/>
      <c r="AI437" s="55"/>
      <c r="AJ437" s="55"/>
      <c r="AK437" s="55"/>
      <c r="AL437" s="55"/>
      <c r="AM437" s="55"/>
      <c r="AN437" s="55"/>
      <c r="AO437" s="55"/>
    </row>
    <row r="438" spans="1:41" ht="15.75" customHeight="1">
      <c r="A438" s="43" t="s">
        <v>551</v>
      </c>
      <c r="B438" s="312">
        <f>('FTE Pivot Table'!$Q$115)*100</f>
        <v>0</v>
      </c>
      <c r="C438" s="312">
        <f>('FTE Pivot Table'!$Q$118)*100</f>
        <v>0</v>
      </c>
      <c r="D438" s="130">
        <f>SUM(E438:G438)</f>
        <v>0</v>
      </c>
      <c r="E438" s="312">
        <f>('FTE Pivot Table'!$Q$121)*100</f>
        <v>0</v>
      </c>
      <c r="F438" s="312">
        <f>('FTE Pivot Table'!$Q$124)*100</f>
        <v>0</v>
      </c>
      <c r="G438" s="314">
        <f>('FTE Pivot Table'!$Q$127)*100</f>
        <v>0</v>
      </c>
      <c r="H438" s="312">
        <f>('FTE Pivot Table'!$Q$130)*100</f>
        <v>0</v>
      </c>
      <c r="I438" s="43"/>
      <c r="J438" s="129"/>
      <c r="K438" s="129"/>
      <c r="L438" s="129"/>
      <c r="M438" s="129"/>
      <c r="N438" s="129"/>
      <c r="O438" s="129"/>
      <c r="P438" s="129"/>
      <c r="Q438" s="42">
        <f t="shared" si="30"/>
        <v>0</v>
      </c>
      <c r="R438" s="42">
        <f t="shared" si="31"/>
        <v>0</v>
      </c>
      <c r="S438" s="55"/>
      <c r="U438" s="55"/>
      <c r="V438" s="55"/>
      <c r="W438" s="55"/>
      <c r="X438" s="55"/>
      <c r="Y438" s="55"/>
      <c r="Z438" s="55"/>
      <c r="AA438" s="55"/>
      <c r="AB438" s="55"/>
      <c r="AC438" s="55"/>
      <c r="AD438" s="55"/>
      <c r="AE438" s="55"/>
      <c r="AF438" s="55"/>
      <c r="AG438" s="55"/>
      <c r="AH438" s="55"/>
      <c r="AI438" s="55"/>
      <c r="AJ438" s="55"/>
      <c r="AK438" s="55"/>
      <c r="AL438" s="55"/>
      <c r="AM438" s="55"/>
      <c r="AN438" s="55"/>
      <c r="AO438" s="55"/>
    </row>
    <row r="439" spans="1:41" ht="15.75" customHeight="1">
      <c r="A439" s="43"/>
      <c r="B439" s="115"/>
      <c r="C439" s="116"/>
      <c r="D439" s="130"/>
      <c r="E439" s="115"/>
      <c r="F439" s="115"/>
      <c r="G439" s="116"/>
      <c r="H439" s="115"/>
      <c r="I439" s="43"/>
      <c r="J439" s="129"/>
      <c r="K439" s="129"/>
      <c r="L439" s="129"/>
      <c r="M439" s="129"/>
      <c r="N439" s="129"/>
      <c r="O439" s="129"/>
      <c r="P439" s="129"/>
      <c r="Q439" s="42">
        <f t="shared" si="30"/>
        <v>0</v>
      </c>
      <c r="R439" s="42">
        <f t="shared" si="31"/>
        <v>0</v>
      </c>
      <c r="S439" s="55"/>
      <c r="U439" s="55"/>
      <c r="V439" s="55"/>
      <c r="W439" s="55"/>
      <c r="X439" s="55"/>
      <c r="Y439" s="55"/>
      <c r="Z439" s="55"/>
      <c r="AA439" s="55"/>
      <c r="AB439" s="55"/>
      <c r="AC439" s="55"/>
      <c r="AD439" s="55"/>
      <c r="AE439" s="55"/>
      <c r="AF439" s="55"/>
      <c r="AG439" s="55"/>
      <c r="AH439" s="55"/>
      <c r="AI439" s="55"/>
      <c r="AJ439" s="55"/>
      <c r="AK439" s="55"/>
      <c r="AL439" s="55"/>
      <c r="AM439" s="55"/>
      <c r="AN439" s="55"/>
      <c r="AO439" s="55"/>
    </row>
    <row r="440" spans="1:41" ht="15.75" customHeight="1">
      <c r="A440" s="43" t="s">
        <v>552</v>
      </c>
      <c r="B440" s="312">
        <f>('FTE Pivot Table'!$Q$151)*100</f>
        <v>88.6011383310698</v>
      </c>
      <c r="C440" s="312">
        <f>('FTE Pivot Table'!$Q$154)*100</f>
        <v>0</v>
      </c>
      <c r="D440" s="130">
        <f>SUM(E440:G440)</f>
        <v>11.398861668930197</v>
      </c>
      <c r="E440" s="312">
        <f>('FTE Pivot Table'!$Q$157)*100</f>
        <v>11.398861668930197</v>
      </c>
      <c r="F440" s="312">
        <f>('FTE Pivot Table'!$Q$160)*100</f>
        <v>0</v>
      </c>
      <c r="G440" s="314">
        <f>('FTE Pivot Table'!$Q$163)*100</f>
        <v>0</v>
      </c>
      <c r="H440" s="312">
        <f>('FTE Pivot Table'!$Q$166)*100</f>
        <v>0</v>
      </c>
      <c r="I440" s="43"/>
      <c r="J440" s="129"/>
      <c r="K440" s="129"/>
      <c r="L440" s="129"/>
      <c r="M440" s="129"/>
      <c r="N440" s="129"/>
      <c r="O440" s="129"/>
      <c r="P440" s="129"/>
      <c r="Q440" s="42">
        <f t="shared" si="30"/>
        <v>100</v>
      </c>
      <c r="R440" s="42">
        <f t="shared" si="31"/>
        <v>0</v>
      </c>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row>
    <row r="441" spans="1:41" ht="15.75" customHeight="1">
      <c r="A441" s="43" t="s">
        <v>553</v>
      </c>
      <c r="B441" s="312">
        <f>('FTE Pivot Table'!$Q$187)*100</f>
        <v>95.90037389058395</v>
      </c>
      <c r="C441" s="312">
        <f>('FTE Pivot Table'!$Q$190)*100</f>
        <v>0.15219029640523593</v>
      </c>
      <c r="D441" s="130">
        <f>SUM(E441:G441)</f>
        <v>3.947435813010807</v>
      </c>
      <c r="E441" s="312">
        <f>('FTE Pivot Table'!$Q$193)*100</f>
        <v>3.947435813010807</v>
      </c>
      <c r="F441" s="312">
        <f>('FTE Pivot Table'!$Q$196)*100</f>
        <v>0</v>
      </c>
      <c r="G441" s="314">
        <f>('FTE Pivot Table'!$Q$199)*100</f>
        <v>0</v>
      </c>
      <c r="H441" s="312">
        <f>('FTE Pivot Table'!$Q$202)*100</f>
        <v>0</v>
      </c>
      <c r="I441" s="43"/>
      <c r="J441" s="129"/>
      <c r="K441" s="129"/>
      <c r="L441" s="129"/>
      <c r="M441" s="129"/>
      <c r="N441" s="129"/>
      <c r="O441" s="129"/>
      <c r="P441" s="129"/>
      <c r="Q441" s="42">
        <f t="shared" si="30"/>
        <v>100</v>
      </c>
      <c r="R441" s="42">
        <f t="shared" si="31"/>
        <v>0</v>
      </c>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row>
    <row r="442" spans="1:41" ht="15.75" customHeight="1">
      <c r="A442" s="43" t="s">
        <v>554</v>
      </c>
      <c r="B442" s="312">
        <f>('FTE Pivot Table'!$Q$223)*100</f>
        <v>100</v>
      </c>
      <c r="C442" s="312">
        <f>('FTE Pivot Table'!$Q$226)*100</f>
        <v>0</v>
      </c>
      <c r="D442" s="130">
        <f>SUM(E442:G442)</f>
        <v>0</v>
      </c>
      <c r="E442" s="312">
        <f>('FTE Pivot Table'!$Q$229)*100</f>
        <v>0</v>
      </c>
      <c r="F442" s="312">
        <f>('FTE Pivot Table'!$Q$232)*100</f>
        <v>0</v>
      </c>
      <c r="G442" s="314">
        <f>('FTE Pivot Table'!$Q$235)*100</f>
        <v>0</v>
      </c>
      <c r="H442" s="312">
        <f>('FTE Pivot Table'!$Q$238)*100</f>
        <v>0</v>
      </c>
      <c r="I442" s="43"/>
      <c r="J442" s="129"/>
      <c r="K442" s="129"/>
      <c r="L442" s="129"/>
      <c r="M442" s="129"/>
      <c r="N442" s="129"/>
      <c r="O442" s="129"/>
      <c r="P442" s="129"/>
      <c r="Q442" s="42">
        <f t="shared" si="30"/>
        <v>100</v>
      </c>
      <c r="R442" s="42">
        <f t="shared" si="31"/>
        <v>0</v>
      </c>
      <c r="S442" s="55"/>
      <c r="T442" s="71"/>
      <c r="U442" s="55"/>
      <c r="V442" s="55"/>
      <c r="W442" s="55"/>
      <c r="X442" s="55"/>
      <c r="Y442" s="55"/>
      <c r="Z442" s="55"/>
      <c r="AA442" s="55"/>
      <c r="AB442" s="55"/>
      <c r="AC442" s="55"/>
      <c r="AD442" s="55"/>
      <c r="AE442" s="55"/>
      <c r="AF442" s="55"/>
      <c r="AG442" s="55"/>
      <c r="AH442" s="55"/>
      <c r="AI442" s="55"/>
      <c r="AJ442" s="55"/>
      <c r="AK442" s="55"/>
      <c r="AL442" s="55"/>
      <c r="AM442" s="55"/>
      <c r="AN442" s="55"/>
      <c r="AO442" s="55"/>
    </row>
    <row r="443" spans="1:41" ht="15.75" customHeight="1">
      <c r="A443" s="43" t="s">
        <v>555</v>
      </c>
      <c r="B443" s="312">
        <f>('FTE Pivot Table'!$Q$259)*100</f>
        <v>0</v>
      </c>
      <c r="C443" s="312">
        <f>('FTE Pivot Table'!$Q$262)*100</f>
        <v>0</v>
      </c>
      <c r="D443" s="130">
        <f>SUM(E443:G443)</f>
        <v>0</v>
      </c>
      <c r="E443" s="312">
        <f>('FTE Pivot Table'!$Q$265)*100</f>
        <v>0</v>
      </c>
      <c r="F443" s="312">
        <f>('FTE Pivot Table'!$Q$268)*100</f>
        <v>0</v>
      </c>
      <c r="G443" s="314">
        <f>('FTE Pivot Table'!$Q$271)*100</f>
        <v>0</v>
      </c>
      <c r="H443" s="312">
        <f>('FTE Pivot Table'!$Q$274)*100</f>
        <v>0</v>
      </c>
      <c r="I443" s="43"/>
      <c r="J443" s="129"/>
      <c r="K443" s="129"/>
      <c r="L443" s="129"/>
      <c r="M443" s="129"/>
      <c r="N443" s="129"/>
      <c r="O443" s="129"/>
      <c r="P443" s="129"/>
      <c r="Q443" s="42">
        <f t="shared" si="30"/>
        <v>0</v>
      </c>
      <c r="R443" s="42">
        <f t="shared" si="31"/>
        <v>0</v>
      </c>
      <c r="S443" s="55"/>
      <c r="U443" s="55"/>
      <c r="V443" s="55"/>
      <c r="W443" s="55"/>
      <c r="X443" s="55"/>
      <c r="Y443" s="55"/>
      <c r="Z443" s="55"/>
      <c r="AA443" s="55"/>
      <c r="AB443" s="55"/>
      <c r="AC443" s="55"/>
      <c r="AD443" s="55"/>
      <c r="AE443" s="55"/>
      <c r="AF443" s="55"/>
      <c r="AG443" s="55"/>
      <c r="AH443" s="55"/>
      <c r="AI443" s="55"/>
      <c r="AJ443" s="55"/>
      <c r="AK443" s="55"/>
      <c r="AL443" s="55"/>
      <c r="AM443" s="55"/>
      <c r="AN443" s="55"/>
      <c r="AO443" s="55"/>
    </row>
    <row r="444" spans="1:41" ht="15.75" customHeight="1">
      <c r="A444" s="43"/>
      <c r="B444" s="115"/>
      <c r="C444" s="116"/>
      <c r="D444" s="130"/>
      <c r="E444" s="115"/>
      <c r="F444" s="115"/>
      <c r="G444" s="116"/>
      <c r="H444" s="115"/>
      <c r="I444" s="43"/>
      <c r="J444" s="129"/>
      <c r="K444" s="129"/>
      <c r="L444" s="129"/>
      <c r="M444" s="129"/>
      <c r="N444" s="129"/>
      <c r="O444" s="129"/>
      <c r="P444" s="129"/>
      <c r="Q444" s="42">
        <f t="shared" si="30"/>
        <v>0</v>
      </c>
      <c r="R444" s="42">
        <f t="shared" si="31"/>
        <v>0</v>
      </c>
      <c r="S444" s="55"/>
      <c r="U444" s="55"/>
      <c r="V444" s="55"/>
      <c r="W444" s="55"/>
      <c r="X444" s="55"/>
      <c r="Y444" s="55"/>
      <c r="Z444" s="55"/>
      <c r="AA444" s="55"/>
      <c r="AB444" s="55"/>
      <c r="AC444" s="55"/>
      <c r="AD444" s="55"/>
      <c r="AE444" s="55"/>
      <c r="AF444" s="55"/>
      <c r="AG444" s="55"/>
      <c r="AH444" s="55"/>
      <c r="AI444" s="55"/>
      <c r="AJ444" s="55"/>
      <c r="AK444" s="55"/>
      <c r="AL444" s="55"/>
      <c r="AM444" s="55"/>
      <c r="AN444" s="55"/>
      <c r="AO444" s="55"/>
    </row>
    <row r="445" spans="1:41" ht="15.75" customHeight="1">
      <c r="A445" s="43" t="s">
        <v>206</v>
      </c>
      <c r="B445" s="312">
        <f>('FTE Pivot Table'!$Q$295)*100</f>
        <v>0</v>
      </c>
      <c r="C445" s="312">
        <f>('FTE Pivot Table'!$Q$298)*100</f>
        <v>0</v>
      </c>
      <c r="D445" s="130">
        <f>SUM(E445:G445)</f>
        <v>0</v>
      </c>
      <c r="E445" s="312">
        <f>('FTE Pivot Table'!$Q$301)*100</f>
        <v>0</v>
      </c>
      <c r="F445" s="312">
        <f>('FTE Pivot Table'!$Q$304)*100</f>
        <v>0</v>
      </c>
      <c r="G445" s="314">
        <f>('FTE Pivot Table'!$Q$307)*100</f>
        <v>0</v>
      </c>
      <c r="H445" s="312">
        <f>('FTE Pivot Table'!$Q$310)*100</f>
        <v>0</v>
      </c>
      <c r="I445" s="43"/>
      <c r="J445" s="129"/>
      <c r="K445" s="129"/>
      <c r="L445" s="129"/>
      <c r="M445" s="129"/>
      <c r="N445" s="129"/>
      <c r="O445" s="129"/>
      <c r="P445" s="129"/>
      <c r="Q445" s="42">
        <f t="shared" si="30"/>
        <v>0</v>
      </c>
      <c r="R445" s="42">
        <f t="shared" si="31"/>
        <v>0</v>
      </c>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row>
    <row r="446" spans="1:41" ht="15.75" customHeight="1">
      <c r="A446" s="43" t="s">
        <v>214</v>
      </c>
      <c r="B446" s="312">
        <f>('FTE Pivot Table'!$Q$331)*100</f>
        <v>0</v>
      </c>
      <c r="C446" s="312">
        <f>('FTE Pivot Table'!$Q$334)*100</f>
        <v>0</v>
      </c>
      <c r="D446" s="130">
        <f>SUM(E446:G446)</f>
        <v>0</v>
      </c>
      <c r="E446" s="312">
        <f>('FTE Pivot Table'!$Q$337)*100</f>
        <v>0</v>
      </c>
      <c r="F446" s="312">
        <f>('FTE Pivot Table'!$Q$340)*100</f>
        <v>0</v>
      </c>
      <c r="G446" s="314">
        <f>('FTE Pivot Table'!$Q$343)*100</f>
        <v>0</v>
      </c>
      <c r="H446" s="312">
        <f>('FTE Pivot Table'!$Q$346)*100</f>
        <v>0</v>
      </c>
      <c r="I446" s="43"/>
      <c r="J446" s="129"/>
      <c r="K446" s="129"/>
      <c r="L446" s="129"/>
      <c r="M446" s="129"/>
      <c r="N446" s="129"/>
      <c r="O446" s="129"/>
      <c r="P446" s="129"/>
      <c r="Q446" s="42">
        <f t="shared" si="30"/>
        <v>0</v>
      </c>
      <c r="R446" s="42">
        <f t="shared" si="31"/>
        <v>0</v>
      </c>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row>
    <row r="447" spans="1:41" ht="15.75" customHeight="1">
      <c r="A447" s="43" t="s">
        <v>207</v>
      </c>
      <c r="B447" s="312">
        <f>('FTE Pivot Table'!$Q$367)*100</f>
        <v>0</v>
      </c>
      <c r="C447" s="312">
        <f>('FTE Pivot Table'!$Q$370)*100</f>
        <v>0</v>
      </c>
      <c r="D447" s="130">
        <f>SUM(E447:G447)</f>
        <v>0</v>
      </c>
      <c r="E447" s="312">
        <f>('FTE Pivot Table'!$Q$373)*100</f>
        <v>0</v>
      </c>
      <c r="F447" s="312">
        <f>('FTE Pivot Table'!$Q$376)*100</f>
        <v>0</v>
      </c>
      <c r="G447" s="314">
        <f>('FTE Pivot Table'!$Q$379)*100</f>
        <v>0</v>
      </c>
      <c r="H447" s="312">
        <f>('FTE Pivot Table'!$Q$382)*100</f>
        <v>0</v>
      </c>
      <c r="I447" s="43"/>
      <c r="J447" s="129"/>
      <c r="K447" s="129"/>
      <c r="L447" s="129"/>
      <c r="M447" s="129"/>
      <c r="N447" s="129"/>
      <c r="O447" s="129"/>
      <c r="P447" s="129"/>
      <c r="Q447" s="42">
        <f t="shared" si="30"/>
        <v>0</v>
      </c>
      <c r="R447" s="42">
        <f t="shared" si="31"/>
        <v>0</v>
      </c>
      <c r="S447" s="55"/>
      <c r="T447" s="71"/>
      <c r="U447" s="55"/>
      <c r="V447" s="55"/>
      <c r="W447" s="55"/>
      <c r="X447" s="55"/>
      <c r="Y447" s="55"/>
      <c r="Z447" s="55"/>
      <c r="AA447" s="55"/>
      <c r="AB447" s="55"/>
      <c r="AC447" s="55"/>
      <c r="AD447" s="55"/>
      <c r="AE447" s="55"/>
      <c r="AF447" s="55"/>
      <c r="AG447" s="55"/>
      <c r="AH447" s="55"/>
      <c r="AI447" s="55"/>
      <c r="AJ447" s="55"/>
      <c r="AK447" s="55"/>
      <c r="AL447" s="55"/>
      <c r="AM447" s="55"/>
      <c r="AN447" s="55"/>
      <c r="AO447" s="55"/>
    </row>
    <row r="448" spans="1:41" ht="15.75" customHeight="1">
      <c r="A448" s="43" t="s">
        <v>556</v>
      </c>
      <c r="B448" s="312">
        <f>('FTE Pivot Table'!$Q$403)*100</f>
        <v>0</v>
      </c>
      <c r="C448" s="312">
        <f>('FTE Pivot Table'!$Q$406)*100</f>
        <v>0</v>
      </c>
      <c r="D448" s="130">
        <f>SUM(E448:G448)</f>
        <v>0</v>
      </c>
      <c r="E448" s="312">
        <f>('FTE Pivot Table'!$Q$409)*100</f>
        <v>0</v>
      </c>
      <c r="F448" s="312">
        <f>('FTE Pivot Table'!$Q$412)*100</f>
        <v>0</v>
      </c>
      <c r="G448" s="314">
        <f>('FTE Pivot Table'!$Q$415)*100</f>
        <v>0</v>
      </c>
      <c r="H448" s="312">
        <f>('FTE Pivot Table'!$Q$418)*100</f>
        <v>0</v>
      </c>
      <c r="I448" s="43"/>
      <c r="J448" s="129"/>
      <c r="K448" s="129"/>
      <c r="L448" s="129"/>
      <c r="M448" s="129"/>
      <c r="N448" s="129"/>
      <c r="O448" s="129"/>
      <c r="P448" s="129"/>
      <c r="Q448" s="42">
        <f t="shared" si="30"/>
        <v>0</v>
      </c>
      <c r="R448" s="42">
        <f t="shared" si="31"/>
        <v>0</v>
      </c>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row>
    <row r="449" spans="1:41" ht="15.75" customHeight="1">
      <c r="A449" s="43"/>
      <c r="B449" s="115"/>
      <c r="C449" s="116"/>
      <c r="D449" s="130"/>
      <c r="E449" s="115"/>
      <c r="F449" s="115"/>
      <c r="G449" s="116"/>
      <c r="H449" s="115"/>
      <c r="I449" s="43"/>
      <c r="J449" s="129"/>
      <c r="K449" s="129"/>
      <c r="L449" s="129"/>
      <c r="M449" s="129"/>
      <c r="N449" s="129"/>
      <c r="O449" s="129"/>
      <c r="P449" s="129"/>
      <c r="Q449" s="42">
        <f t="shared" si="30"/>
        <v>0</v>
      </c>
      <c r="R449" s="42">
        <f t="shared" si="31"/>
        <v>0</v>
      </c>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row>
    <row r="450" spans="1:41" ht="15.75" customHeight="1">
      <c r="A450" s="43" t="s">
        <v>557</v>
      </c>
      <c r="B450" s="312">
        <f>('FTE Pivot Table'!$Q$439)*100</f>
        <v>0</v>
      </c>
      <c r="C450" s="312">
        <f>('FTE Pivot Table'!$Q$442)*100</f>
        <v>0</v>
      </c>
      <c r="D450" s="130">
        <f>SUM(E450:G450)</f>
        <v>0</v>
      </c>
      <c r="E450" s="312">
        <f>('FTE Pivot Table'!$Q$445)*100</f>
        <v>0</v>
      </c>
      <c r="F450" s="312">
        <f>('FTE Pivot Table'!$Q$448)*100</f>
        <v>0</v>
      </c>
      <c r="G450" s="314">
        <f>('FTE Pivot Table'!$Q$451)*100</f>
        <v>0</v>
      </c>
      <c r="H450" s="312">
        <f>('FTE Pivot Table'!$Q$454)*100</f>
        <v>0</v>
      </c>
      <c r="I450" s="43"/>
      <c r="J450" s="129"/>
      <c r="K450" s="129"/>
      <c r="L450" s="129"/>
      <c r="M450" s="129"/>
      <c r="N450" s="129"/>
      <c r="O450" s="129"/>
      <c r="P450" s="129"/>
      <c r="Q450" s="42">
        <f t="shared" si="30"/>
        <v>0</v>
      </c>
      <c r="R450" s="42">
        <f t="shared" si="31"/>
        <v>0</v>
      </c>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row>
    <row r="451" spans="1:41" ht="15.75" customHeight="1">
      <c r="A451" s="43" t="s">
        <v>313</v>
      </c>
      <c r="B451" s="312">
        <f>('FTE Pivot Table'!$Q$475)*100</f>
        <v>0</v>
      </c>
      <c r="C451" s="312">
        <f>('FTE Pivot Table'!$Q$478)*100</f>
        <v>0</v>
      </c>
      <c r="D451" s="130">
        <f>SUM(E451:G451)</f>
        <v>0</v>
      </c>
      <c r="E451" s="312">
        <f>('FTE Pivot Table'!$Q$481)*100</f>
        <v>0</v>
      </c>
      <c r="F451" s="312">
        <f>('FTE Pivot Table'!$Q$484)*100</f>
        <v>0</v>
      </c>
      <c r="G451" s="314">
        <f>('FTE Pivot Table'!$Q$487)*100</f>
        <v>0</v>
      </c>
      <c r="H451" s="312">
        <f>('FTE Pivot Table'!$Q$490)*100</f>
        <v>0</v>
      </c>
      <c r="I451" s="43"/>
      <c r="J451" s="129"/>
      <c r="K451" s="129"/>
      <c r="L451" s="129"/>
      <c r="M451" s="129"/>
      <c r="N451" s="129"/>
      <c r="O451" s="129"/>
      <c r="P451" s="129"/>
      <c r="Q451" s="42">
        <f t="shared" si="30"/>
        <v>0</v>
      </c>
      <c r="R451" s="42">
        <f t="shared" si="31"/>
        <v>0</v>
      </c>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row>
    <row r="452" spans="1:41" ht="15.75" customHeight="1">
      <c r="A452" s="43" t="s">
        <v>558</v>
      </c>
      <c r="B452" s="312">
        <f>('FTE Pivot Table'!$Q$511)*100</f>
        <v>0</v>
      </c>
      <c r="C452" s="312">
        <f>('FTE Pivot Table'!$Q$514)*100</f>
        <v>0</v>
      </c>
      <c r="D452" s="130">
        <f>SUM(E452:G452)</f>
        <v>0</v>
      </c>
      <c r="E452" s="312">
        <f>('FTE Pivot Table'!$Q$517)*100</f>
        <v>0</v>
      </c>
      <c r="F452" s="312">
        <f>('FTE Pivot Table'!$Q$520)*100</f>
        <v>0</v>
      </c>
      <c r="G452" s="314">
        <f>('FTE Pivot Table'!$Q$523)*100</f>
        <v>0</v>
      </c>
      <c r="H452" s="312">
        <f>('FTE Pivot Table'!$Q$526)*100</f>
        <v>0</v>
      </c>
      <c r="I452" s="43"/>
      <c r="J452" s="129"/>
      <c r="K452" s="129"/>
      <c r="L452" s="129"/>
      <c r="M452" s="129"/>
      <c r="N452" s="129"/>
      <c r="O452" s="129"/>
      <c r="P452" s="129"/>
      <c r="Q452" s="42">
        <f t="shared" si="30"/>
        <v>0</v>
      </c>
      <c r="R452" s="42">
        <f t="shared" si="31"/>
        <v>0</v>
      </c>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row>
    <row r="453" spans="1:41" ht="15.75" customHeight="1">
      <c r="A453" s="37" t="s">
        <v>208</v>
      </c>
      <c r="B453" s="316">
        <f>('FTE Pivot Table'!$Q$547)*100</f>
        <v>0</v>
      </c>
      <c r="C453" s="316">
        <f>('FTE Pivot Table'!$Q$550)*100</f>
        <v>0</v>
      </c>
      <c r="D453" s="132">
        <f>SUM(E453:G453)</f>
        <v>0</v>
      </c>
      <c r="E453" s="316">
        <f>('FTE Pivot Table'!$Q$553)*100</f>
        <v>0</v>
      </c>
      <c r="F453" s="316">
        <f>('FTE Pivot Table'!$Q$556)*100</f>
        <v>0</v>
      </c>
      <c r="G453" s="317">
        <f>('FTE Pivot Table'!$Q$559)*100</f>
        <v>0</v>
      </c>
      <c r="H453" s="316">
        <f>('FTE Pivot Table'!$Q$562)*100</f>
        <v>0</v>
      </c>
      <c r="I453" s="43"/>
      <c r="J453" s="129"/>
      <c r="K453" s="129"/>
      <c r="L453" s="129"/>
      <c r="M453" s="129"/>
      <c r="N453" s="129"/>
      <c r="O453" s="129"/>
      <c r="P453" s="129"/>
      <c r="Q453" s="42">
        <f t="shared" si="30"/>
        <v>0</v>
      </c>
      <c r="R453" s="42">
        <f t="shared" si="31"/>
        <v>0</v>
      </c>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row>
    <row r="454" spans="1:41" s="76" customFormat="1" ht="18" customHeight="1">
      <c r="A454" s="133" t="s">
        <v>608</v>
      </c>
      <c r="B454" s="80"/>
      <c r="C454" s="80"/>
      <c r="D454" s="81"/>
      <c r="E454" s="80"/>
      <c r="F454" s="81"/>
      <c r="G454" s="81"/>
      <c r="H454" s="80"/>
      <c r="I454" s="133"/>
      <c r="J454" s="80"/>
      <c r="K454" s="80"/>
      <c r="L454" s="81"/>
      <c r="M454" s="80"/>
      <c r="N454" s="81"/>
      <c r="O454" s="81"/>
      <c r="P454" s="80"/>
      <c r="Q454" s="80"/>
      <c r="R454" s="80"/>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row>
    <row r="455" spans="1:18" s="76" customFormat="1" ht="13.5" customHeight="1">
      <c r="A455" s="133"/>
      <c r="B455" s="75"/>
      <c r="H455" s="343" t="s">
        <v>60</v>
      </c>
      <c r="I455" s="133"/>
      <c r="P455" s="77"/>
      <c r="Q455" s="78"/>
      <c r="R455" s="79"/>
    </row>
    <row r="456" spans="1:18" s="76" customFormat="1" ht="13.5" customHeight="1">
      <c r="A456" s="134"/>
      <c r="H456" s="74"/>
      <c r="I456" s="134"/>
      <c r="Q456" s="78"/>
      <c r="R456" s="79"/>
    </row>
    <row r="457" spans="1:16" ht="18">
      <c r="A457" s="34" t="s">
        <v>560</v>
      </c>
      <c r="B457" s="35"/>
      <c r="C457" s="35"/>
      <c r="D457" s="35"/>
      <c r="E457" s="35"/>
      <c r="F457" s="35"/>
      <c r="G457" s="35"/>
      <c r="H457" s="53"/>
      <c r="I457" s="52"/>
      <c r="J457" s="43"/>
      <c r="K457" s="43"/>
      <c r="L457" s="43"/>
      <c r="M457" s="43"/>
      <c r="N457" s="43"/>
      <c r="O457" s="43"/>
      <c r="P457" s="43"/>
    </row>
    <row r="458" spans="1:16" ht="15.75">
      <c r="A458" s="45" t="s">
        <v>595</v>
      </c>
      <c r="B458" s="36"/>
      <c r="C458" s="36"/>
      <c r="D458" s="36"/>
      <c r="E458" s="36"/>
      <c r="F458" s="36"/>
      <c r="G458" s="36"/>
      <c r="H458" s="48"/>
      <c r="I458" s="52"/>
      <c r="J458" s="43"/>
      <c r="K458" s="43"/>
      <c r="L458" s="43"/>
      <c r="M458" s="43"/>
      <c r="N458" s="43"/>
      <c r="O458" s="43"/>
      <c r="P458" s="43"/>
    </row>
    <row r="459" spans="1:16" ht="15.75">
      <c r="A459" s="45" t="s">
        <v>822</v>
      </c>
      <c r="B459" s="36"/>
      <c r="C459" s="36"/>
      <c r="D459" s="36"/>
      <c r="E459" s="36"/>
      <c r="F459" s="36"/>
      <c r="G459" s="36"/>
      <c r="H459" s="48"/>
      <c r="I459" s="52"/>
      <c r="J459" s="43"/>
      <c r="K459" s="43"/>
      <c r="L459" s="43"/>
      <c r="M459" s="43"/>
      <c r="N459" s="43"/>
      <c r="O459" s="43"/>
      <c r="P459" s="43"/>
    </row>
    <row r="460" spans="1:16" ht="12.75">
      <c r="A460" s="37" t="s">
        <v>559</v>
      </c>
      <c r="B460" s="38"/>
      <c r="C460" s="38"/>
      <c r="D460" s="38"/>
      <c r="E460" s="38"/>
      <c r="F460" s="38"/>
      <c r="G460" s="38"/>
      <c r="H460" s="38"/>
      <c r="I460" s="52"/>
      <c r="J460" s="43"/>
      <c r="K460" s="43"/>
      <c r="L460" s="43"/>
      <c r="M460" s="43"/>
      <c r="N460" s="43"/>
      <c r="O460" s="43"/>
      <c r="P460" s="43"/>
    </row>
    <row r="461" spans="1:16" ht="12.75">
      <c r="A461" s="46"/>
      <c r="B461" s="47" t="s">
        <v>315</v>
      </c>
      <c r="C461" s="47"/>
      <c r="D461" s="47"/>
      <c r="E461" s="47"/>
      <c r="F461" s="47"/>
      <c r="G461" s="47"/>
      <c r="H461" s="48"/>
      <c r="I461" s="52"/>
      <c r="J461" s="43"/>
      <c r="K461" s="43"/>
      <c r="L461" s="43"/>
      <c r="M461" s="43"/>
      <c r="N461" s="43"/>
      <c r="O461" s="43"/>
      <c r="P461" s="43"/>
    </row>
    <row r="462" spans="1:16" ht="12.75">
      <c r="A462" s="46"/>
      <c r="B462" s="47" t="s">
        <v>211</v>
      </c>
      <c r="C462" s="47"/>
      <c r="D462" s="419" t="s">
        <v>603</v>
      </c>
      <c r="E462" s="420"/>
      <c r="F462" s="420"/>
      <c r="G462" s="420"/>
      <c r="H462" s="63" t="s">
        <v>73</v>
      </c>
      <c r="I462" s="52"/>
      <c r="J462" s="43"/>
      <c r="K462" s="43"/>
      <c r="L462" s="43"/>
      <c r="M462" s="43"/>
      <c r="N462" s="43"/>
      <c r="O462" s="43"/>
      <c r="P462" s="43"/>
    </row>
    <row r="463" spans="1:16" ht="38.25">
      <c r="A463" s="46"/>
      <c r="B463" s="54" t="s">
        <v>594</v>
      </c>
      <c r="C463" s="64" t="s">
        <v>593</v>
      </c>
      <c r="D463" s="50" t="s">
        <v>601</v>
      </c>
      <c r="E463" s="49" t="s">
        <v>71</v>
      </c>
      <c r="F463" s="54" t="s">
        <v>212</v>
      </c>
      <c r="G463" s="135" t="s">
        <v>609</v>
      </c>
      <c r="H463" s="65" t="s">
        <v>604</v>
      </c>
      <c r="I463" s="52"/>
      <c r="J463" s="43"/>
      <c r="K463" s="43"/>
      <c r="L463" s="43"/>
      <c r="M463" s="43"/>
      <c r="N463" s="43"/>
      <c r="O463" s="43"/>
      <c r="P463" s="43"/>
    </row>
    <row r="464" spans="1:41" ht="15.75" customHeight="1">
      <c r="A464" s="44" t="s">
        <v>548</v>
      </c>
      <c r="B464" s="115"/>
      <c r="C464" s="116"/>
      <c r="D464" s="130"/>
      <c r="E464" s="115"/>
      <c r="F464" s="131"/>
      <c r="G464" s="116"/>
      <c r="H464" s="115"/>
      <c r="I464" s="43"/>
      <c r="J464" s="129"/>
      <c r="K464" s="129"/>
      <c r="L464" s="129"/>
      <c r="M464" s="129"/>
      <c r="N464" s="129"/>
      <c r="O464" s="129"/>
      <c r="P464" s="129"/>
      <c r="Q464" s="42"/>
      <c r="R464" s="42"/>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row>
    <row r="465" spans="1:41" ht="15.75" customHeight="1">
      <c r="A465" s="43" t="s">
        <v>549</v>
      </c>
      <c r="B465" s="115"/>
      <c r="C465" s="116"/>
      <c r="D465" s="130"/>
      <c r="E465" s="115"/>
      <c r="F465" s="115"/>
      <c r="G465" s="116"/>
      <c r="H465" s="115"/>
      <c r="I465" s="43"/>
      <c r="J465" s="129"/>
      <c r="K465" s="129"/>
      <c r="L465" s="129"/>
      <c r="M465" s="129"/>
      <c r="N465" s="129"/>
      <c r="O465" s="129"/>
      <c r="P465" s="129"/>
      <c r="Q465" s="42"/>
      <c r="R465" s="42"/>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row>
    <row r="466" spans="1:41" ht="15.75" customHeight="1">
      <c r="A466" s="43" t="s">
        <v>550</v>
      </c>
      <c r="B466" s="115"/>
      <c r="C466" s="116"/>
      <c r="D466" s="130"/>
      <c r="E466" s="115"/>
      <c r="F466" s="115"/>
      <c r="G466" s="116"/>
      <c r="H466" s="115"/>
      <c r="I466" s="43"/>
      <c r="J466" s="129"/>
      <c r="K466" s="129"/>
      <c r="L466" s="129"/>
      <c r="M466" s="129"/>
      <c r="N466" s="129"/>
      <c r="O466" s="129"/>
      <c r="P466" s="129"/>
      <c r="Q466" s="42"/>
      <c r="R466" s="42"/>
      <c r="S466" s="55"/>
      <c r="T466" s="71"/>
      <c r="U466" s="55"/>
      <c r="V466" s="55"/>
      <c r="W466" s="55"/>
      <c r="X466" s="55"/>
      <c r="Y466" s="55"/>
      <c r="Z466" s="55"/>
      <c r="AA466" s="55"/>
      <c r="AB466" s="55"/>
      <c r="AC466" s="55"/>
      <c r="AD466" s="55"/>
      <c r="AE466" s="55"/>
      <c r="AF466" s="55"/>
      <c r="AG466" s="55"/>
      <c r="AH466" s="55"/>
      <c r="AI466" s="55"/>
      <c r="AJ466" s="55"/>
      <c r="AK466" s="55"/>
      <c r="AL466" s="55"/>
      <c r="AM466" s="55"/>
      <c r="AN466" s="55"/>
      <c r="AO466" s="55"/>
    </row>
    <row r="467" spans="1:41" ht="15.75" customHeight="1">
      <c r="A467" s="43" t="s">
        <v>551</v>
      </c>
      <c r="B467" s="115"/>
      <c r="C467" s="116"/>
      <c r="D467" s="130"/>
      <c r="E467" s="115"/>
      <c r="F467" s="115"/>
      <c r="G467" s="116"/>
      <c r="H467" s="115"/>
      <c r="I467" s="43"/>
      <c r="J467" s="129"/>
      <c r="K467" s="129"/>
      <c r="L467" s="129"/>
      <c r="M467" s="129"/>
      <c r="N467" s="129"/>
      <c r="O467" s="129"/>
      <c r="P467" s="129"/>
      <c r="Q467" s="42"/>
      <c r="R467" s="42"/>
      <c r="S467" s="55"/>
      <c r="U467" s="55"/>
      <c r="V467" s="55"/>
      <c r="W467" s="55"/>
      <c r="X467" s="55"/>
      <c r="Y467" s="55"/>
      <c r="Z467" s="55"/>
      <c r="AA467" s="55"/>
      <c r="AB467" s="55"/>
      <c r="AC467" s="55"/>
      <c r="AD467" s="55"/>
      <c r="AE467" s="55"/>
      <c r="AF467" s="55"/>
      <c r="AG467" s="55"/>
      <c r="AH467" s="55"/>
      <c r="AI467" s="55"/>
      <c r="AJ467" s="55"/>
      <c r="AK467" s="55"/>
      <c r="AL467" s="55"/>
      <c r="AM467" s="55"/>
      <c r="AN467" s="55"/>
      <c r="AO467" s="55"/>
    </row>
    <row r="468" spans="1:41" ht="15.75" customHeight="1">
      <c r="A468" s="43" t="s">
        <v>552</v>
      </c>
      <c r="B468" s="115"/>
      <c r="C468" s="116"/>
      <c r="D468" s="130"/>
      <c r="E468" s="115"/>
      <c r="F468" s="115"/>
      <c r="G468" s="116"/>
      <c r="H468" s="115"/>
      <c r="I468" s="43"/>
      <c r="J468" s="129"/>
      <c r="K468" s="129"/>
      <c r="L468" s="129"/>
      <c r="M468" s="129"/>
      <c r="N468" s="129"/>
      <c r="O468" s="129"/>
      <c r="P468" s="129"/>
      <c r="Q468" s="42"/>
      <c r="R468" s="42"/>
      <c r="S468" s="55"/>
      <c r="U468" s="55"/>
      <c r="V468" s="55"/>
      <c r="W468" s="55"/>
      <c r="X468" s="55"/>
      <c r="Y468" s="55"/>
      <c r="Z468" s="55"/>
      <c r="AA468" s="55"/>
      <c r="AB468" s="55"/>
      <c r="AC468" s="55"/>
      <c r="AD468" s="55"/>
      <c r="AE468" s="55"/>
      <c r="AF468" s="55"/>
      <c r="AG468" s="55"/>
      <c r="AH468" s="55"/>
      <c r="AI468" s="55"/>
      <c r="AJ468" s="55"/>
      <c r="AK468" s="55"/>
      <c r="AL468" s="55"/>
      <c r="AM468" s="55"/>
      <c r="AN468" s="55"/>
      <c r="AO468" s="55"/>
    </row>
    <row r="469" spans="1:41" ht="15.75" customHeight="1">
      <c r="A469" s="43" t="s">
        <v>553</v>
      </c>
      <c r="B469" s="115"/>
      <c r="C469" s="116"/>
      <c r="D469" s="130"/>
      <c r="E469" s="115"/>
      <c r="F469" s="115"/>
      <c r="G469" s="116"/>
      <c r="H469" s="115"/>
      <c r="I469" s="43"/>
      <c r="J469" s="129"/>
      <c r="K469" s="129"/>
      <c r="L469" s="129"/>
      <c r="M469" s="129"/>
      <c r="N469" s="129"/>
      <c r="O469" s="129"/>
      <c r="P469" s="129"/>
      <c r="Q469" s="42"/>
      <c r="R469" s="42"/>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row>
    <row r="470" spans="1:41" ht="15.75" customHeight="1">
      <c r="A470" s="43" t="s">
        <v>554</v>
      </c>
      <c r="B470" s="115"/>
      <c r="C470" s="116"/>
      <c r="D470" s="130"/>
      <c r="E470" s="115"/>
      <c r="F470" s="115"/>
      <c r="G470" s="116"/>
      <c r="H470" s="115"/>
      <c r="I470" s="43"/>
      <c r="J470" s="129"/>
      <c r="K470" s="129"/>
      <c r="L470" s="129"/>
      <c r="M470" s="129"/>
      <c r="N470" s="129"/>
      <c r="O470" s="129"/>
      <c r="P470" s="129"/>
      <c r="Q470" s="42"/>
      <c r="R470" s="42"/>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row>
    <row r="471" spans="1:41" ht="15.75" customHeight="1">
      <c r="A471" s="43" t="s">
        <v>555</v>
      </c>
      <c r="B471" s="115"/>
      <c r="C471" s="116"/>
      <c r="D471" s="130"/>
      <c r="E471" s="115"/>
      <c r="F471" s="115"/>
      <c r="G471" s="116"/>
      <c r="H471" s="115"/>
      <c r="I471" s="43"/>
      <c r="J471" s="129"/>
      <c r="K471" s="129"/>
      <c r="L471" s="129"/>
      <c r="M471" s="129"/>
      <c r="N471" s="129"/>
      <c r="O471" s="129"/>
      <c r="P471" s="129"/>
      <c r="Q471" s="42"/>
      <c r="R471" s="42"/>
      <c r="S471" s="55"/>
      <c r="T471" s="71"/>
      <c r="U471" s="55"/>
      <c r="V471" s="55"/>
      <c r="W471" s="55"/>
      <c r="X471" s="55"/>
      <c r="Y471" s="55"/>
      <c r="Z471" s="55"/>
      <c r="AA471" s="55"/>
      <c r="AB471" s="55"/>
      <c r="AC471" s="55"/>
      <c r="AD471" s="55"/>
      <c r="AE471" s="55"/>
      <c r="AF471" s="55"/>
      <c r="AG471" s="55"/>
      <c r="AH471" s="55"/>
      <c r="AI471" s="55"/>
      <c r="AJ471" s="55"/>
      <c r="AK471" s="55"/>
      <c r="AL471" s="55"/>
      <c r="AM471" s="55"/>
      <c r="AN471" s="55"/>
      <c r="AO471" s="55"/>
    </row>
    <row r="472" spans="1:41" ht="15.75" customHeight="1">
      <c r="A472" s="43" t="s">
        <v>206</v>
      </c>
      <c r="B472" s="115"/>
      <c r="C472" s="116"/>
      <c r="D472" s="130"/>
      <c r="E472" s="115"/>
      <c r="F472" s="115"/>
      <c r="G472" s="116"/>
      <c r="H472" s="115"/>
      <c r="I472" s="43"/>
      <c r="J472" s="129"/>
      <c r="K472" s="129"/>
      <c r="L472" s="129"/>
      <c r="M472" s="129"/>
      <c r="N472" s="129"/>
      <c r="O472" s="129"/>
      <c r="P472" s="129"/>
      <c r="Q472" s="42"/>
      <c r="R472" s="42"/>
      <c r="S472" s="55"/>
      <c r="U472" s="55"/>
      <c r="V472" s="55"/>
      <c r="W472" s="55"/>
      <c r="X472" s="55"/>
      <c r="Y472" s="55"/>
      <c r="Z472" s="55"/>
      <c r="AA472" s="55"/>
      <c r="AB472" s="55"/>
      <c r="AC472" s="55"/>
      <c r="AD472" s="55"/>
      <c r="AE472" s="55"/>
      <c r="AF472" s="55"/>
      <c r="AG472" s="55"/>
      <c r="AH472" s="55"/>
      <c r="AI472" s="55"/>
      <c r="AJ472" s="55"/>
      <c r="AK472" s="55"/>
      <c r="AL472" s="55"/>
      <c r="AM472" s="55"/>
      <c r="AN472" s="55"/>
      <c r="AO472" s="55"/>
    </row>
    <row r="473" spans="1:41" ht="15.75" customHeight="1">
      <c r="A473" s="43" t="s">
        <v>214</v>
      </c>
      <c r="B473" s="115"/>
      <c r="C473" s="116"/>
      <c r="D473" s="130"/>
      <c r="E473" s="115"/>
      <c r="F473" s="115"/>
      <c r="G473" s="116"/>
      <c r="H473" s="115"/>
      <c r="I473" s="43"/>
      <c r="J473" s="129"/>
      <c r="K473" s="129"/>
      <c r="L473" s="129"/>
      <c r="M473" s="129"/>
      <c r="N473" s="129"/>
      <c r="O473" s="129"/>
      <c r="P473" s="129"/>
      <c r="Q473" s="42"/>
      <c r="R473" s="42"/>
      <c r="S473" s="55"/>
      <c r="U473" s="55"/>
      <c r="V473" s="55"/>
      <c r="W473" s="55"/>
      <c r="X473" s="55"/>
      <c r="Y473" s="55"/>
      <c r="Z473" s="55"/>
      <c r="AA473" s="55"/>
      <c r="AB473" s="55"/>
      <c r="AC473" s="55"/>
      <c r="AD473" s="55"/>
      <c r="AE473" s="55"/>
      <c r="AF473" s="55"/>
      <c r="AG473" s="55"/>
      <c r="AH473" s="55"/>
      <c r="AI473" s="55"/>
      <c r="AJ473" s="55"/>
      <c r="AK473" s="55"/>
      <c r="AL473" s="55"/>
      <c r="AM473" s="55"/>
      <c r="AN473" s="55"/>
      <c r="AO473" s="55"/>
    </row>
    <row r="474" spans="1:41" ht="15.75" customHeight="1">
      <c r="A474" s="43" t="s">
        <v>207</v>
      </c>
      <c r="B474" s="115"/>
      <c r="C474" s="116"/>
      <c r="D474" s="130"/>
      <c r="E474" s="115"/>
      <c r="F474" s="115"/>
      <c r="G474" s="116"/>
      <c r="H474" s="115"/>
      <c r="I474" s="43"/>
      <c r="J474" s="129"/>
      <c r="K474" s="129"/>
      <c r="L474" s="129"/>
      <c r="M474" s="129"/>
      <c r="N474" s="129"/>
      <c r="O474" s="129"/>
      <c r="P474" s="129"/>
      <c r="Q474" s="42"/>
      <c r="R474" s="42"/>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row>
    <row r="475" spans="1:41" ht="15.75" customHeight="1">
      <c r="A475" s="43" t="s">
        <v>556</v>
      </c>
      <c r="B475" s="115"/>
      <c r="C475" s="116"/>
      <c r="D475" s="130"/>
      <c r="E475" s="115"/>
      <c r="F475" s="115"/>
      <c r="G475" s="116"/>
      <c r="H475" s="115"/>
      <c r="I475" s="43"/>
      <c r="J475" s="129"/>
      <c r="K475" s="129"/>
      <c r="L475" s="129"/>
      <c r="M475" s="129"/>
      <c r="N475" s="129"/>
      <c r="O475" s="129"/>
      <c r="P475" s="129"/>
      <c r="Q475" s="42"/>
      <c r="R475" s="42"/>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row>
    <row r="476" spans="1:41" ht="15.75" customHeight="1">
      <c r="A476" s="43" t="s">
        <v>557</v>
      </c>
      <c r="B476" s="115"/>
      <c r="C476" s="116"/>
      <c r="D476" s="130"/>
      <c r="E476" s="115"/>
      <c r="F476" s="115"/>
      <c r="G476" s="116"/>
      <c r="H476" s="115"/>
      <c r="I476" s="43"/>
      <c r="J476" s="129"/>
      <c r="K476" s="129"/>
      <c r="L476" s="129"/>
      <c r="M476" s="129"/>
      <c r="N476" s="129"/>
      <c r="O476" s="129"/>
      <c r="P476" s="129"/>
      <c r="Q476" s="42"/>
      <c r="R476" s="42"/>
      <c r="S476" s="55"/>
      <c r="T476" s="71"/>
      <c r="U476" s="55"/>
      <c r="V476" s="55"/>
      <c r="W476" s="55"/>
      <c r="X476" s="55"/>
      <c r="Y476" s="55"/>
      <c r="Z476" s="55"/>
      <c r="AA476" s="55"/>
      <c r="AB476" s="55"/>
      <c r="AC476" s="55"/>
      <c r="AD476" s="55"/>
      <c r="AE476" s="55"/>
      <c r="AF476" s="55"/>
      <c r="AG476" s="55"/>
      <c r="AH476" s="55"/>
      <c r="AI476" s="55"/>
      <c r="AJ476" s="55"/>
      <c r="AK476" s="55"/>
      <c r="AL476" s="55"/>
      <c r="AM476" s="55"/>
      <c r="AN476" s="55"/>
      <c r="AO476" s="55"/>
    </row>
    <row r="477" spans="1:41" ht="15.75" customHeight="1">
      <c r="A477" s="43" t="s">
        <v>313</v>
      </c>
      <c r="B477" s="115"/>
      <c r="C477" s="116"/>
      <c r="D477" s="130"/>
      <c r="E477" s="115"/>
      <c r="F477" s="115"/>
      <c r="G477" s="116"/>
      <c r="H477" s="115"/>
      <c r="I477" s="43"/>
      <c r="J477" s="129"/>
      <c r="K477" s="129"/>
      <c r="L477" s="129"/>
      <c r="M477" s="129"/>
      <c r="N477" s="129"/>
      <c r="O477" s="129"/>
      <c r="P477" s="129"/>
      <c r="Q477" s="42"/>
      <c r="R477" s="42"/>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row>
    <row r="478" spans="1:41" ht="15.75" customHeight="1">
      <c r="A478" s="43" t="s">
        <v>558</v>
      </c>
      <c r="B478" s="115"/>
      <c r="C478" s="116"/>
      <c r="D478" s="130"/>
      <c r="E478" s="115"/>
      <c r="F478" s="115"/>
      <c r="G478" s="116"/>
      <c r="H478" s="115"/>
      <c r="I478" s="43"/>
      <c r="J478" s="129"/>
      <c r="K478" s="129"/>
      <c r="L478" s="129"/>
      <c r="M478" s="129"/>
      <c r="N478" s="129"/>
      <c r="O478" s="129"/>
      <c r="P478" s="129"/>
      <c r="Q478" s="42"/>
      <c r="R478" s="42"/>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row>
    <row r="479" spans="1:41" ht="15.75" customHeight="1">
      <c r="A479" s="37" t="s">
        <v>208</v>
      </c>
      <c r="B479" s="114"/>
      <c r="C479" s="117"/>
      <c r="D479" s="132"/>
      <c r="E479" s="114"/>
      <c r="F479" s="114"/>
      <c r="G479" s="117"/>
      <c r="H479" s="114"/>
      <c r="I479" s="43"/>
      <c r="J479" s="129"/>
      <c r="K479" s="129"/>
      <c r="L479" s="129"/>
      <c r="M479" s="129"/>
      <c r="N479" s="129"/>
      <c r="O479" s="129"/>
      <c r="P479" s="129"/>
      <c r="Q479" s="42"/>
      <c r="R479" s="42"/>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row>
    <row r="480" spans="1:41" s="76" customFormat="1" ht="18" customHeight="1">
      <c r="A480" s="133" t="s">
        <v>608</v>
      </c>
      <c r="B480" s="80"/>
      <c r="C480" s="80"/>
      <c r="D480" s="81"/>
      <c r="E480" s="80"/>
      <c r="F480" s="81"/>
      <c r="G480" s="81"/>
      <c r="H480" s="80"/>
      <c r="I480" s="133"/>
      <c r="J480" s="80"/>
      <c r="K480" s="80"/>
      <c r="L480" s="81"/>
      <c r="M480" s="80"/>
      <c r="N480" s="81"/>
      <c r="O480" s="81"/>
      <c r="P480" s="80"/>
      <c r="Q480" s="80"/>
      <c r="R480" s="80"/>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row>
    <row r="481" spans="1:18" s="76" customFormat="1" ht="13.5" customHeight="1">
      <c r="A481" s="133"/>
      <c r="B481" s="75"/>
      <c r="H481" s="343" t="s">
        <v>439</v>
      </c>
      <c r="I481" s="133"/>
      <c r="P481" s="77"/>
      <c r="Q481" s="78"/>
      <c r="R481" s="79"/>
    </row>
    <row r="482" spans="1:18" s="76" customFormat="1" ht="13.5" customHeight="1">
      <c r="A482" s="134"/>
      <c r="H482" s="74"/>
      <c r="I482" s="134"/>
      <c r="Q482" s="78"/>
      <c r="R482" s="79"/>
    </row>
    <row r="483" spans="9:16" ht="12.75">
      <c r="I483" s="52"/>
      <c r="J483" s="43"/>
      <c r="K483" s="43"/>
      <c r="L483" s="43"/>
      <c r="M483" s="43"/>
      <c r="N483" s="43"/>
      <c r="O483" s="43"/>
      <c r="P483" s="43"/>
    </row>
    <row r="484" spans="9:16" ht="12.75">
      <c r="I484" s="52"/>
      <c r="J484" s="43"/>
      <c r="K484" s="43"/>
      <c r="L484" s="43"/>
      <c r="M484" s="43"/>
      <c r="N484" s="43"/>
      <c r="O484" s="43"/>
      <c r="P484" s="43"/>
    </row>
    <row r="485" spans="9:16" ht="12.75">
      <c r="I485" s="52"/>
      <c r="J485" s="43"/>
      <c r="K485" s="43"/>
      <c r="L485" s="43"/>
      <c r="M485" s="43"/>
      <c r="N485" s="43"/>
      <c r="O485" s="43"/>
      <c r="P485" s="43"/>
    </row>
    <row r="486" spans="9:16" ht="12.75">
      <c r="I486" s="52"/>
      <c r="J486" s="43"/>
      <c r="K486" s="43"/>
      <c r="L486" s="43"/>
      <c r="M486" s="43"/>
      <c r="N486" s="43"/>
      <c r="O486" s="43"/>
      <c r="P486" s="43"/>
    </row>
    <row r="487" spans="9:16" ht="12.75">
      <c r="I487" s="52"/>
      <c r="J487" s="43"/>
      <c r="K487" s="43"/>
      <c r="L487" s="43"/>
      <c r="M487" s="43"/>
      <c r="N487" s="43"/>
      <c r="O487" s="43"/>
      <c r="P487" s="43"/>
    </row>
    <row r="488" spans="9:16" ht="12.75">
      <c r="I488" s="52"/>
      <c r="J488" s="43"/>
      <c r="K488" s="43"/>
      <c r="L488" s="43"/>
      <c r="M488" s="43"/>
      <c r="N488" s="43"/>
      <c r="O488" s="43"/>
      <c r="P488" s="43"/>
    </row>
    <row r="489" spans="9:16" ht="12.75">
      <c r="I489" s="52"/>
      <c r="J489" s="43"/>
      <c r="K489" s="43"/>
      <c r="L489" s="43"/>
      <c r="M489" s="43"/>
      <c r="N489" s="43"/>
      <c r="O489" s="43"/>
      <c r="P489" s="43"/>
    </row>
    <row r="490" spans="9:16" ht="12.75">
      <c r="I490" s="52"/>
      <c r="J490" s="43"/>
      <c r="K490" s="43"/>
      <c r="L490" s="43"/>
      <c r="M490" s="43"/>
      <c r="N490" s="43"/>
      <c r="O490" s="43"/>
      <c r="P490" s="43"/>
    </row>
    <row r="491" spans="9:16" ht="12.75">
      <c r="I491" s="52"/>
      <c r="J491" s="43"/>
      <c r="K491" s="43"/>
      <c r="L491" s="43"/>
      <c r="M491" s="43"/>
      <c r="N491" s="43"/>
      <c r="O491" s="43"/>
      <c r="P491" s="43"/>
    </row>
    <row r="492" spans="9:16" ht="12.75">
      <c r="I492" s="52"/>
      <c r="J492" s="43"/>
      <c r="K492" s="43"/>
      <c r="L492" s="43"/>
      <c r="M492" s="43"/>
      <c r="N492" s="43"/>
      <c r="O492" s="43"/>
      <c r="P492" s="43"/>
    </row>
    <row r="493" spans="9:16" ht="12.75">
      <c r="I493" s="52"/>
      <c r="J493" s="43"/>
      <c r="K493" s="43"/>
      <c r="L493" s="43"/>
      <c r="M493" s="43"/>
      <c r="N493" s="43"/>
      <c r="O493" s="43"/>
      <c r="P493" s="43"/>
    </row>
    <row r="494" spans="9:16" ht="12.75">
      <c r="I494" s="52"/>
      <c r="J494" s="43"/>
      <c r="K494" s="43"/>
      <c r="L494" s="43"/>
      <c r="M494" s="43"/>
      <c r="N494" s="43"/>
      <c r="O494" s="43"/>
      <c r="P494" s="43"/>
    </row>
    <row r="495" spans="9:16" ht="12.75">
      <c r="I495" s="52"/>
      <c r="J495" s="43"/>
      <c r="K495" s="43"/>
      <c r="L495" s="43"/>
      <c r="M495" s="43"/>
      <c r="N495" s="43"/>
      <c r="O495" s="43"/>
      <c r="P495" s="43"/>
    </row>
    <row r="496" spans="9:16" ht="12.75">
      <c r="I496" s="52"/>
      <c r="J496" s="43"/>
      <c r="K496" s="43"/>
      <c r="L496" s="43"/>
      <c r="M496" s="43"/>
      <c r="N496" s="43"/>
      <c r="O496" s="43"/>
      <c r="P496" s="43"/>
    </row>
    <row r="497" spans="9:16" ht="12.75">
      <c r="I497" s="52"/>
      <c r="J497" s="43"/>
      <c r="K497" s="43"/>
      <c r="L497" s="43"/>
      <c r="M497" s="43"/>
      <c r="N497" s="43"/>
      <c r="O497" s="43"/>
      <c r="P497" s="43"/>
    </row>
    <row r="498" spans="9:16" ht="12.75">
      <c r="I498" s="52"/>
      <c r="J498" s="43"/>
      <c r="K498" s="43"/>
      <c r="L498" s="43"/>
      <c r="M498" s="43"/>
      <c r="N498" s="43"/>
      <c r="O498" s="43"/>
      <c r="P498" s="43"/>
    </row>
    <row r="499" spans="9:16" ht="12.75">
      <c r="I499" s="52"/>
      <c r="J499" s="43"/>
      <c r="K499" s="43"/>
      <c r="L499" s="43"/>
      <c r="M499" s="43"/>
      <c r="N499" s="43"/>
      <c r="O499" s="43"/>
      <c r="P499" s="43"/>
    </row>
    <row r="500" spans="9:16" ht="12.75">
      <c r="I500" s="52"/>
      <c r="J500" s="43"/>
      <c r="K500" s="43"/>
      <c r="L500" s="43"/>
      <c r="M500" s="43"/>
      <c r="N500" s="43"/>
      <c r="O500" s="43"/>
      <c r="P500" s="43"/>
    </row>
    <row r="501" spans="9:16" ht="12.75">
      <c r="I501" s="52"/>
      <c r="J501" s="43"/>
      <c r="K501" s="43"/>
      <c r="L501" s="43"/>
      <c r="M501" s="43"/>
      <c r="N501" s="43"/>
      <c r="O501" s="43"/>
      <c r="P501" s="43"/>
    </row>
    <row r="502" spans="9:16" ht="12.75">
      <c r="I502" s="52"/>
      <c r="J502" s="43"/>
      <c r="K502" s="43"/>
      <c r="L502" s="43"/>
      <c r="M502" s="43"/>
      <c r="N502" s="43"/>
      <c r="O502" s="43"/>
      <c r="P502" s="43"/>
    </row>
    <row r="503" spans="9:16" ht="12.75">
      <c r="I503" s="52"/>
      <c r="J503" s="43"/>
      <c r="K503" s="43"/>
      <c r="L503" s="43"/>
      <c r="M503" s="43"/>
      <c r="N503" s="43"/>
      <c r="O503" s="43"/>
      <c r="P503" s="43"/>
    </row>
    <row r="504" spans="9:16" ht="12.75">
      <c r="I504" s="52"/>
      <c r="J504" s="43"/>
      <c r="K504" s="43"/>
      <c r="L504" s="43"/>
      <c r="M504" s="43"/>
      <c r="N504" s="43"/>
      <c r="O504" s="43"/>
      <c r="P504" s="43"/>
    </row>
    <row r="505" spans="9:16" ht="12.75">
      <c r="I505" s="52"/>
      <c r="J505" s="43"/>
      <c r="K505" s="43"/>
      <c r="L505" s="43"/>
      <c r="M505" s="43"/>
      <c r="N505" s="43"/>
      <c r="O505" s="43"/>
      <c r="P505" s="43"/>
    </row>
    <row r="506" spans="9:16" ht="12.75">
      <c r="I506" s="52"/>
      <c r="J506" s="43"/>
      <c r="K506" s="43"/>
      <c r="L506" s="43"/>
      <c r="M506" s="43"/>
      <c r="N506" s="43"/>
      <c r="O506" s="43"/>
      <c r="P506" s="43"/>
    </row>
    <row r="507" spans="9:16" ht="12.75">
      <c r="I507" s="52"/>
      <c r="J507" s="43"/>
      <c r="K507" s="43"/>
      <c r="L507" s="43"/>
      <c r="M507" s="43"/>
      <c r="N507" s="43"/>
      <c r="O507" s="43"/>
      <c r="P507" s="43"/>
    </row>
    <row r="508" spans="9:16" ht="12.75">
      <c r="I508" s="52"/>
      <c r="J508" s="43"/>
      <c r="K508" s="43"/>
      <c r="L508" s="43"/>
      <c r="M508" s="43"/>
      <c r="N508" s="43"/>
      <c r="O508" s="43"/>
      <c r="P508" s="43"/>
    </row>
    <row r="509" spans="9:16" ht="12.75">
      <c r="I509" s="52"/>
      <c r="J509" s="43"/>
      <c r="K509" s="43"/>
      <c r="L509" s="43"/>
      <c r="M509" s="43"/>
      <c r="N509" s="43"/>
      <c r="O509" s="43"/>
      <c r="P509" s="43"/>
    </row>
    <row r="510" spans="9:16" ht="12.75">
      <c r="I510" s="52"/>
      <c r="J510" s="43"/>
      <c r="K510" s="43"/>
      <c r="L510" s="43"/>
      <c r="M510" s="43"/>
      <c r="N510" s="43"/>
      <c r="O510" s="43"/>
      <c r="P510" s="43"/>
    </row>
    <row r="511" spans="9:16" ht="12.75">
      <c r="I511" s="52"/>
      <c r="J511" s="43"/>
      <c r="K511" s="43"/>
      <c r="L511" s="43"/>
      <c r="M511" s="43"/>
      <c r="N511" s="43"/>
      <c r="O511" s="43"/>
      <c r="P511" s="43"/>
    </row>
    <row r="512" spans="9:16" ht="12.75">
      <c r="I512" s="52"/>
      <c r="J512" s="43"/>
      <c r="K512" s="43"/>
      <c r="L512" s="43"/>
      <c r="M512" s="43"/>
      <c r="N512" s="43"/>
      <c r="O512" s="43"/>
      <c r="P512" s="43"/>
    </row>
    <row r="513" spans="9:16" ht="12.75">
      <c r="I513" s="52"/>
      <c r="J513" s="43"/>
      <c r="K513" s="43"/>
      <c r="L513" s="43"/>
      <c r="M513" s="43"/>
      <c r="N513" s="43"/>
      <c r="O513" s="43"/>
      <c r="P513" s="43"/>
    </row>
    <row r="514" spans="9:16" ht="12.75">
      <c r="I514" s="52"/>
      <c r="J514" s="43"/>
      <c r="K514" s="43"/>
      <c r="L514" s="43"/>
      <c r="M514" s="43"/>
      <c r="N514" s="43"/>
      <c r="O514" s="43"/>
      <c r="P514" s="43"/>
    </row>
    <row r="515" spans="9:16" ht="12.75">
      <c r="I515" s="52"/>
      <c r="J515" s="43"/>
      <c r="K515" s="43"/>
      <c r="L515" s="43"/>
      <c r="M515" s="43"/>
      <c r="N515" s="43"/>
      <c r="O515" s="43"/>
      <c r="P515" s="43"/>
    </row>
    <row r="516" spans="9:16" ht="12.75">
      <c r="I516" s="52"/>
      <c r="J516" s="43"/>
      <c r="K516" s="43"/>
      <c r="L516" s="43"/>
      <c r="M516" s="43"/>
      <c r="N516" s="43"/>
      <c r="O516" s="43"/>
      <c r="P516" s="43"/>
    </row>
    <row r="517" spans="9:16" ht="12.75">
      <c r="I517" s="52"/>
      <c r="J517" s="43"/>
      <c r="K517" s="43"/>
      <c r="L517" s="43"/>
      <c r="M517" s="43"/>
      <c r="N517" s="43"/>
      <c r="O517" s="43"/>
      <c r="P517" s="43"/>
    </row>
    <row r="518" spans="9:16" ht="12.75">
      <c r="I518" s="52"/>
      <c r="J518" s="43"/>
      <c r="K518" s="43"/>
      <c r="L518" s="43"/>
      <c r="M518" s="43"/>
      <c r="N518" s="43"/>
      <c r="O518" s="43"/>
      <c r="P518" s="43"/>
    </row>
    <row r="519" spans="9:16" ht="12.75">
      <c r="I519" s="52"/>
      <c r="J519" s="43"/>
      <c r="K519" s="43"/>
      <c r="L519" s="43"/>
      <c r="M519" s="43"/>
      <c r="N519" s="43"/>
      <c r="O519" s="43"/>
      <c r="P519" s="43"/>
    </row>
    <row r="520" spans="9:16" ht="12.75">
      <c r="I520" s="52"/>
      <c r="J520" s="43"/>
      <c r="K520" s="43"/>
      <c r="L520" s="43"/>
      <c r="M520" s="43"/>
      <c r="N520" s="43"/>
      <c r="O520" s="43"/>
      <c r="P520" s="43"/>
    </row>
    <row r="521" spans="9:16" ht="12.75">
      <c r="I521" s="52"/>
      <c r="J521" s="43"/>
      <c r="K521" s="43"/>
      <c r="L521" s="43"/>
      <c r="M521" s="43"/>
      <c r="N521" s="43"/>
      <c r="O521" s="43"/>
      <c r="P521" s="43"/>
    </row>
    <row r="522" spans="9:16" ht="12.75">
      <c r="I522" s="52"/>
      <c r="J522" s="43"/>
      <c r="K522" s="43"/>
      <c r="L522" s="43"/>
      <c r="M522" s="43"/>
      <c r="N522" s="43"/>
      <c r="O522" s="43"/>
      <c r="P522" s="43"/>
    </row>
    <row r="523" spans="9:16" ht="12.75">
      <c r="I523" s="52"/>
      <c r="J523" s="43"/>
      <c r="K523" s="43"/>
      <c r="L523" s="43"/>
      <c r="M523" s="43"/>
      <c r="N523" s="43"/>
      <c r="O523" s="43"/>
      <c r="P523" s="43"/>
    </row>
    <row r="524" spans="9:16" ht="12.75">
      <c r="I524" s="52"/>
      <c r="J524" s="43"/>
      <c r="K524" s="43"/>
      <c r="L524" s="43"/>
      <c r="M524" s="43"/>
      <c r="N524" s="43"/>
      <c r="O524" s="43"/>
      <c r="P524" s="43"/>
    </row>
    <row r="525" spans="9:16" ht="12.75">
      <c r="I525" s="52"/>
      <c r="J525" s="43"/>
      <c r="K525" s="43"/>
      <c r="L525" s="43"/>
      <c r="M525" s="43"/>
      <c r="N525" s="43"/>
      <c r="O525" s="43"/>
      <c r="P525" s="43"/>
    </row>
    <row r="526" spans="9:16" ht="12.75">
      <c r="I526" s="52"/>
      <c r="J526" s="43"/>
      <c r="K526" s="43"/>
      <c r="L526" s="43"/>
      <c r="M526" s="43"/>
      <c r="N526" s="43"/>
      <c r="O526" s="43"/>
      <c r="P526" s="43"/>
    </row>
    <row r="527" spans="9:16" ht="12.75">
      <c r="I527" s="52"/>
      <c r="J527" s="43"/>
      <c r="K527" s="43"/>
      <c r="L527" s="43"/>
      <c r="M527" s="43"/>
      <c r="N527" s="43"/>
      <c r="O527" s="43"/>
      <c r="P527" s="43"/>
    </row>
    <row r="528" spans="9:16" ht="12.75">
      <c r="I528" s="52"/>
      <c r="J528" s="43"/>
      <c r="K528" s="43"/>
      <c r="L528" s="43"/>
      <c r="M528" s="43"/>
      <c r="N528" s="43"/>
      <c r="O528" s="43"/>
      <c r="P528" s="43"/>
    </row>
    <row r="529" spans="9:16" ht="12.75">
      <c r="I529" s="52"/>
      <c r="J529" s="43"/>
      <c r="K529" s="43"/>
      <c r="L529" s="43"/>
      <c r="M529" s="43"/>
      <c r="N529" s="43"/>
      <c r="O529" s="43"/>
      <c r="P529" s="43"/>
    </row>
    <row r="530" spans="9:16" ht="12.75">
      <c r="I530" s="52"/>
      <c r="J530" s="43"/>
      <c r="K530" s="43"/>
      <c r="L530" s="43"/>
      <c r="M530" s="43"/>
      <c r="N530" s="43"/>
      <c r="O530" s="43"/>
      <c r="P530" s="43"/>
    </row>
    <row r="531" spans="9:16" ht="12.75">
      <c r="I531" s="52"/>
      <c r="J531" s="43"/>
      <c r="K531" s="43"/>
      <c r="L531" s="43"/>
      <c r="M531" s="43"/>
      <c r="N531" s="43"/>
      <c r="O531" s="43"/>
      <c r="P531" s="43"/>
    </row>
    <row r="532" spans="9:16" ht="12.75">
      <c r="I532" s="52"/>
      <c r="J532" s="43"/>
      <c r="K532" s="43"/>
      <c r="L532" s="43"/>
      <c r="M532" s="43"/>
      <c r="N532" s="43"/>
      <c r="O532" s="43"/>
      <c r="P532" s="43"/>
    </row>
    <row r="533" spans="9:16" ht="12.75">
      <c r="I533" s="52"/>
      <c r="J533" s="43"/>
      <c r="K533" s="43"/>
      <c r="L533" s="43"/>
      <c r="M533" s="43"/>
      <c r="N533" s="43"/>
      <c r="O533" s="43"/>
      <c r="P533" s="43"/>
    </row>
    <row r="534" spans="9:16" ht="12.75">
      <c r="I534" s="52"/>
      <c r="J534" s="43"/>
      <c r="K534" s="43"/>
      <c r="L534" s="43"/>
      <c r="M534" s="43"/>
      <c r="N534" s="43"/>
      <c r="O534" s="43"/>
      <c r="P534" s="43"/>
    </row>
    <row r="535" spans="9:16" ht="12.75">
      <c r="I535" s="52"/>
      <c r="J535" s="43"/>
      <c r="K535" s="43"/>
      <c r="L535" s="43"/>
      <c r="M535" s="43"/>
      <c r="N535" s="43"/>
      <c r="O535" s="43"/>
      <c r="P535" s="43"/>
    </row>
    <row r="536" spans="9:16" ht="12.75">
      <c r="I536" s="52"/>
      <c r="J536" s="43"/>
      <c r="K536" s="43"/>
      <c r="L536" s="43"/>
      <c r="M536" s="43"/>
      <c r="N536" s="43"/>
      <c r="O536" s="43"/>
      <c r="P536" s="43"/>
    </row>
    <row r="537" spans="9:16" ht="12.75">
      <c r="I537" s="52"/>
      <c r="J537" s="43"/>
      <c r="K537" s="43"/>
      <c r="L537" s="43"/>
      <c r="M537" s="43"/>
      <c r="N537" s="43"/>
      <c r="O537" s="43"/>
      <c r="P537" s="43"/>
    </row>
    <row r="538" spans="9:16" ht="12.75">
      <c r="I538" s="52"/>
      <c r="J538" s="43"/>
      <c r="K538" s="43"/>
      <c r="L538" s="43"/>
      <c r="M538" s="43"/>
      <c r="N538" s="43"/>
      <c r="O538" s="43"/>
      <c r="P538" s="43"/>
    </row>
    <row r="539" spans="9:16" ht="12.75">
      <c r="I539" s="52"/>
      <c r="J539" s="43"/>
      <c r="K539" s="43"/>
      <c r="L539" s="43"/>
      <c r="M539" s="43"/>
      <c r="N539" s="43"/>
      <c r="O539" s="43"/>
      <c r="P539" s="43"/>
    </row>
    <row r="540" spans="9:16" ht="12.75">
      <c r="I540" s="52"/>
      <c r="J540" s="43"/>
      <c r="K540" s="43"/>
      <c r="L540" s="43"/>
      <c r="M540" s="43"/>
      <c r="N540" s="43"/>
      <c r="O540" s="43"/>
      <c r="P540" s="43"/>
    </row>
    <row r="541" spans="9:16" ht="12.75">
      <c r="I541" s="52"/>
      <c r="J541" s="43"/>
      <c r="K541" s="43"/>
      <c r="L541" s="43"/>
      <c r="M541" s="43"/>
      <c r="N541" s="43"/>
      <c r="O541" s="43"/>
      <c r="P541" s="43"/>
    </row>
    <row r="542" spans="9:16" ht="12.75">
      <c r="I542" s="52"/>
      <c r="J542" s="43"/>
      <c r="K542" s="43"/>
      <c r="L542" s="43"/>
      <c r="M542" s="43"/>
      <c r="N542" s="43"/>
      <c r="O542" s="43"/>
      <c r="P542" s="43"/>
    </row>
    <row r="543" spans="9:16" ht="12.75">
      <c r="I543" s="52"/>
      <c r="J543" s="43"/>
      <c r="K543" s="43"/>
      <c r="L543" s="43"/>
      <c r="M543" s="43"/>
      <c r="N543" s="43"/>
      <c r="O543" s="43"/>
      <c r="P543" s="43"/>
    </row>
    <row r="544" spans="9:16" ht="12.75">
      <c r="I544" s="52"/>
      <c r="J544" s="43"/>
      <c r="K544" s="43"/>
      <c r="L544" s="43"/>
      <c r="M544" s="43"/>
      <c r="N544" s="43"/>
      <c r="O544" s="43"/>
      <c r="P544" s="43"/>
    </row>
    <row r="545" spans="9:16" ht="12.75">
      <c r="I545" s="52"/>
      <c r="J545" s="43"/>
      <c r="K545" s="43"/>
      <c r="L545" s="43"/>
      <c r="M545" s="43"/>
      <c r="N545" s="43"/>
      <c r="O545" s="43"/>
      <c r="P545" s="43"/>
    </row>
    <row r="546" spans="9:16" ht="12.75">
      <c r="I546" s="52"/>
      <c r="J546" s="43"/>
      <c r="K546" s="43"/>
      <c r="L546" s="43"/>
      <c r="M546" s="43"/>
      <c r="N546" s="43"/>
      <c r="O546" s="43"/>
      <c r="P546" s="43"/>
    </row>
    <row r="547" spans="9:16" ht="12.75">
      <c r="I547" s="52"/>
      <c r="J547" s="43"/>
      <c r="K547" s="43"/>
      <c r="L547" s="43"/>
      <c r="M547" s="43"/>
      <c r="N547" s="43"/>
      <c r="O547" s="43"/>
      <c r="P547" s="43"/>
    </row>
    <row r="548" spans="9:16" ht="12.75">
      <c r="I548" s="52"/>
      <c r="J548" s="43"/>
      <c r="K548" s="43"/>
      <c r="L548" s="43"/>
      <c r="M548" s="43"/>
      <c r="N548" s="43"/>
      <c r="O548" s="43"/>
      <c r="P548" s="43"/>
    </row>
    <row r="549" spans="9:16" ht="12.75">
      <c r="I549" s="52"/>
      <c r="J549" s="43"/>
      <c r="K549" s="43"/>
      <c r="L549" s="43"/>
      <c r="M549" s="43"/>
      <c r="N549" s="43"/>
      <c r="O549" s="43"/>
      <c r="P549" s="43"/>
    </row>
    <row r="550" spans="9:16" ht="12.75">
      <c r="I550" s="52"/>
      <c r="J550" s="43"/>
      <c r="K550" s="43"/>
      <c r="L550" s="43"/>
      <c r="M550" s="43"/>
      <c r="N550" s="43"/>
      <c r="O550" s="43"/>
      <c r="P550" s="43"/>
    </row>
    <row r="551" spans="9:16" ht="12.75">
      <c r="I551" s="52"/>
      <c r="J551" s="43"/>
      <c r="K551" s="43"/>
      <c r="L551" s="43"/>
      <c r="M551" s="43"/>
      <c r="N551" s="43"/>
      <c r="O551" s="43"/>
      <c r="P551" s="43"/>
    </row>
  </sheetData>
  <mergeCells count="26">
    <mergeCell ref="A29:H29"/>
    <mergeCell ref="I29:P29"/>
    <mergeCell ref="D7:G7"/>
    <mergeCell ref="L7:O7"/>
    <mergeCell ref="D38:G38"/>
    <mergeCell ref="D68:G68"/>
    <mergeCell ref="L68:O68"/>
    <mergeCell ref="D98:G98"/>
    <mergeCell ref="L38:O38"/>
    <mergeCell ref="L98:O98"/>
    <mergeCell ref="B97:H97"/>
    <mergeCell ref="D158:G158"/>
    <mergeCell ref="D187:G187"/>
    <mergeCell ref="L129:O129"/>
    <mergeCell ref="L158:O158"/>
    <mergeCell ref="L187:O187"/>
    <mergeCell ref="D129:G129"/>
    <mergeCell ref="D217:G217"/>
    <mergeCell ref="D249:G249"/>
    <mergeCell ref="D402:G402"/>
    <mergeCell ref="D433:G433"/>
    <mergeCell ref="D462:G462"/>
    <mergeCell ref="D280:G280"/>
    <mergeCell ref="D311:G311"/>
    <mergeCell ref="D342:G342"/>
    <mergeCell ref="D373:G373"/>
  </mergeCells>
  <printOptions horizontalCentered="1"/>
  <pageMargins left="1" right="1" top="1" bottom="0.75" header="0.75" footer="0.5"/>
  <pageSetup firstPageNumber="112" useFirstPageNumber="1" horizontalDpi="600" verticalDpi="600" orientation="landscape" r:id="rId1"/>
  <headerFooter alignWithMargins="0">
    <oddHeader>&amp;R&amp;8SREB-State Data Exchange</oddHeader>
    <oddFooter>&amp;C&amp;P</oddFooter>
  </headerFooter>
  <rowBreaks count="14" manualBreakCount="14">
    <brk id="31" max="15" man="1"/>
    <brk id="61" max="15" man="1"/>
    <brk id="91" max="15" man="1"/>
    <brk id="122" max="15" man="1"/>
    <brk id="151" max="15" man="1"/>
    <brk id="180" max="15" man="1"/>
    <brk id="210" max="15" man="1"/>
    <brk id="242" max="15" man="1"/>
    <brk id="273" max="15" man="1"/>
    <brk id="304" max="15" man="1"/>
    <brk id="335" max="15" man="1"/>
    <brk id="366" max="15" man="1"/>
    <brk id="395" max="15" man="1"/>
    <brk id="426" max="15" man="1"/>
  </rowBreaks>
  <colBreaks count="1" manualBreakCount="1">
    <brk id="8" max="4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JLM</cp:lastModifiedBy>
  <cp:lastPrinted>2006-12-01T19:22:01Z</cp:lastPrinted>
  <dcterms:created xsi:type="dcterms:W3CDTF">2002-04-04T16:20:35Z</dcterms:created>
  <dcterms:modified xsi:type="dcterms:W3CDTF">2006-12-01T19:23:08Z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920242129</vt:i4>
  </property>
  <property fmtid="{D5CDD505-2E9C-101B-9397-08002B2CF9AE}" pid="3" name="_EmailSubject">
    <vt:lpwstr>WV's SREB E-learning Pilot</vt:lpwstr>
  </property>
  <property fmtid="{D5CDD505-2E9C-101B-9397-08002B2CF9AE}" pid="4" name="_AuthorEmail">
    <vt:lpwstr>reedjr@HEPC.WVNET.EDU</vt:lpwstr>
  </property>
  <property fmtid="{D5CDD505-2E9C-101B-9397-08002B2CF9AE}" pid="5" name="_AuthorEmailDisplayName">
    <vt:lpwstr>Jeannie Reed</vt:lpwstr>
  </property>
  <property fmtid="{D5CDD505-2E9C-101B-9397-08002B2CF9AE}" pid="6" name="_ReviewingToolsShownOnce">
    <vt:lpwstr/>
  </property>
</Properties>
</file>